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IMPORTANTE\CAMPEONATOS\Cerrato2024\Docs\"/>
    </mc:Choice>
  </mc:AlternateContent>
  <xr:revisionPtr revIDLastSave="0" documentId="13_ncr:1_{51C0C16A-11AA-410B-AB87-F9340A8EC6F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General" sheetId="2" r:id="rId1"/>
    <sheet name="Pampero" sheetId="3" r:id="rId2"/>
    <sheet name="Snipe" sheetId="4" r:id="rId3"/>
    <sheet name="Grumete" sheetId="5" r:id="rId4"/>
    <sheet name="Optimist Principiantes" sheetId="6" r:id="rId5"/>
    <sheet name="Optimist Timoneles" sheetId="7" r:id="rId6"/>
    <sheet name="420" sheetId="8" r:id="rId7"/>
    <sheet name="WINGFOIL" sheetId="9" r:id="rId8"/>
    <sheet name="ILCA 4 (4.7)" sheetId="10" r:id="rId9"/>
    <sheet name="ILCA 6 (Radial)" sheetId="11" r:id="rId10"/>
    <sheet name="ILCA 7 (Standard)" sheetId="12" r:id="rId11"/>
    <sheet name="J70" sheetId="13" r:id="rId12"/>
    <sheet name="Star" sheetId="14" r:id="rId13"/>
    <sheet name="Cadet" sheetId="15" r:id="rId14"/>
    <sheet name="29er" sheetId="16" r:id="rId15"/>
    <sheet name="F18" sheetId="17" r:id="rId16"/>
    <sheet name="Match30" sheetId="18" r:id="rId17"/>
    <sheet name="ILCA MASTER" sheetId="19" state="hidden" r:id="rId18"/>
  </sheets>
  <definedNames>
    <definedName name="Categorías">General!$M:$M</definedName>
    <definedName name="Clases">General!$N:$N</definedName>
    <definedName name="Datos">General!$A:$AF</definedName>
    <definedName name="Titulos">General!$A$2:$AC$2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9" l="1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F2" i="19"/>
  <c r="B4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F2" i="18"/>
  <c r="B4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F2" i="17"/>
  <c r="B4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F2" i="16"/>
  <c r="AB4" i="15"/>
  <c r="AA4" i="15"/>
  <c r="Z4" i="15"/>
  <c r="Y4" i="15"/>
  <c r="S4" i="15"/>
  <c r="R4" i="15"/>
  <c r="Q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F2" i="15" s="1"/>
  <c r="B4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B18" i="12"/>
  <c r="AA18" i="12"/>
  <c r="Z18" i="12"/>
  <c r="Q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Q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B16" i="12"/>
  <c r="AA16" i="12"/>
  <c r="Z16" i="12"/>
  <c r="Y16" i="12"/>
  <c r="Q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B15" i="12"/>
  <c r="AA15" i="12"/>
  <c r="Z15" i="12"/>
  <c r="Q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B14" i="12"/>
  <c r="AA14" i="12"/>
  <c r="Z14" i="12"/>
  <c r="Y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B13" i="12"/>
  <c r="AA13" i="12"/>
  <c r="Z13" i="12"/>
  <c r="Y13" i="12"/>
  <c r="Q13" i="12"/>
  <c r="O13" i="12"/>
  <c r="N13" i="12"/>
  <c r="M13" i="12"/>
  <c r="L13" i="12"/>
  <c r="K13" i="12"/>
  <c r="I13" i="12"/>
  <c r="H13" i="12"/>
  <c r="G13" i="12"/>
  <c r="F13" i="12"/>
  <c r="E13" i="12"/>
  <c r="D13" i="12"/>
  <c r="C13" i="12"/>
  <c r="B13" i="12"/>
  <c r="AB12" i="12"/>
  <c r="AA12" i="12"/>
  <c r="Z12" i="12"/>
  <c r="Y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B11" i="12"/>
  <c r="AA11" i="12"/>
  <c r="Z11" i="12"/>
  <c r="Q11" i="12"/>
  <c r="O11" i="12"/>
  <c r="M11" i="12"/>
  <c r="L11" i="12"/>
  <c r="K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Q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Q9" i="12"/>
  <c r="O9" i="12"/>
  <c r="N9" i="12"/>
  <c r="M9" i="12"/>
  <c r="L9" i="12"/>
  <c r="K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Q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B7" i="12"/>
  <c r="AA7" i="12"/>
  <c r="Z7" i="12"/>
  <c r="Y7" i="12"/>
  <c r="R7" i="12"/>
  <c r="Q7" i="12"/>
  <c r="O7" i="12"/>
  <c r="N7" i="12"/>
  <c r="M7" i="12"/>
  <c r="L7" i="12"/>
  <c r="K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R6" i="12"/>
  <c r="Q6" i="12"/>
  <c r="O6" i="12"/>
  <c r="N6" i="12"/>
  <c r="M6" i="12"/>
  <c r="L6" i="12"/>
  <c r="K6" i="12"/>
  <c r="I6" i="12"/>
  <c r="H6" i="12"/>
  <c r="G6" i="12"/>
  <c r="F6" i="12"/>
  <c r="E6" i="12"/>
  <c r="D6" i="12"/>
  <c r="C6" i="12"/>
  <c r="B6" i="12"/>
  <c r="AB5" i="12"/>
  <c r="AA5" i="12"/>
  <c r="Z5" i="12"/>
  <c r="Q5" i="12"/>
  <c r="O5" i="12"/>
  <c r="N5" i="12"/>
  <c r="M5" i="12"/>
  <c r="L5" i="12"/>
  <c r="K5" i="12"/>
  <c r="I5" i="12"/>
  <c r="H5" i="12"/>
  <c r="G5" i="12"/>
  <c r="F5" i="12"/>
  <c r="E5" i="12"/>
  <c r="D5" i="12"/>
  <c r="C5" i="12"/>
  <c r="B5" i="12"/>
  <c r="AA4" i="12"/>
  <c r="Z4" i="12"/>
  <c r="Y4" i="12"/>
  <c r="R4" i="12"/>
  <c r="Q4" i="12"/>
  <c r="O4" i="12"/>
  <c r="N4" i="12"/>
  <c r="M4" i="12"/>
  <c r="L4" i="12"/>
  <c r="K4" i="12"/>
  <c r="I4" i="12"/>
  <c r="H4" i="12"/>
  <c r="G4" i="12"/>
  <c r="F4" i="12"/>
  <c r="E4" i="12"/>
  <c r="D4" i="12"/>
  <c r="C4" i="12"/>
  <c r="B4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B27" i="11"/>
  <c r="AA27" i="11"/>
  <c r="Z27" i="11"/>
  <c r="Q27" i="11"/>
  <c r="O27" i="11"/>
  <c r="M27" i="11"/>
  <c r="L27" i="11"/>
  <c r="K27" i="11"/>
  <c r="H27" i="11"/>
  <c r="G27" i="11"/>
  <c r="F27" i="11"/>
  <c r="E27" i="11"/>
  <c r="D27" i="11"/>
  <c r="C27" i="11"/>
  <c r="B27" i="11"/>
  <c r="AB26" i="11"/>
  <c r="AA26" i="11"/>
  <c r="Z26" i="11"/>
  <c r="Q26" i="11"/>
  <c r="O26" i="11"/>
  <c r="M26" i="11"/>
  <c r="L26" i="11"/>
  <c r="K26" i="11"/>
  <c r="I26" i="11"/>
  <c r="H26" i="11"/>
  <c r="G26" i="11"/>
  <c r="F26" i="11"/>
  <c r="E26" i="11"/>
  <c r="D26" i="11"/>
  <c r="C26" i="11"/>
  <c r="B26" i="11"/>
  <c r="AG25" i="11"/>
  <c r="AE25" i="11"/>
  <c r="AD25" i="11"/>
  <c r="AC25" i="11"/>
  <c r="AB25" i="11"/>
  <c r="AA25" i="11"/>
  <c r="Z25" i="11"/>
  <c r="Y25" i="11"/>
  <c r="Q25" i="11"/>
  <c r="O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E24" i="11"/>
  <c r="AD24" i="11"/>
  <c r="AC24" i="11"/>
  <c r="AB24" i="11"/>
  <c r="AA24" i="11"/>
  <c r="Z24" i="11"/>
  <c r="Q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B23" i="11"/>
  <c r="AA23" i="11"/>
  <c r="Z23" i="11"/>
  <c r="Y23" i="11"/>
  <c r="R23" i="11"/>
  <c r="Q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B22" i="11"/>
  <c r="AA22" i="11"/>
  <c r="Z22" i="11"/>
  <c r="Q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B21" i="11"/>
  <c r="AA21" i="11"/>
  <c r="Z21" i="11"/>
  <c r="Y21" i="11"/>
  <c r="R21" i="11"/>
  <c r="Q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E20" i="11"/>
  <c r="AD20" i="11"/>
  <c r="AC20" i="11"/>
  <c r="AB20" i="11"/>
  <c r="AA20" i="11"/>
  <c r="Z20" i="11"/>
  <c r="Q20" i="11"/>
  <c r="O20" i="11"/>
  <c r="M20" i="11"/>
  <c r="L20" i="11"/>
  <c r="K20" i="11"/>
  <c r="I20" i="11"/>
  <c r="H20" i="11"/>
  <c r="G20" i="11"/>
  <c r="F20" i="11"/>
  <c r="E20" i="11"/>
  <c r="D20" i="11"/>
  <c r="C20" i="11"/>
  <c r="B20" i="11"/>
  <c r="AE19" i="11"/>
  <c r="AC19" i="11"/>
  <c r="AB19" i="11"/>
  <c r="AA19" i="11"/>
  <c r="Z19" i="11"/>
  <c r="Y19" i="11"/>
  <c r="Q19" i="11"/>
  <c r="O19" i="11"/>
  <c r="N19" i="11"/>
  <c r="M19" i="11"/>
  <c r="L19" i="11"/>
  <c r="K19" i="11"/>
  <c r="I19" i="11"/>
  <c r="H19" i="11"/>
  <c r="G19" i="11"/>
  <c r="F19" i="11"/>
  <c r="E19" i="11"/>
  <c r="D19" i="11"/>
  <c r="C19" i="11"/>
  <c r="B19" i="11"/>
  <c r="AB18" i="11"/>
  <c r="AA18" i="11"/>
  <c r="Z18" i="11"/>
  <c r="Y18" i="11"/>
  <c r="Q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B17" i="11"/>
  <c r="AA17" i="11"/>
  <c r="Z17" i="11"/>
  <c r="Y17" i="11"/>
  <c r="R17" i="11"/>
  <c r="Q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B16" i="11"/>
  <c r="AA16" i="11"/>
  <c r="Z16" i="11"/>
  <c r="Y16" i="11"/>
  <c r="R16" i="11"/>
  <c r="Q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G15" i="11"/>
  <c r="AE15" i="11"/>
  <c r="AD15" i="11"/>
  <c r="AC15" i="11"/>
  <c r="AB15" i="11"/>
  <c r="AA15" i="11"/>
  <c r="Z15" i="11"/>
  <c r="Q15" i="11"/>
  <c r="O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E14" i="11"/>
  <c r="AD14" i="11"/>
  <c r="AC14" i="11"/>
  <c r="AB14" i="11"/>
  <c r="AA14" i="11"/>
  <c r="Z14" i="11"/>
  <c r="Q14" i="11"/>
  <c r="O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E13" i="11"/>
  <c r="AD13" i="11"/>
  <c r="AC13" i="11"/>
  <c r="AB13" i="11"/>
  <c r="AA13" i="11"/>
  <c r="Z13" i="11"/>
  <c r="Y13" i="11"/>
  <c r="Q13" i="11"/>
  <c r="O13" i="11"/>
  <c r="M13" i="11"/>
  <c r="L13" i="11"/>
  <c r="K13" i="11"/>
  <c r="I13" i="11"/>
  <c r="H13" i="11"/>
  <c r="G13" i="11"/>
  <c r="F13" i="11"/>
  <c r="E13" i="11"/>
  <c r="D13" i="11"/>
  <c r="C13" i="11"/>
  <c r="B13" i="11"/>
  <c r="AE12" i="11"/>
  <c r="AD12" i="11"/>
  <c r="AC12" i="11"/>
  <c r="AB12" i="11"/>
  <c r="AA12" i="11"/>
  <c r="Z12" i="11"/>
  <c r="Y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E11" i="11"/>
  <c r="AD11" i="11"/>
  <c r="AC11" i="11"/>
  <c r="AB11" i="11"/>
  <c r="AA11" i="11"/>
  <c r="Z11" i="11"/>
  <c r="Y11" i="11"/>
  <c r="Q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E10" i="11"/>
  <c r="AD10" i="11"/>
  <c r="AC10" i="11"/>
  <c r="AB10" i="11"/>
  <c r="AA10" i="11"/>
  <c r="Z10" i="11"/>
  <c r="Y10" i="11"/>
  <c r="Q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B9" i="11"/>
  <c r="AA9" i="11"/>
  <c r="Z9" i="11"/>
  <c r="Q9" i="11"/>
  <c r="O9" i="11"/>
  <c r="N9" i="11"/>
  <c r="M9" i="11"/>
  <c r="L9" i="11"/>
  <c r="K9" i="11"/>
  <c r="I9" i="11"/>
  <c r="H9" i="11"/>
  <c r="G9" i="11"/>
  <c r="F9" i="11"/>
  <c r="E9" i="11"/>
  <c r="D9" i="11"/>
  <c r="C9" i="11"/>
  <c r="B9" i="11"/>
  <c r="AE8" i="11"/>
  <c r="AD8" i="11"/>
  <c r="AC8" i="11"/>
  <c r="AB8" i="11"/>
  <c r="AA8" i="11"/>
  <c r="Z8" i="11"/>
  <c r="Y8" i="11"/>
  <c r="Q8" i="11"/>
  <c r="O8" i="11"/>
  <c r="M8" i="11"/>
  <c r="L8" i="11"/>
  <c r="K8" i="11"/>
  <c r="J8" i="11"/>
  <c r="I8" i="11"/>
  <c r="H8" i="11"/>
  <c r="G8" i="11"/>
  <c r="F8" i="11"/>
  <c r="E8" i="11"/>
  <c r="D8" i="11"/>
  <c r="C8" i="11"/>
  <c r="B8" i="11"/>
  <c r="AB7" i="11"/>
  <c r="AA7" i="11"/>
  <c r="Z7" i="11"/>
  <c r="R7" i="11"/>
  <c r="Q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E6" i="11"/>
  <c r="AD6" i="11"/>
  <c r="AC6" i="11"/>
  <c r="AB6" i="11"/>
  <c r="AA6" i="11"/>
  <c r="Z6" i="11"/>
  <c r="Y6" i="11"/>
  <c r="R6" i="11"/>
  <c r="Q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E5" i="11"/>
  <c r="AD5" i="11"/>
  <c r="AC5" i="11"/>
  <c r="AB5" i="11"/>
  <c r="AA5" i="11"/>
  <c r="Z5" i="11"/>
  <c r="Q5" i="11"/>
  <c r="O5" i="11"/>
  <c r="M5" i="11"/>
  <c r="L5" i="11"/>
  <c r="K5" i="11"/>
  <c r="J5" i="11"/>
  <c r="I5" i="11"/>
  <c r="H5" i="11"/>
  <c r="G5" i="11"/>
  <c r="F5" i="11"/>
  <c r="E5" i="11"/>
  <c r="D5" i="11"/>
  <c r="C5" i="11"/>
  <c r="B5" i="11"/>
  <c r="AB4" i="11"/>
  <c r="AA4" i="11"/>
  <c r="Z4" i="11"/>
  <c r="Q4" i="11"/>
  <c r="O4" i="11"/>
  <c r="M4" i="11"/>
  <c r="L4" i="11"/>
  <c r="K4" i="11"/>
  <c r="J4" i="11"/>
  <c r="I4" i="11"/>
  <c r="H4" i="11"/>
  <c r="G4" i="11"/>
  <c r="F4" i="11"/>
  <c r="E4" i="11"/>
  <c r="D4" i="11"/>
  <c r="C4" i="11"/>
  <c r="B4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B11" i="10"/>
  <c r="AA11" i="10"/>
  <c r="Z11" i="10"/>
  <c r="Y11" i="10"/>
  <c r="R11" i="10"/>
  <c r="Q11" i="10"/>
  <c r="O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E10" i="10"/>
  <c r="AD10" i="10"/>
  <c r="AC10" i="10"/>
  <c r="AB10" i="10"/>
  <c r="AA10" i="10"/>
  <c r="Z10" i="10"/>
  <c r="S10" i="10"/>
  <c r="Q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E9" i="10"/>
  <c r="AD9" i="10"/>
  <c r="AC9" i="10"/>
  <c r="AB9" i="10"/>
  <c r="AA9" i="10"/>
  <c r="Z9" i="10"/>
  <c r="Y9" i="10"/>
  <c r="Q9" i="10"/>
  <c r="O9" i="10"/>
  <c r="M9" i="10"/>
  <c r="L9" i="10"/>
  <c r="K9" i="10"/>
  <c r="J9" i="10"/>
  <c r="I9" i="10"/>
  <c r="H9" i="10"/>
  <c r="G9" i="10"/>
  <c r="F9" i="10"/>
  <c r="E9" i="10"/>
  <c r="D9" i="10"/>
  <c r="C9" i="10"/>
  <c r="B9" i="10"/>
  <c r="AE8" i="10"/>
  <c r="AD8" i="10"/>
  <c r="AC8" i="10"/>
  <c r="AB8" i="10"/>
  <c r="AA8" i="10"/>
  <c r="Z8" i="10"/>
  <c r="Y8" i="10"/>
  <c r="Q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E7" i="10"/>
  <c r="AD7" i="10"/>
  <c r="AC7" i="10"/>
  <c r="AB7" i="10"/>
  <c r="AA7" i="10"/>
  <c r="Z7" i="10"/>
  <c r="Y7" i="10"/>
  <c r="Q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E6" i="10"/>
  <c r="AD6" i="10"/>
  <c r="AC6" i="10"/>
  <c r="AB6" i="10"/>
  <c r="AA6" i="10"/>
  <c r="Z6" i="10"/>
  <c r="Y6" i="10"/>
  <c r="Q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G5" i="10"/>
  <c r="AE5" i="10"/>
  <c r="AD5" i="10"/>
  <c r="AC5" i="10"/>
  <c r="AB5" i="10"/>
  <c r="AA5" i="10"/>
  <c r="Z5" i="10"/>
  <c r="Y5" i="10"/>
  <c r="Q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E4" i="10"/>
  <c r="AD4" i="10"/>
  <c r="AC4" i="10"/>
  <c r="AB4" i="10"/>
  <c r="AA4" i="10"/>
  <c r="Z4" i="10"/>
  <c r="Y4" i="10"/>
  <c r="Q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B10" i="9"/>
  <c r="AA10" i="9"/>
  <c r="Z10" i="9"/>
  <c r="Y10" i="9"/>
  <c r="Q10" i="9"/>
  <c r="O10" i="9"/>
  <c r="M10" i="9"/>
  <c r="L10" i="9"/>
  <c r="K10" i="9"/>
  <c r="I10" i="9"/>
  <c r="H10" i="9"/>
  <c r="G10" i="9"/>
  <c r="F10" i="9"/>
  <c r="E10" i="9"/>
  <c r="D10" i="9"/>
  <c r="C10" i="9"/>
  <c r="B10" i="9"/>
  <c r="AB9" i="9"/>
  <c r="AA9" i="9"/>
  <c r="Z9" i="9"/>
  <c r="Y9" i="9"/>
  <c r="S9" i="9"/>
  <c r="Q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B8" i="9"/>
  <c r="AA8" i="9"/>
  <c r="Z8" i="9"/>
  <c r="Q8" i="9"/>
  <c r="O8" i="9"/>
  <c r="M8" i="9"/>
  <c r="L8" i="9"/>
  <c r="K8" i="9"/>
  <c r="I8" i="9"/>
  <c r="H8" i="9"/>
  <c r="G8" i="9"/>
  <c r="F8" i="9"/>
  <c r="E8" i="9"/>
  <c r="D8" i="9"/>
  <c r="C8" i="9"/>
  <c r="B8" i="9"/>
  <c r="AB7" i="9"/>
  <c r="AA7" i="9"/>
  <c r="Z7" i="9"/>
  <c r="Q7" i="9"/>
  <c r="O7" i="9"/>
  <c r="N7" i="9"/>
  <c r="M7" i="9"/>
  <c r="L7" i="9"/>
  <c r="K7" i="9"/>
  <c r="I7" i="9"/>
  <c r="H7" i="9"/>
  <c r="G7" i="9"/>
  <c r="F7" i="9"/>
  <c r="E7" i="9"/>
  <c r="D7" i="9"/>
  <c r="C7" i="9"/>
  <c r="B7" i="9"/>
  <c r="AB6" i="9"/>
  <c r="AA6" i="9"/>
  <c r="Z6" i="9"/>
  <c r="Y6" i="9"/>
  <c r="Q6" i="9"/>
  <c r="O6" i="9"/>
  <c r="M6" i="9"/>
  <c r="L6" i="9"/>
  <c r="K6" i="9"/>
  <c r="I6" i="9"/>
  <c r="H6" i="9"/>
  <c r="G6" i="9"/>
  <c r="F6" i="9"/>
  <c r="E6" i="9"/>
  <c r="D6" i="9"/>
  <c r="C6" i="9"/>
  <c r="B6" i="9"/>
  <c r="AB5" i="9"/>
  <c r="AA5" i="9"/>
  <c r="Z5" i="9"/>
  <c r="Y5" i="9"/>
  <c r="S5" i="9"/>
  <c r="Q5" i="9"/>
  <c r="O5" i="9"/>
  <c r="N5" i="9"/>
  <c r="M5" i="9"/>
  <c r="L5" i="9"/>
  <c r="K5" i="9"/>
  <c r="I5" i="9"/>
  <c r="H5" i="9"/>
  <c r="G5" i="9"/>
  <c r="F5" i="9"/>
  <c r="E5" i="9"/>
  <c r="D5" i="9"/>
  <c r="C5" i="9"/>
  <c r="B5" i="9"/>
  <c r="AB4" i="9"/>
  <c r="AA4" i="9"/>
  <c r="Z4" i="9"/>
  <c r="Y4" i="9"/>
  <c r="Q4" i="9"/>
  <c r="O4" i="9"/>
  <c r="M4" i="9"/>
  <c r="L4" i="9"/>
  <c r="K4" i="9"/>
  <c r="J4" i="9"/>
  <c r="I4" i="9"/>
  <c r="H4" i="9"/>
  <c r="G4" i="9"/>
  <c r="F4" i="9"/>
  <c r="E4" i="9"/>
  <c r="D4" i="9"/>
  <c r="C4" i="9"/>
  <c r="B4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B15" i="8"/>
  <c r="AA15" i="8"/>
  <c r="Z15" i="8"/>
  <c r="Y15" i="8"/>
  <c r="T15" i="8"/>
  <c r="S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C15" i="8"/>
  <c r="B15" i="8"/>
  <c r="AE14" i="8"/>
  <c r="AD14" i="8"/>
  <c r="AC14" i="8"/>
  <c r="AB14" i="8"/>
  <c r="AA14" i="8"/>
  <c r="Z14" i="8"/>
  <c r="S14" i="8"/>
  <c r="Q14" i="8"/>
  <c r="P14" i="8"/>
  <c r="O14" i="8"/>
  <c r="N14" i="8"/>
  <c r="M14" i="8"/>
  <c r="L14" i="8"/>
  <c r="K14" i="8"/>
  <c r="I14" i="8"/>
  <c r="H14" i="8"/>
  <c r="G14" i="8"/>
  <c r="F14" i="8"/>
  <c r="E14" i="8"/>
  <c r="D14" i="8"/>
  <c r="C14" i="8"/>
  <c r="B14" i="8"/>
  <c r="AB13" i="8"/>
  <c r="AA13" i="8"/>
  <c r="Z13" i="8"/>
  <c r="S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C13" i="8"/>
  <c r="B13" i="8"/>
  <c r="AE12" i="8"/>
  <c r="AD12" i="8"/>
  <c r="AC12" i="8"/>
  <c r="AB12" i="8"/>
  <c r="AA12" i="8"/>
  <c r="Z12" i="8"/>
  <c r="S12" i="8"/>
  <c r="R12" i="8"/>
  <c r="Q12" i="8"/>
  <c r="P12" i="8"/>
  <c r="O12" i="8"/>
  <c r="M12" i="8"/>
  <c r="L12" i="8"/>
  <c r="K12" i="8"/>
  <c r="I12" i="8"/>
  <c r="H12" i="8"/>
  <c r="G12" i="8"/>
  <c r="F12" i="8"/>
  <c r="E12" i="8"/>
  <c r="D12" i="8"/>
  <c r="C12" i="8"/>
  <c r="B12" i="8"/>
  <c r="AE11" i="8"/>
  <c r="AD11" i="8"/>
  <c r="AC11" i="8"/>
  <c r="AB11" i="8"/>
  <c r="AA11" i="8"/>
  <c r="Z11" i="8"/>
  <c r="Y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E10" i="8"/>
  <c r="AD10" i="8"/>
  <c r="AC10" i="8"/>
  <c r="AB10" i="8"/>
  <c r="AA10" i="8"/>
  <c r="Z10" i="8"/>
  <c r="S10" i="8"/>
  <c r="R10" i="8"/>
  <c r="Q10" i="8"/>
  <c r="P10" i="8"/>
  <c r="O10" i="8"/>
  <c r="M10" i="8"/>
  <c r="L10" i="8"/>
  <c r="K10" i="8"/>
  <c r="J10" i="8"/>
  <c r="I10" i="8"/>
  <c r="H10" i="8"/>
  <c r="G10" i="8"/>
  <c r="F10" i="8"/>
  <c r="E10" i="8"/>
  <c r="D10" i="8"/>
  <c r="C10" i="8"/>
  <c r="B10" i="8"/>
  <c r="AB9" i="8"/>
  <c r="AA9" i="8"/>
  <c r="Z9" i="8"/>
  <c r="Y9" i="8"/>
  <c r="S9" i="8"/>
  <c r="R9" i="8"/>
  <c r="Q9" i="8"/>
  <c r="P9" i="8"/>
  <c r="O9" i="8"/>
  <c r="M9" i="8"/>
  <c r="L9" i="8"/>
  <c r="K9" i="8"/>
  <c r="J9" i="8"/>
  <c r="I9" i="8"/>
  <c r="H9" i="8"/>
  <c r="G9" i="8"/>
  <c r="F9" i="8"/>
  <c r="E9" i="8"/>
  <c r="D9" i="8"/>
  <c r="C9" i="8"/>
  <c r="B9" i="8"/>
  <c r="AB8" i="8"/>
  <c r="AA8" i="8"/>
  <c r="Z8" i="8"/>
  <c r="Y8" i="8"/>
  <c r="S8" i="8"/>
  <c r="Q8" i="8"/>
  <c r="P8" i="8"/>
  <c r="O8" i="8"/>
  <c r="M8" i="8"/>
  <c r="L8" i="8"/>
  <c r="K8" i="8"/>
  <c r="J8" i="8"/>
  <c r="I8" i="8"/>
  <c r="H8" i="8"/>
  <c r="G8" i="8"/>
  <c r="F8" i="8"/>
  <c r="E8" i="8"/>
  <c r="D8" i="8"/>
  <c r="C8" i="8"/>
  <c r="B8" i="8"/>
  <c r="AE7" i="8"/>
  <c r="AD7" i="8"/>
  <c r="AC7" i="8"/>
  <c r="AB7" i="8"/>
  <c r="AA7" i="8"/>
  <c r="Z7" i="8"/>
  <c r="Y7" i="8"/>
  <c r="T7" i="8"/>
  <c r="S7" i="8"/>
  <c r="R7" i="8"/>
  <c r="Q7" i="8"/>
  <c r="P7" i="8"/>
  <c r="O7" i="8"/>
  <c r="M7" i="8"/>
  <c r="L7" i="8"/>
  <c r="K7" i="8"/>
  <c r="I7" i="8"/>
  <c r="H7" i="8"/>
  <c r="G7" i="8"/>
  <c r="F7" i="8"/>
  <c r="E7" i="8"/>
  <c r="D7" i="8"/>
  <c r="C7" i="8"/>
  <c r="B7" i="8"/>
  <c r="AE6" i="8"/>
  <c r="AD6" i="8"/>
  <c r="AC6" i="8"/>
  <c r="AB6" i="8"/>
  <c r="AA6" i="8"/>
  <c r="Z6" i="8"/>
  <c r="Y6" i="8"/>
  <c r="S6" i="8"/>
  <c r="R6" i="8"/>
  <c r="Q6" i="8"/>
  <c r="P6" i="8"/>
  <c r="O6" i="8"/>
  <c r="M6" i="8"/>
  <c r="L6" i="8"/>
  <c r="K6" i="8"/>
  <c r="J6" i="8"/>
  <c r="I6" i="8"/>
  <c r="H6" i="8"/>
  <c r="G6" i="8"/>
  <c r="F6" i="8"/>
  <c r="E6" i="8"/>
  <c r="D6" i="8"/>
  <c r="C6" i="8"/>
  <c r="B6" i="8"/>
  <c r="AE5" i="8"/>
  <c r="AD5" i="8"/>
  <c r="AC5" i="8"/>
  <c r="AB5" i="8"/>
  <c r="AA5" i="8"/>
  <c r="Z5" i="8"/>
  <c r="Y5" i="8"/>
  <c r="S5" i="8"/>
  <c r="R5" i="8"/>
  <c r="Q5" i="8"/>
  <c r="P5" i="8"/>
  <c r="O5" i="8"/>
  <c r="M5" i="8"/>
  <c r="L5" i="8"/>
  <c r="K5" i="8"/>
  <c r="J5" i="8"/>
  <c r="I5" i="8"/>
  <c r="H5" i="8"/>
  <c r="G5" i="8"/>
  <c r="F5" i="8"/>
  <c r="E5" i="8"/>
  <c r="D5" i="8"/>
  <c r="C5" i="8"/>
  <c r="B5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B126" i="7"/>
  <c r="AA126" i="7"/>
  <c r="Z126" i="7"/>
  <c r="Y126" i="7"/>
  <c r="Q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B125" i="7"/>
  <c r="AA125" i="7"/>
  <c r="Z125" i="7"/>
  <c r="Y125" i="7"/>
  <c r="R125" i="7"/>
  <c r="Q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B124" i="7"/>
  <c r="AA124" i="7"/>
  <c r="Z124" i="7"/>
  <c r="Y124" i="7"/>
  <c r="Q124" i="7"/>
  <c r="O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B123" i="7"/>
  <c r="AA123" i="7"/>
  <c r="Z123" i="7"/>
  <c r="Y123" i="7"/>
  <c r="Q123" i="7"/>
  <c r="O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B122" i="7"/>
  <c r="AA122" i="7"/>
  <c r="Z122" i="7"/>
  <c r="Y122" i="7"/>
  <c r="Q122" i="7"/>
  <c r="O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E121" i="7"/>
  <c r="AD121" i="7"/>
  <c r="AC121" i="7"/>
  <c r="AB121" i="7"/>
  <c r="AA121" i="7"/>
  <c r="Z121" i="7"/>
  <c r="Y121" i="7"/>
  <c r="Q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E120" i="7"/>
  <c r="AD120" i="7"/>
  <c r="AC120" i="7"/>
  <c r="AB120" i="7"/>
  <c r="AA120" i="7"/>
  <c r="Z120" i="7"/>
  <c r="Y120" i="7"/>
  <c r="Q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E119" i="7"/>
  <c r="AD119" i="7"/>
  <c r="AC119" i="7"/>
  <c r="AB119" i="7"/>
  <c r="AA119" i="7"/>
  <c r="Z119" i="7"/>
  <c r="Y119" i="7"/>
  <c r="Q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E118" i="7"/>
  <c r="AD118" i="7"/>
  <c r="AC118" i="7"/>
  <c r="AB118" i="7"/>
  <c r="AA118" i="7"/>
  <c r="Z118" i="7"/>
  <c r="Y118" i="7"/>
  <c r="Q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E117" i="7"/>
  <c r="AD117" i="7"/>
  <c r="AC117" i="7"/>
  <c r="AB117" i="7"/>
  <c r="AA117" i="7"/>
  <c r="Z117" i="7"/>
  <c r="Y117" i="7"/>
  <c r="Q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E116" i="7"/>
  <c r="AD116" i="7"/>
  <c r="AC116" i="7"/>
  <c r="AB116" i="7"/>
  <c r="AA116" i="7"/>
  <c r="Z116" i="7"/>
  <c r="Y116" i="7"/>
  <c r="Q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E115" i="7"/>
  <c r="AD115" i="7"/>
  <c r="AC115" i="7"/>
  <c r="AB115" i="7"/>
  <c r="AA115" i="7"/>
  <c r="Z115" i="7"/>
  <c r="Y115" i="7"/>
  <c r="Q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E114" i="7"/>
  <c r="AD114" i="7"/>
  <c r="AC114" i="7"/>
  <c r="AB114" i="7"/>
  <c r="AA114" i="7"/>
  <c r="Z114" i="7"/>
  <c r="Y114" i="7"/>
  <c r="Q114" i="7"/>
  <c r="O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E113" i="7"/>
  <c r="AD113" i="7"/>
  <c r="AC113" i="7"/>
  <c r="AB113" i="7"/>
  <c r="AA113" i="7"/>
  <c r="Z113" i="7"/>
  <c r="Y113" i="7"/>
  <c r="Q113" i="7"/>
  <c r="O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E112" i="7"/>
  <c r="AD112" i="7"/>
  <c r="AC112" i="7"/>
  <c r="AB112" i="7"/>
  <c r="AA112" i="7"/>
  <c r="Z112" i="7"/>
  <c r="Q112" i="7"/>
  <c r="O112" i="7"/>
  <c r="N112" i="7"/>
  <c r="M112" i="7"/>
  <c r="L112" i="7"/>
  <c r="K112" i="7"/>
  <c r="I112" i="7"/>
  <c r="H112" i="7"/>
  <c r="G112" i="7"/>
  <c r="F112" i="7"/>
  <c r="E112" i="7"/>
  <c r="D112" i="7"/>
  <c r="C112" i="7"/>
  <c r="B112" i="7"/>
  <c r="AE111" i="7"/>
  <c r="AD111" i="7"/>
  <c r="AC111" i="7"/>
  <c r="AB111" i="7"/>
  <c r="AA111" i="7"/>
  <c r="Z111" i="7"/>
  <c r="Y111" i="7"/>
  <c r="Q111" i="7"/>
  <c r="O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E110" i="7"/>
  <c r="AD110" i="7"/>
  <c r="AC110" i="7"/>
  <c r="AB110" i="7"/>
  <c r="AA110" i="7"/>
  <c r="Z110" i="7"/>
  <c r="Y110" i="7"/>
  <c r="Q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E109" i="7"/>
  <c r="AD109" i="7"/>
  <c r="AC109" i="7"/>
  <c r="AB109" i="7"/>
  <c r="AA109" i="7"/>
  <c r="Z109" i="7"/>
  <c r="Y109" i="7"/>
  <c r="Q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E108" i="7"/>
  <c r="AD108" i="7"/>
  <c r="AC108" i="7"/>
  <c r="AB108" i="7"/>
  <c r="AA108" i="7"/>
  <c r="Z108" i="7"/>
  <c r="S108" i="7"/>
  <c r="Q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E107" i="7"/>
  <c r="AD107" i="7"/>
  <c r="AC107" i="7"/>
  <c r="AB107" i="7"/>
  <c r="AA107" i="7"/>
  <c r="Z107" i="7"/>
  <c r="Y107" i="7"/>
  <c r="S107" i="7"/>
  <c r="Q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B106" i="7"/>
  <c r="AA106" i="7"/>
  <c r="Z106" i="7"/>
  <c r="Y106" i="7"/>
  <c r="R106" i="7"/>
  <c r="Q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E105" i="7"/>
  <c r="AD105" i="7"/>
  <c r="AC105" i="7"/>
  <c r="AB105" i="7"/>
  <c r="AA105" i="7"/>
  <c r="Z105" i="7"/>
  <c r="Y105" i="7"/>
  <c r="Q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E104" i="7"/>
  <c r="AD104" i="7"/>
  <c r="AC104" i="7"/>
  <c r="AB104" i="7"/>
  <c r="AA104" i="7"/>
  <c r="Z104" i="7"/>
  <c r="Y104" i="7"/>
  <c r="Q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B103" i="7"/>
  <c r="AA103" i="7"/>
  <c r="Z103" i="7"/>
  <c r="S103" i="7"/>
  <c r="R103" i="7"/>
  <c r="Q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B102" i="7"/>
  <c r="AA102" i="7"/>
  <c r="Z102" i="7"/>
  <c r="Y102" i="7"/>
  <c r="S102" i="7"/>
  <c r="R102" i="7"/>
  <c r="Q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E101" i="7"/>
  <c r="AD101" i="7"/>
  <c r="AC101" i="7"/>
  <c r="AB101" i="7"/>
  <c r="AA101" i="7"/>
  <c r="Z101" i="7"/>
  <c r="Y101" i="7"/>
  <c r="Q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E100" i="7"/>
  <c r="AD100" i="7"/>
  <c r="AC100" i="7"/>
  <c r="AB100" i="7"/>
  <c r="AA100" i="7"/>
  <c r="Z100" i="7"/>
  <c r="Y100" i="7"/>
  <c r="R100" i="7"/>
  <c r="Q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E99" i="7"/>
  <c r="AD99" i="7"/>
  <c r="AC99" i="7"/>
  <c r="AB99" i="7"/>
  <c r="AA99" i="7"/>
  <c r="Z99" i="7"/>
  <c r="Y99" i="7"/>
  <c r="Q99" i="7"/>
  <c r="O99" i="7"/>
  <c r="M99" i="7"/>
  <c r="L99" i="7"/>
  <c r="K99" i="7"/>
  <c r="J99" i="7"/>
  <c r="I99" i="7"/>
  <c r="H99" i="7"/>
  <c r="G99" i="7"/>
  <c r="F99" i="7"/>
  <c r="E99" i="7"/>
  <c r="D99" i="7"/>
  <c r="C99" i="7"/>
  <c r="B99" i="7"/>
  <c r="AE98" i="7"/>
  <c r="AD98" i="7"/>
  <c r="AC98" i="7"/>
  <c r="AB98" i="7"/>
  <c r="AA98" i="7"/>
  <c r="Z98" i="7"/>
  <c r="Y98" i="7"/>
  <c r="Q98" i="7"/>
  <c r="O98" i="7"/>
  <c r="M98" i="7"/>
  <c r="L98" i="7"/>
  <c r="K98" i="7"/>
  <c r="J98" i="7"/>
  <c r="I98" i="7"/>
  <c r="H98" i="7"/>
  <c r="G98" i="7"/>
  <c r="F98" i="7"/>
  <c r="E98" i="7"/>
  <c r="D98" i="7"/>
  <c r="C98" i="7"/>
  <c r="B98" i="7"/>
  <c r="AE97" i="7"/>
  <c r="AD97" i="7"/>
  <c r="AC97" i="7"/>
  <c r="AB97" i="7"/>
  <c r="AA97" i="7"/>
  <c r="Z97" i="7"/>
  <c r="Y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E96" i="7"/>
  <c r="AD96" i="7"/>
  <c r="AC96" i="7"/>
  <c r="AB96" i="7"/>
  <c r="AA96" i="7"/>
  <c r="Z96" i="7"/>
  <c r="Y96" i="7"/>
  <c r="Q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E95" i="7"/>
  <c r="AD95" i="7"/>
  <c r="AC95" i="7"/>
  <c r="AB95" i="7"/>
  <c r="AA95" i="7"/>
  <c r="Z95" i="7"/>
  <c r="Y95" i="7"/>
  <c r="R95" i="7"/>
  <c r="Q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AE94" i="7"/>
  <c r="AD94" i="7"/>
  <c r="AC94" i="7"/>
  <c r="AB94" i="7"/>
  <c r="AA94" i="7"/>
  <c r="Z94" i="7"/>
  <c r="Y94" i="7"/>
  <c r="Q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AE93" i="7"/>
  <c r="AD93" i="7"/>
  <c r="AC93" i="7"/>
  <c r="AB93" i="7"/>
  <c r="AA93" i="7"/>
  <c r="Z93" i="7"/>
  <c r="Y93" i="7"/>
  <c r="Q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AE92" i="7"/>
  <c r="AD92" i="7"/>
  <c r="AC92" i="7"/>
  <c r="AB92" i="7"/>
  <c r="AA92" i="7"/>
  <c r="Z92" i="7"/>
  <c r="Y92" i="7"/>
  <c r="Q92" i="7"/>
  <c r="O92" i="7"/>
  <c r="M92" i="7"/>
  <c r="L92" i="7"/>
  <c r="K92" i="7"/>
  <c r="J92" i="7"/>
  <c r="I92" i="7"/>
  <c r="H92" i="7"/>
  <c r="G92" i="7"/>
  <c r="F92" i="7"/>
  <c r="E92" i="7"/>
  <c r="D92" i="7"/>
  <c r="C92" i="7"/>
  <c r="B92" i="7"/>
  <c r="AE91" i="7"/>
  <c r="AD91" i="7"/>
  <c r="AC91" i="7"/>
  <c r="AB91" i="7"/>
  <c r="AA91" i="7"/>
  <c r="Z91" i="7"/>
  <c r="Y91" i="7"/>
  <c r="Q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E90" i="7"/>
  <c r="AD90" i="7"/>
  <c r="AC90" i="7"/>
  <c r="AB90" i="7"/>
  <c r="AA90" i="7"/>
  <c r="Z90" i="7"/>
  <c r="Y90" i="7"/>
  <c r="Q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AE89" i="7"/>
  <c r="AD89" i="7"/>
  <c r="AC89" i="7"/>
  <c r="AB89" i="7"/>
  <c r="AA89" i="7"/>
  <c r="Z89" i="7"/>
  <c r="Y89" i="7"/>
  <c r="Q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E88" i="7"/>
  <c r="AD88" i="7"/>
  <c r="AC88" i="7"/>
  <c r="AB88" i="7"/>
  <c r="AA88" i="7"/>
  <c r="Z88" i="7"/>
  <c r="Y88" i="7"/>
  <c r="Q88" i="7"/>
  <c r="O88" i="7"/>
  <c r="M88" i="7"/>
  <c r="L88" i="7"/>
  <c r="K88" i="7"/>
  <c r="J88" i="7"/>
  <c r="I88" i="7"/>
  <c r="H88" i="7"/>
  <c r="G88" i="7"/>
  <c r="F88" i="7"/>
  <c r="E88" i="7"/>
  <c r="D88" i="7"/>
  <c r="C88" i="7"/>
  <c r="B88" i="7"/>
  <c r="AE87" i="7"/>
  <c r="AD87" i="7"/>
  <c r="AC87" i="7"/>
  <c r="AB87" i="7"/>
  <c r="AA87" i="7"/>
  <c r="Z87" i="7"/>
  <c r="Y87" i="7"/>
  <c r="Q87" i="7"/>
  <c r="O87" i="7"/>
  <c r="M87" i="7"/>
  <c r="L87" i="7"/>
  <c r="K87" i="7"/>
  <c r="J87" i="7"/>
  <c r="I87" i="7"/>
  <c r="H87" i="7"/>
  <c r="G87" i="7"/>
  <c r="F87" i="7"/>
  <c r="E87" i="7"/>
  <c r="D87" i="7"/>
  <c r="C87" i="7"/>
  <c r="B87" i="7"/>
  <c r="AE86" i="7"/>
  <c r="AD86" i="7"/>
  <c r="AC86" i="7"/>
  <c r="AB86" i="7"/>
  <c r="AA86" i="7"/>
  <c r="Z86" i="7"/>
  <c r="Y86" i="7"/>
  <c r="Q86" i="7"/>
  <c r="O86" i="7"/>
  <c r="M86" i="7"/>
  <c r="L86" i="7"/>
  <c r="K86" i="7"/>
  <c r="J86" i="7"/>
  <c r="I86" i="7"/>
  <c r="H86" i="7"/>
  <c r="G86" i="7"/>
  <c r="F86" i="7"/>
  <c r="E86" i="7"/>
  <c r="D86" i="7"/>
  <c r="C86" i="7"/>
  <c r="B86" i="7"/>
  <c r="AE85" i="7"/>
  <c r="AD85" i="7"/>
  <c r="AC85" i="7"/>
  <c r="AB85" i="7"/>
  <c r="AA85" i="7"/>
  <c r="Z85" i="7"/>
  <c r="Q85" i="7"/>
  <c r="O85" i="7"/>
  <c r="M85" i="7"/>
  <c r="L85" i="7"/>
  <c r="K85" i="7"/>
  <c r="J85" i="7"/>
  <c r="I85" i="7"/>
  <c r="H85" i="7"/>
  <c r="G85" i="7"/>
  <c r="F85" i="7"/>
  <c r="E85" i="7"/>
  <c r="D85" i="7"/>
  <c r="C85" i="7"/>
  <c r="B85" i="7"/>
  <c r="AE84" i="7"/>
  <c r="AD84" i="7"/>
  <c r="AC84" i="7"/>
  <c r="AB84" i="7"/>
  <c r="AA84" i="7"/>
  <c r="Z84" i="7"/>
  <c r="Y84" i="7"/>
  <c r="Q84" i="7"/>
  <c r="O84" i="7"/>
  <c r="N84" i="7"/>
  <c r="M84" i="7"/>
  <c r="L84" i="7"/>
  <c r="K84" i="7"/>
  <c r="I84" i="7"/>
  <c r="H84" i="7"/>
  <c r="G84" i="7"/>
  <c r="F84" i="7"/>
  <c r="E84" i="7"/>
  <c r="D84" i="7"/>
  <c r="C84" i="7"/>
  <c r="B84" i="7"/>
  <c r="AE83" i="7"/>
  <c r="AD83" i="7"/>
  <c r="AC83" i="7"/>
  <c r="AB83" i="7"/>
  <c r="AA83" i="7"/>
  <c r="Z83" i="7"/>
  <c r="Y83" i="7"/>
  <c r="Q83" i="7"/>
  <c r="O83" i="7"/>
  <c r="M83" i="7"/>
  <c r="L83" i="7"/>
  <c r="K83" i="7"/>
  <c r="J83" i="7"/>
  <c r="I83" i="7"/>
  <c r="H83" i="7"/>
  <c r="G83" i="7"/>
  <c r="F83" i="7"/>
  <c r="E83" i="7"/>
  <c r="D83" i="7"/>
  <c r="C83" i="7"/>
  <c r="B83" i="7"/>
  <c r="AE82" i="7"/>
  <c r="AD82" i="7"/>
  <c r="AC82" i="7"/>
  <c r="AB82" i="7"/>
  <c r="AA82" i="7"/>
  <c r="Z82" i="7"/>
  <c r="Y82" i="7"/>
  <c r="R82" i="7"/>
  <c r="Q82" i="7"/>
  <c r="O82" i="7"/>
  <c r="M82" i="7"/>
  <c r="L82" i="7"/>
  <c r="K82" i="7"/>
  <c r="J82" i="7"/>
  <c r="I82" i="7"/>
  <c r="H82" i="7"/>
  <c r="G82" i="7"/>
  <c r="F82" i="7"/>
  <c r="E82" i="7"/>
  <c r="D82" i="7"/>
  <c r="C82" i="7"/>
  <c r="B82" i="7"/>
  <c r="AE81" i="7"/>
  <c r="AD81" i="7"/>
  <c r="AC81" i="7"/>
  <c r="AB81" i="7"/>
  <c r="AA81" i="7"/>
  <c r="Z81" i="7"/>
  <c r="Y81" i="7"/>
  <c r="Q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E80" i="7"/>
  <c r="AD80" i="7"/>
  <c r="AC80" i="7"/>
  <c r="AB80" i="7"/>
  <c r="AA80" i="7"/>
  <c r="Z80" i="7"/>
  <c r="Y80" i="7"/>
  <c r="Q80" i="7"/>
  <c r="O80" i="7"/>
  <c r="M80" i="7"/>
  <c r="L80" i="7"/>
  <c r="K80" i="7"/>
  <c r="J80" i="7"/>
  <c r="I80" i="7"/>
  <c r="H80" i="7"/>
  <c r="G80" i="7"/>
  <c r="F80" i="7"/>
  <c r="E80" i="7"/>
  <c r="D80" i="7"/>
  <c r="C80" i="7"/>
  <c r="B80" i="7"/>
  <c r="AE79" i="7"/>
  <c r="AD79" i="7"/>
  <c r="AC79" i="7"/>
  <c r="AB79" i="7"/>
  <c r="AA79" i="7"/>
  <c r="Z79" i="7"/>
  <c r="Y79" i="7"/>
  <c r="Q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E78" i="7"/>
  <c r="AD78" i="7"/>
  <c r="AC78" i="7"/>
  <c r="AB78" i="7"/>
  <c r="AA78" i="7"/>
  <c r="Z78" i="7"/>
  <c r="Q78" i="7"/>
  <c r="O78" i="7"/>
  <c r="N78" i="7"/>
  <c r="M78" i="7"/>
  <c r="L78" i="7"/>
  <c r="K78" i="7"/>
  <c r="I78" i="7"/>
  <c r="H78" i="7"/>
  <c r="G78" i="7"/>
  <c r="F78" i="7"/>
  <c r="E78" i="7"/>
  <c r="D78" i="7"/>
  <c r="C78" i="7"/>
  <c r="B78" i="7"/>
  <c r="AE77" i="7"/>
  <c r="AD77" i="7"/>
  <c r="AC77" i="7"/>
  <c r="AB77" i="7"/>
  <c r="AA77" i="7"/>
  <c r="Z77" i="7"/>
  <c r="Q77" i="7"/>
  <c r="O77" i="7"/>
  <c r="M77" i="7"/>
  <c r="L77" i="7"/>
  <c r="K77" i="7"/>
  <c r="J77" i="7"/>
  <c r="I77" i="7"/>
  <c r="H77" i="7"/>
  <c r="G77" i="7"/>
  <c r="F77" i="7"/>
  <c r="E77" i="7"/>
  <c r="D77" i="7"/>
  <c r="C77" i="7"/>
  <c r="B77" i="7"/>
  <c r="AE76" i="7"/>
  <c r="AD76" i="7"/>
  <c r="AC76" i="7"/>
  <c r="AB76" i="7"/>
  <c r="AA76" i="7"/>
  <c r="Z76" i="7"/>
  <c r="Q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E75" i="7"/>
  <c r="AD75" i="7"/>
  <c r="AC75" i="7"/>
  <c r="AB75" i="7"/>
  <c r="AA75" i="7"/>
  <c r="Z75" i="7"/>
  <c r="Y75" i="7"/>
  <c r="Q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E74" i="7"/>
  <c r="AD74" i="7"/>
  <c r="AC74" i="7"/>
  <c r="AB74" i="7"/>
  <c r="AA74" i="7"/>
  <c r="Z74" i="7"/>
  <c r="Y74" i="7"/>
  <c r="R74" i="7"/>
  <c r="Q74" i="7"/>
  <c r="O74" i="7"/>
  <c r="M74" i="7"/>
  <c r="L74" i="7"/>
  <c r="K74" i="7"/>
  <c r="J74" i="7"/>
  <c r="I74" i="7"/>
  <c r="H74" i="7"/>
  <c r="G74" i="7"/>
  <c r="F74" i="7"/>
  <c r="E74" i="7"/>
  <c r="D74" i="7"/>
  <c r="C74" i="7"/>
  <c r="B74" i="7"/>
  <c r="AE73" i="7"/>
  <c r="AD73" i="7"/>
  <c r="AC73" i="7"/>
  <c r="AB73" i="7"/>
  <c r="AA73" i="7"/>
  <c r="Z73" i="7"/>
  <c r="Y73" i="7"/>
  <c r="Q73" i="7"/>
  <c r="O73" i="7"/>
  <c r="M73" i="7"/>
  <c r="L73" i="7"/>
  <c r="K73" i="7"/>
  <c r="J73" i="7"/>
  <c r="I73" i="7"/>
  <c r="H73" i="7"/>
  <c r="G73" i="7"/>
  <c r="F73" i="7"/>
  <c r="E73" i="7"/>
  <c r="D73" i="7"/>
  <c r="C73" i="7"/>
  <c r="B73" i="7"/>
  <c r="AB72" i="7"/>
  <c r="AA72" i="7"/>
  <c r="Z72" i="7"/>
  <c r="Y72" i="7"/>
  <c r="R72" i="7"/>
  <c r="Q72" i="7"/>
  <c r="O72" i="7"/>
  <c r="M72" i="7"/>
  <c r="L72" i="7"/>
  <c r="K72" i="7"/>
  <c r="J72" i="7"/>
  <c r="I72" i="7"/>
  <c r="H72" i="7"/>
  <c r="G72" i="7"/>
  <c r="F72" i="7"/>
  <c r="E72" i="7"/>
  <c r="D72" i="7"/>
  <c r="C72" i="7"/>
  <c r="B72" i="7"/>
  <c r="AE71" i="7"/>
  <c r="AD71" i="7"/>
  <c r="AC71" i="7"/>
  <c r="AB71" i="7"/>
  <c r="AA71" i="7"/>
  <c r="Z71" i="7"/>
  <c r="Y71" i="7"/>
  <c r="Q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E70" i="7"/>
  <c r="AC70" i="7"/>
  <c r="AB70" i="7"/>
  <c r="AA70" i="7"/>
  <c r="Z70" i="7"/>
  <c r="Y70" i="7"/>
  <c r="Q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E69" i="7"/>
  <c r="AC69" i="7"/>
  <c r="AB69" i="7"/>
  <c r="AA69" i="7"/>
  <c r="Z69" i="7"/>
  <c r="Y69" i="7"/>
  <c r="Q69" i="7"/>
  <c r="O69" i="7"/>
  <c r="M69" i="7"/>
  <c r="L69" i="7"/>
  <c r="K69" i="7"/>
  <c r="J69" i="7"/>
  <c r="I69" i="7"/>
  <c r="H69" i="7"/>
  <c r="G69" i="7"/>
  <c r="F69" i="7"/>
  <c r="E69" i="7"/>
  <c r="D69" i="7"/>
  <c r="C69" i="7"/>
  <c r="B69" i="7"/>
  <c r="AE68" i="7"/>
  <c r="AD68" i="7"/>
  <c r="AC68" i="7"/>
  <c r="AB68" i="7"/>
  <c r="AA68" i="7"/>
  <c r="Z68" i="7"/>
  <c r="Y68" i="7"/>
  <c r="R68" i="7"/>
  <c r="Q68" i="7"/>
  <c r="O68" i="7"/>
  <c r="M68" i="7"/>
  <c r="L68" i="7"/>
  <c r="K68" i="7"/>
  <c r="J68" i="7"/>
  <c r="I68" i="7"/>
  <c r="H68" i="7"/>
  <c r="G68" i="7"/>
  <c r="F68" i="7"/>
  <c r="E68" i="7"/>
  <c r="D68" i="7"/>
  <c r="C68" i="7"/>
  <c r="B68" i="7"/>
  <c r="AE67" i="7"/>
  <c r="AD67" i="7"/>
  <c r="AC67" i="7"/>
  <c r="AB67" i="7"/>
  <c r="AA67" i="7"/>
  <c r="Z67" i="7"/>
  <c r="Y67" i="7"/>
  <c r="Q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E66" i="7"/>
  <c r="AD66" i="7"/>
  <c r="AC66" i="7"/>
  <c r="AB66" i="7"/>
  <c r="AA66" i="7"/>
  <c r="Z66" i="7"/>
  <c r="Y66" i="7"/>
  <c r="Q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E65" i="7"/>
  <c r="AD65" i="7"/>
  <c r="AC65" i="7"/>
  <c r="AB65" i="7"/>
  <c r="AA65" i="7"/>
  <c r="Z65" i="7"/>
  <c r="R65" i="7"/>
  <c r="Q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E64" i="7"/>
  <c r="AD64" i="7"/>
  <c r="AC64" i="7"/>
  <c r="AB64" i="7"/>
  <c r="AA64" i="7"/>
  <c r="Z64" i="7"/>
  <c r="Y64" i="7"/>
  <c r="R64" i="7"/>
  <c r="Q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E63" i="7"/>
  <c r="AD63" i="7"/>
  <c r="AC63" i="7"/>
  <c r="AB63" i="7"/>
  <c r="AA63" i="7"/>
  <c r="Z63" i="7"/>
  <c r="Y63" i="7"/>
  <c r="Q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E62" i="7"/>
  <c r="AD62" i="7"/>
  <c r="AC62" i="7"/>
  <c r="AB62" i="7"/>
  <c r="AA62" i="7"/>
  <c r="Z62" i="7"/>
  <c r="Y62" i="7"/>
  <c r="Q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E61" i="7"/>
  <c r="AD61" i="7"/>
  <c r="AC61" i="7"/>
  <c r="AB61" i="7"/>
  <c r="AA61" i="7"/>
  <c r="Z61" i="7"/>
  <c r="Y61" i="7"/>
  <c r="Q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E60" i="7"/>
  <c r="AD60" i="7"/>
  <c r="AC60" i="7"/>
  <c r="AB60" i="7"/>
  <c r="AA60" i="7"/>
  <c r="Z60" i="7"/>
  <c r="Y60" i="7"/>
  <c r="R60" i="7"/>
  <c r="Q60" i="7"/>
  <c r="O60" i="7"/>
  <c r="M60" i="7"/>
  <c r="L60" i="7"/>
  <c r="K60" i="7"/>
  <c r="J60" i="7"/>
  <c r="I60" i="7"/>
  <c r="H60" i="7"/>
  <c r="G60" i="7"/>
  <c r="F60" i="7"/>
  <c r="E60" i="7"/>
  <c r="D60" i="7"/>
  <c r="C60" i="7"/>
  <c r="B60" i="7"/>
  <c r="AE59" i="7"/>
  <c r="AD59" i="7"/>
  <c r="AC59" i="7"/>
  <c r="AB59" i="7"/>
  <c r="AA59" i="7"/>
  <c r="Z59" i="7"/>
  <c r="Y59" i="7"/>
  <c r="Q59" i="7"/>
  <c r="O59" i="7"/>
  <c r="M59" i="7"/>
  <c r="L59" i="7"/>
  <c r="K59" i="7"/>
  <c r="J59" i="7"/>
  <c r="I59" i="7"/>
  <c r="H59" i="7"/>
  <c r="G59" i="7"/>
  <c r="F59" i="7"/>
  <c r="E59" i="7"/>
  <c r="D59" i="7"/>
  <c r="C59" i="7"/>
  <c r="B59" i="7"/>
  <c r="AB58" i="7"/>
  <c r="AA58" i="7"/>
  <c r="Z58" i="7"/>
  <c r="R58" i="7"/>
  <c r="Q58" i="7"/>
  <c r="O58" i="7"/>
  <c r="M58" i="7"/>
  <c r="L58" i="7"/>
  <c r="K58" i="7"/>
  <c r="I58" i="7"/>
  <c r="H58" i="7"/>
  <c r="G58" i="7"/>
  <c r="F58" i="7"/>
  <c r="E58" i="7"/>
  <c r="D58" i="7"/>
  <c r="C58" i="7"/>
  <c r="B58" i="7"/>
  <c r="AE57" i="7"/>
  <c r="AD57" i="7"/>
  <c r="AC57" i="7"/>
  <c r="AB57" i="7"/>
  <c r="AA57" i="7"/>
  <c r="Z57" i="7"/>
  <c r="Y57" i="7"/>
  <c r="Q57" i="7"/>
  <c r="O57" i="7"/>
  <c r="M57" i="7"/>
  <c r="L57" i="7"/>
  <c r="K57" i="7"/>
  <c r="J57" i="7"/>
  <c r="I57" i="7"/>
  <c r="H57" i="7"/>
  <c r="G57" i="7"/>
  <c r="F57" i="7"/>
  <c r="E57" i="7"/>
  <c r="D57" i="7"/>
  <c r="C57" i="7"/>
  <c r="B57" i="7"/>
  <c r="AE56" i="7"/>
  <c r="AD56" i="7"/>
  <c r="AC56" i="7"/>
  <c r="AB56" i="7"/>
  <c r="AA56" i="7"/>
  <c r="Z56" i="7"/>
  <c r="Y56" i="7"/>
  <c r="R56" i="7"/>
  <c r="Q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E55" i="7"/>
  <c r="AD55" i="7"/>
  <c r="AC55" i="7"/>
  <c r="AB55" i="7"/>
  <c r="AA55" i="7"/>
  <c r="Z55" i="7"/>
  <c r="Y55" i="7"/>
  <c r="R55" i="7"/>
  <c r="Q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E54" i="7"/>
  <c r="AD54" i="7"/>
  <c r="AC54" i="7"/>
  <c r="AB54" i="7"/>
  <c r="AA54" i="7"/>
  <c r="Z54" i="7"/>
  <c r="S54" i="7"/>
  <c r="Q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E53" i="7"/>
  <c r="AD53" i="7"/>
  <c r="AC53" i="7"/>
  <c r="AB53" i="7"/>
  <c r="AA53" i="7"/>
  <c r="Z53" i="7"/>
  <c r="S53" i="7"/>
  <c r="R53" i="7"/>
  <c r="Q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E52" i="7"/>
  <c r="AD52" i="7"/>
  <c r="AC52" i="7"/>
  <c r="AB52" i="7"/>
  <c r="AA52" i="7"/>
  <c r="Z52" i="7"/>
  <c r="Y52" i="7"/>
  <c r="Q52" i="7"/>
  <c r="O52" i="7"/>
  <c r="M52" i="7"/>
  <c r="L52" i="7"/>
  <c r="K52" i="7"/>
  <c r="J52" i="7"/>
  <c r="I52" i="7"/>
  <c r="H52" i="7"/>
  <c r="G52" i="7"/>
  <c r="F52" i="7"/>
  <c r="E52" i="7"/>
  <c r="D52" i="7"/>
  <c r="C52" i="7"/>
  <c r="B52" i="7"/>
  <c r="AB51" i="7"/>
  <c r="AA51" i="7"/>
  <c r="Z51" i="7"/>
  <c r="Y51" i="7"/>
  <c r="Q51" i="7"/>
  <c r="O51" i="7"/>
  <c r="M51" i="7"/>
  <c r="L51" i="7"/>
  <c r="K51" i="7"/>
  <c r="J51" i="7"/>
  <c r="I51" i="7"/>
  <c r="H51" i="7"/>
  <c r="G51" i="7"/>
  <c r="F51" i="7"/>
  <c r="E51" i="7"/>
  <c r="D51" i="7"/>
  <c r="C51" i="7"/>
  <c r="B51" i="7"/>
  <c r="AB50" i="7"/>
  <c r="AA50" i="7"/>
  <c r="Z50" i="7"/>
  <c r="Y50" i="7"/>
  <c r="Q50" i="7"/>
  <c r="O50" i="7"/>
  <c r="M50" i="7"/>
  <c r="L50" i="7"/>
  <c r="K50" i="7"/>
  <c r="J50" i="7"/>
  <c r="I50" i="7"/>
  <c r="H50" i="7"/>
  <c r="G50" i="7"/>
  <c r="F50" i="7"/>
  <c r="E50" i="7"/>
  <c r="D50" i="7"/>
  <c r="C50" i="7"/>
  <c r="B50" i="7"/>
  <c r="AE49" i="7"/>
  <c r="AC49" i="7"/>
  <c r="AB49" i="7"/>
  <c r="AA49" i="7"/>
  <c r="Z49" i="7"/>
  <c r="Y49" i="7"/>
  <c r="Q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E48" i="7"/>
  <c r="AD48" i="7"/>
  <c r="AC48" i="7"/>
  <c r="AB48" i="7"/>
  <c r="AA48" i="7"/>
  <c r="Z48" i="7"/>
  <c r="Y48" i="7"/>
  <c r="R48" i="7"/>
  <c r="Q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E47" i="7"/>
  <c r="AD47" i="7"/>
  <c r="AC47" i="7"/>
  <c r="AB47" i="7"/>
  <c r="AA47" i="7"/>
  <c r="Z47" i="7"/>
  <c r="Y47" i="7"/>
  <c r="R47" i="7"/>
  <c r="Q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E46" i="7"/>
  <c r="AD46" i="7"/>
  <c r="AC46" i="7"/>
  <c r="AB46" i="7"/>
  <c r="AA46" i="7"/>
  <c r="Z46" i="7"/>
  <c r="Y46" i="7"/>
  <c r="R46" i="7"/>
  <c r="Q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E45" i="7"/>
  <c r="AD45" i="7"/>
  <c r="AC45" i="7"/>
  <c r="AB45" i="7"/>
  <c r="AA45" i="7"/>
  <c r="Z45" i="7"/>
  <c r="Y45" i="7"/>
  <c r="Q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B44" i="7"/>
  <c r="AA44" i="7"/>
  <c r="Z44" i="7"/>
  <c r="Y44" i="7"/>
  <c r="Q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B43" i="7"/>
  <c r="AA43" i="7"/>
  <c r="Z43" i="7"/>
  <c r="Y43" i="7"/>
  <c r="Q43" i="7"/>
  <c r="O43" i="7"/>
  <c r="N43" i="7"/>
  <c r="M43" i="7"/>
  <c r="L43" i="7"/>
  <c r="K43" i="7"/>
  <c r="I43" i="7"/>
  <c r="H43" i="7"/>
  <c r="G43" i="7"/>
  <c r="F43" i="7"/>
  <c r="E43" i="7"/>
  <c r="D43" i="7"/>
  <c r="C43" i="7"/>
  <c r="B43" i="7"/>
  <c r="AB42" i="7"/>
  <c r="AA42" i="7"/>
  <c r="Z42" i="7"/>
  <c r="Y42" i="7"/>
  <c r="Q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B41" i="7"/>
  <c r="AA41" i="7"/>
  <c r="Z41" i="7"/>
  <c r="Y41" i="7"/>
  <c r="Q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E40" i="7"/>
  <c r="AD40" i="7"/>
  <c r="AC40" i="7"/>
  <c r="AB40" i="7"/>
  <c r="AA40" i="7"/>
  <c r="Z40" i="7"/>
  <c r="Y40" i="7"/>
  <c r="Q40" i="7"/>
  <c r="O40" i="7"/>
  <c r="M40" i="7"/>
  <c r="L40" i="7"/>
  <c r="K40" i="7"/>
  <c r="J40" i="7"/>
  <c r="I40" i="7"/>
  <c r="H40" i="7"/>
  <c r="G40" i="7"/>
  <c r="F40" i="7"/>
  <c r="E40" i="7"/>
  <c r="D40" i="7"/>
  <c r="C40" i="7"/>
  <c r="B40" i="7"/>
  <c r="AE39" i="7"/>
  <c r="AD39" i="7"/>
  <c r="AC39" i="7"/>
  <c r="AB39" i="7"/>
  <c r="AA39" i="7"/>
  <c r="Z39" i="7"/>
  <c r="S39" i="7"/>
  <c r="Q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E38" i="7"/>
  <c r="AD38" i="7"/>
  <c r="AC38" i="7"/>
  <c r="AB38" i="7"/>
  <c r="AA38" i="7"/>
  <c r="Z38" i="7"/>
  <c r="Q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E37" i="7"/>
  <c r="AD37" i="7"/>
  <c r="AC37" i="7"/>
  <c r="AB37" i="7"/>
  <c r="AA37" i="7"/>
  <c r="Z37" i="7"/>
  <c r="Y37" i="7"/>
  <c r="R37" i="7"/>
  <c r="Q37" i="7"/>
  <c r="O37" i="7"/>
  <c r="M37" i="7"/>
  <c r="L37" i="7"/>
  <c r="K37" i="7"/>
  <c r="I37" i="7"/>
  <c r="H37" i="7"/>
  <c r="G37" i="7"/>
  <c r="F37" i="7"/>
  <c r="E37" i="7"/>
  <c r="D37" i="7"/>
  <c r="C37" i="7"/>
  <c r="B37" i="7"/>
  <c r="AB36" i="7"/>
  <c r="AA36" i="7"/>
  <c r="Z36" i="7"/>
  <c r="Q36" i="7"/>
  <c r="O36" i="7"/>
  <c r="M36" i="7"/>
  <c r="L36" i="7"/>
  <c r="K36" i="7"/>
  <c r="I36" i="7"/>
  <c r="H36" i="7"/>
  <c r="G36" i="7"/>
  <c r="F36" i="7"/>
  <c r="E36" i="7"/>
  <c r="D36" i="7"/>
  <c r="C36" i="7"/>
  <c r="B36" i="7"/>
  <c r="AE35" i="7"/>
  <c r="AD35" i="7"/>
  <c r="AC35" i="7"/>
  <c r="AB35" i="7"/>
  <c r="AA35" i="7"/>
  <c r="Z35" i="7"/>
  <c r="Y35" i="7"/>
  <c r="R35" i="7"/>
  <c r="Q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E34" i="7"/>
  <c r="AD34" i="7"/>
  <c r="AC34" i="7"/>
  <c r="AB34" i="7"/>
  <c r="AA34" i="7"/>
  <c r="Z34" i="7"/>
  <c r="Y34" i="7"/>
  <c r="R34" i="7"/>
  <c r="Q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E33" i="7"/>
  <c r="AD33" i="7"/>
  <c r="AC33" i="7"/>
  <c r="AB33" i="7"/>
  <c r="AA33" i="7"/>
  <c r="Z33" i="7"/>
  <c r="Y33" i="7"/>
  <c r="Q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E32" i="7"/>
  <c r="AD32" i="7"/>
  <c r="AC32" i="7"/>
  <c r="AB32" i="7"/>
  <c r="AA32" i="7"/>
  <c r="Z32" i="7"/>
  <c r="Y32" i="7"/>
  <c r="R32" i="7"/>
  <c r="Q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E31" i="7"/>
  <c r="AD31" i="7"/>
  <c r="AC31" i="7"/>
  <c r="AB31" i="7"/>
  <c r="AA31" i="7"/>
  <c r="Z31" i="7"/>
  <c r="Y31" i="7"/>
  <c r="Q31" i="7"/>
  <c r="O31" i="7"/>
  <c r="M31" i="7"/>
  <c r="L31" i="7"/>
  <c r="K31" i="7"/>
  <c r="J31" i="7"/>
  <c r="I31" i="7"/>
  <c r="H31" i="7"/>
  <c r="G31" i="7"/>
  <c r="F31" i="7"/>
  <c r="E31" i="7"/>
  <c r="D31" i="7"/>
  <c r="C31" i="7"/>
  <c r="B31" i="7"/>
  <c r="AE30" i="7"/>
  <c r="AD30" i="7"/>
  <c r="AC30" i="7"/>
  <c r="AB30" i="7"/>
  <c r="AA30" i="7"/>
  <c r="Z30" i="7"/>
  <c r="Y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E29" i="7"/>
  <c r="AD29" i="7"/>
  <c r="AC29" i="7"/>
  <c r="AB29" i="7"/>
  <c r="AA29" i="7"/>
  <c r="Z29" i="7"/>
  <c r="Y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E28" i="7"/>
  <c r="AD28" i="7"/>
  <c r="AC28" i="7"/>
  <c r="AB28" i="7"/>
  <c r="AA28" i="7"/>
  <c r="Z28" i="7"/>
  <c r="Y28" i="7"/>
  <c r="R28" i="7"/>
  <c r="Q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E27" i="7"/>
  <c r="AD27" i="7"/>
  <c r="AC27" i="7"/>
  <c r="AB27" i="7"/>
  <c r="AA27" i="7"/>
  <c r="Z27" i="7"/>
  <c r="Y27" i="7"/>
  <c r="R27" i="7"/>
  <c r="Q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E26" i="7"/>
  <c r="AD26" i="7"/>
  <c r="AC26" i="7"/>
  <c r="AB26" i="7"/>
  <c r="AA26" i="7"/>
  <c r="Z26" i="7"/>
  <c r="Y26" i="7"/>
  <c r="Q26" i="7"/>
  <c r="O26" i="7"/>
  <c r="M26" i="7"/>
  <c r="L26" i="7"/>
  <c r="K26" i="7"/>
  <c r="J26" i="7"/>
  <c r="I26" i="7"/>
  <c r="H26" i="7"/>
  <c r="G26" i="7"/>
  <c r="F26" i="7"/>
  <c r="E26" i="7"/>
  <c r="D26" i="7"/>
  <c r="C26" i="7"/>
  <c r="B26" i="7"/>
  <c r="AE25" i="7"/>
  <c r="AD25" i="7"/>
  <c r="AC25" i="7"/>
  <c r="AB25" i="7"/>
  <c r="AA25" i="7"/>
  <c r="Z25" i="7"/>
  <c r="Y25" i="7"/>
  <c r="Q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E24" i="7"/>
  <c r="AD24" i="7"/>
  <c r="AC24" i="7"/>
  <c r="AB24" i="7"/>
  <c r="AA24" i="7"/>
  <c r="Z24" i="7"/>
  <c r="Y24" i="7"/>
  <c r="Q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B23" i="7"/>
  <c r="AA23" i="7"/>
  <c r="Z23" i="7"/>
  <c r="Y23" i="7"/>
  <c r="R23" i="7"/>
  <c r="Q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E22" i="7"/>
  <c r="AD22" i="7"/>
  <c r="AC22" i="7"/>
  <c r="AB22" i="7"/>
  <c r="AA22" i="7"/>
  <c r="Z22" i="7"/>
  <c r="Y22" i="7"/>
  <c r="Q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E21" i="7"/>
  <c r="AD21" i="7"/>
  <c r="AC21" i="7"/>
  <c r="AB21" i="7"/>
  <c r="AA21" i="7"/>
  <c r="Z21" i="7"/>
  <c r="Y21" i="7"/>
  <c r="S21" i="7"/>
  <c r="Q21" i="7"/>
  <c r="O21" i="7"/>
  <c r="M21" i="7"/>
  <c r="L21" i="7"/>
  <c r="K21" i="7"/>
  <c r="J21" i="7"/>
  <c r="I21" i="7"/>
  <c r="H21" i="7"/>
  <c r="G21" i="7"/>
  <c r="F21" i="7"/>
  <c r="E21" i="7"/>
  <c r="D21" i="7"/>
  <c r="C21" i="7"/>
  <c r="B21" i="7"/>
  <c r="AE20" i="7"/>
  <c r="AD20" i="7"/>
  <c r="AC20" i="7"/>
  <c r="AB20" i="7"/>
  <c r="AA20" i="7"/>
  <c r="Z20" i="7"/>
  <c r="Q20" i="7"/>
  <c r="O20" i="7"/>
  <c r="M20" i="7"/>
  <c r="L20" i="7"/>
  <c r="K20" i="7"/>
  <c r="I20" i="7"/>
  <c r="H20" i="7"/>
  <c r="G20" i="7"/>
  <c r="F20" i="7"/>
  <c r="E20" i="7"/>
  <c r="D20" i="7"/>
  <c r="C20" i="7"/>
  <c r="B20" i="7"/>
  <c r="AE19" i="7"/>
  <c r="AD19" i="7"/>
  <c r="AC19" i="7"/>
  <c r="AB19" i="7"/>
  <c r="AA19" i="7"/>
  <c r="Z19" i="7"/>
  <c r="Y19" i="7"/>
  <c r="Q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E18" i="7"/>
  <c r="AD18" i="7"/>
  <c r="AC18" i="7"/>
  <c r="AB18" i="7"/>
  <c r="AA18" i="7"/>
  <c r="Z18" i="7"/>
  <c r="Y18" i="7"/>
  <c r="Q18" i="7"/>
  <c r="O18" i="7"/>
  <c r="M18" i="7"/>
  <c r="L18" i="7"/>
  <c r="K18" i="7"/>
  <c r="J18" i="7"/>
  <c r="I18" i="7"/>
  <c r="H18" i="7"/>
  <c r="G18" i="7"/>
  <c r="F18" i="7"/>
  <c r="E18" i="7"/>
  <c r="D18" i="7"/>
  <c r="C18" i="7"/>
  <c r="B18" i="7"/>
  <c r="AE17" i="7"/>
  <c r="AD17" i="7"/>
  <c r="AC17" i="7"/>
  <c r="AB17" i="7"/>
  <c r="AA17" i="7"/>
  <c r="Z17" i="7"/>
  <c r="Y17" i="7"/>
  <c r="Q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B16" i="7"/>
  <c r="AA16" i="7"/>
  <c r="Z16" i="7"/>
  <c r="R16" i="7"/>
  <c r="Q16" i="7"/>
  <c r="O16" i="7"/>
  <c r="M16" i="7"/>
  <c r="L16" i="7"/>
  <c r="K16" i="7"/>
  <c r="I16" i="7"/>
  <c r="H16" i="7"/>
  <c r="G16" i="7"/>
  <c r="F16" i="7"/>
  <c r="E16" i="7"/>
  <c r="D16" i="7"/>
  <c r="C16" i="7"/>
  <c r="B16" i="7"/>
  <c r="AE15" i="7"/>
  <c r="AD15" i="7"/>
  <c r="AC15" i="7"/>
  <c r="AB15" i="7"/>
  <c r="AA15" i="7"/>
  <c r="Z15" i="7"/>
  <c r="Y15" i="7"/>
  <c r="Q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E14" i="7"/>
  <c r="AD14" i="7"/>
  <c r="AC14" i="7"/>
  <c r="AB14" i="7"/>
  <c r="AA14" i="7"/>
  <c r="Z14" i="7"/>
  <c r="Y14" i="7"/>
  <c r="Q14" i="7"/>
  <c r="O14" i="7"/>
  <c r="M14" i="7"/>
  <c r="L14" i="7"/>
  <c r="K14" i="7"/>
  <c r="I14" i="7"/>
  <c r="H14" i="7"/>
  <c r="G14" i="7"/>
  <c r="F14" i="7"/>
  <c r="E14" i="7"/>
  <c r="D14" i="7"/>
  <c r="C14" i="7"/>
  <c r="B14" i="7"/>
  <c r="AE13" i="7"/>
  <c r="AD13" i="7"/>
  <c r="AC13" i="7"/>
  <c r="AB13" i="7"/>
  <c r="AA13" i="7"/>
  <c r="Z13" i="7"/>
  <c r="Y13" i="7"/>
  <c r="Q13" i="7"/>
  <c r="O13" i="7"/>
  <c r="M13" i="7"/>
  <c r="L13" i="7"/>
  <c r="K13" i="7"/>
  <c r="I13" i="7"/>
  <c r="H13" i="7"/>
  <c r="G13" i="7"/>
  <c r="F13" i="7"/>
  <c r="E13" i="7"/>
  <c r="D13" i="7"/>
  <c r="C13" i="7"/>
  <c r="B13" i="7"/>
  <c r="AB12" i="7"/>
  <c r="AA12" i="7"/>
  <c r="Z12" i="7"/>
  <c r="Y12" i="7"/>
  <c r="Q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B11" i="7"/>
  <c r="AA11" i="7"/>
  <c r="Z11" i="7"/>
  <c r="Y11" i="7"/>
  <c r="Q11" i="7"/>
  <c r="O11" i="7"/>
  <c r="M11" i="7"/>
  <c r="L11" i="7"/>
  <c r="K11" i="7"/>
  <c r="J11" i="7"/>
  <c r="I11" i="7"/>
  <c r="H11" i="7"/>
  <c r="G11" i="7"/>
  <c r="F11" i="7"/>
  <c r="E11" i="7"/>
  <c r="D11" i="7"/>
  <c r="C11" i="7"/>
  <c r="B11" i="7"/>
  <c r="AB10" i="7"/>
  <c r="AA10" i="7"/>
  <c r="Z10" i="7"/>
  <c r="Y10" i="7"/>
  <c r="Q10" i="7"/>
  <c r="O10" i="7"/>
  <c r="M10" i="7"/>
  <c r="L10" i="7"/>
  <c r="K10" i="7"/>
  <c r="J10" i="7"/>
  <c r="I10" i="7"/>
  <c r="H10" i="7"/>
  <c r="G10" i="7"/>
  <c r="F10" i="7"/>
  <c r="E10" i="7"/>
  <c r="D10" i="7"/>
  <c r="C10" i="7"/>
  <c r="B10" i="7"/>
  <c r="AB9" i="7"/>
  <c r="AA9" i="7"/>
  <c r="Z9" i="7"/>
  <c r="R9" i="7"/>
  <c r="Q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E8" i="7"/>
  <c r="AD8" i="7"/>
  <c r="AC8" i="7"/>
  <c r="AB8" i="7"/>
  <c r="AA8" i="7"/>
  <c r="Z8" i="7"/>
  <c r="Y8" i="7"/>
  <c r="R8" i="7"/>
  <c r="Q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E7" i="7"/>
  <c r="AD7" i="7"/>
  <c r="AC7" i="7"/>
  <c r="AB7" i="7"/>
  <c r="AA7" i="7"/>
  <c r="Z7" i="7"/>
  <c r="Y7" i="7"/>
  <c r="R7" i="7"/>
  <c r="Q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E6" i="7"/>
  <c r="AD6" i="7"/>
  <c r="AC6" i="7"/>
  <c r="AB6" i="7"/>
  <c r="AA6" i="7"/>
  <c r="Z6" i="7"/>
  <c r="Y6" i="7"/>
  <c r="R6" i="7"/>
  <c r="Q6" i="7"/>
  <c r="O6" i="7"/>
  <c r="M6" i="7"/>
  <c r="L6" i="7"/>
  <c r="K6" i="7"/>
  <c r="J6" i="7"/>
  <c r="I6" i="7"/>
  <c r="H6" i="7"/>
  <c r="G6" i="7"/>
  <c r="F6" i="7"/>
  <c r="E6" i="7"/>
  <c r="D6" i="7"/>
  <c r="C6" i="7"/>
  <c r="B6" i="7"/>
  <c r="AE5" i="7"/>
  <c r="AD5" i="7"/>
  <c r="AC5" i="7"/>
  <c r="AB5" i="7"/>
  <c r="AA5" i="7"/>
  <c r="Z5" i="7"/>
  <c r="Y5" i="7"/>
  <c r="Q5" i="7"/>
  <c r="O5" i="7"/>
  <c r="M5" i="7"/>
  <c r="L5" i="7"/>
  <c r="K5" i="7"/>
  <c r="J5" i="7"/>
  <c r="I5" i="7"/>
  <c r="H5" i="7"/>
  <c r="G5" i="7"/>
  <c r="F5" i="7"/>
  <c r="E5" i="7"/>
  <c r="D5" i="7"/>
  <c r="C5" i="7"/>
  <c r="B5" i="7"/>
  <c r="AB4" i="7"/>
  <c r="AA4" i="7"/>
  <c r="Z4" i="7"/>
  <c r="Y4" i="7"/>
  <c r="Q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B99" i="6"/>
  <c r="AA99" i="6"/>
  <c r="Z99" i="6"/>
  <c r="S99" i="6"/>
  <c r="Q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B98" i="6"/>
  <c r="AA98" i="6"/>
  <c r="Z98" i="6"/>
  <c r="S98" i="6"/>
  <c r="Q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B97" i="6"/>
  <c r="AA97" i="6"/>
  <c r="Z97" i="6"/>
  <c r="Y97" i="6"/>
  <c r="R97" i="6"/>
  <c r="Q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B96" i="6"/>
  <c r="AA96" i="6"/>
  <c r="Z96" i="6"/>
  <c r="Y96" i="6"/>
  <c r="R96" i="6"/>
  <c r="Q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B95" i="6"/>
  <c r="AA95" i="6"/>
  <c r="Z95" i="6"/>
  <c r="Y95" i="6"/>
  <c r="S95" i="6"/>
  <c r="Q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B94" i="6"/>
  <c r="AA94" i="6"/>
  <c r="Z94" i="6"/>
  <c r="R94" i="6"/>
  <c r="Q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E93" i="6"/>
  <c r="AD93" i="6"/>
  <c r="AC93" i="6"/>
  <c r="AB93" i="6"/>
  <c r="AA93" i="6"/>
  <c r="Z93" i="6"/>
  <c r="Y93" i="6"/>
  <c r="Q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E92" i="6"/>
  <c r="AD92" i="6"/>
  <c r="AC92" i="6"/>
  <c r="AB92" i="6"/>
  <c r="AA92" i="6"/>
  <c r="Z92" i="6"/>
  <c r="Y92" i="6"/>
  <c r="R92" i="6"/>
  <c r="Q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E91" i="6"/>
  <c r="AD91" i="6"/>
  <c r="AC91" i="6"/>
  <c r="AB91" i="6"/>
  <c r="AA91" i="6"/>
  <c r="Z91" i="6"/>
  <c r="Y91" i="6"/>
  <c r="R91" i="6"/>
  <c r="Q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E90" i="6"/>
  <c r="AD90" i="6"/>
  <c r="AC90" i="6"/>
  <c r="AB90" i="6"/>
  <c r="AA90" i="6"/>
  <c r="Z90" i="6"/>
  <c r="Y90" i="6"/>
  <c r="Q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E89" i="6"/>
  <c r="AD89" i="6"/>
  <c r="AC89" i="6"/>
  <c r="AB89" i="6"/>
  <c r="AA89" i="6"/>
  <c r="Z89" i="6"/>
  <c r="Y89" i="6"/>
  <c r="Q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E88" i="6"/>
  <c r="AD88" i="6"/>
  <c r="AC88" i="6"/>
  <c r="AB88" i="6"/>
  <c r="AA88" i="6"/>
  <c r="Z88" i="6"/>
  <c r="S88" i="6"/>
  <c r="R88" i="6"/>
  <c r="Q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B87" i="6"/>
  <c r="AA87" i="6"/>
  <c r="Z87" i="6"/>
  <c r="Y87" i="6"/>
  <c r="S87" i="6"/>
  <c r="R87" i="6"/>
  <c r="Q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E86" i="6"/>
  <c r="AD86" i="6"/>
  <c r="AC86" i="6"/>
  <c r="AB86" i="6"/>
  <c r="AA86" i="6"/>
  <c r="Z86" i="6"/>
  <c r="Q86" i="6"/>
  <c r="O86" i="6"/>
  <c r="N86" i="6"/>
  <c r="M86" i="6"/>
  <c r="L86" i="6"/>
  <c r="K86" i="6"/>
  <c r="I86" i="6"/>
  <c r="H86" i="6"/>
  <c r="G86" i="6"/>
  <c r="F86" i="6"/>
  <c r="E86" i="6"/>
  <c r="D86" i="6"/>
  <c r="C86" i="6"/>
  <c r="B86" i="6"/>
  <c r="AE85" i="6"/>
  <c r="AD85" i="6"/>
  <c r="AC85" i="6"/>
  <c r="AB85" i="6"/>
  <c r="AA85" i="6"/>
  <c r="Z85" i="6"/>
  <c r="Y85" i="6"/>
  <c r="R85" i="6"/>
  <c r="Q85" i="6"/>
  <c r="O85" i="6"/>
  <c r="M85" i="6"/>
  <c r="L85" i="6"/>
  <c r="K85" i="6"/>
  <c r="J85" i="6"/>
  <c r="I85" i="6"/>
  <c r="H85" i="6"/>
  <c r="G85" i="6"/>
  <c r="F85" i="6"/>
  <c r="E85" i="6"/>
  <c r="D85" i="6"/>
  <c r="C85" i="6"/>
  <c r="B85" i="6"/>
  <c r="AB84" i="6"/>
  <c r="AA84" i="6"/>
  <c r="Z84" i="6"/>
  <c r="R84" i="6"/>
  <c r="Q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E83" i="6"/>
  <c r="AD83" i="6"/>
  <c r="AC83" i="6"/>
  <c r="AB83" i="6"/>
  <c r="AA83" i="6"/>
  <c r="Z83" i="6"/>
  <c r="Y83" i="6"/>
  <c r="Q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B82" i="6"/>
  <c r="AA82" i="6"/>
  <c r="Z82" i="6"/>
  <c r="Y82" i="6"/>
  <c r="R82" i="6"/>
  <c r="Q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E81" i="6"/>
  <c r="AD81" i="6"/>
  <c r="AC81" i="6"/>
  <c r="AB81" i="6"/>
  <c r="AA81" i="6"/>
  <c r="Z81" i="6"/>
  <c r="Y81" i="6"/>
  <c r="S81" i="6"/>
  <c r="R81" i="6"/>
  <c r="Q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E80" i="6"/>
  <c r="AD80" i="6"/>
  <c r="AC80" i="6"/>
  <c r="AB80" i="6"/>
  <c r="AA80" i="6"/>
  <c r="Z80" i="6"/>
  <c r="Y80" i="6"/>
  <c r="Q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E79" i="6"/>
  <c r="AD79" i="6"/>
  <c r="AC79" i="6"/>
  <c r="AB79" i="6"/>
  <c r="AA79" i="6"/>
  <c r="Z79" i="6"/>
  <c r="Q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E78" i="6"/>
  <c r="AD78" i="6"/>
  <c r="AC78" i="6"/>
  <c r="AB78" i="6"/>
  <c r="AA78" i="6"/>
  <c r="Z78" i="6"/>
  <c r="S78" i="6"/>
  <c r="Q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E77" i="6"/>
  <c r="AD77" i="6"/>
  <c r="AC77" i="6"/>
  <c r="AB77" i="6"/>
  <c r="AA77" i="6"/>
  <c r="Z77" i="6"/>
  <c r="Y77" i="6"/>
  <c r="R77" i="6"/>
  <c r="Q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E76" i="6"/>
  <c r="AD76" i="6"/>
  <c r="AC76" i="6"/>
  <c r="AB76" i="6"/>
  <c r="AA76" i="6"/>
  <c r="Z76" i="6"/>
  <c r="Y76" i="6"/>
  <c r="R76" i="6"/>
  <c r="Q76" i="6"/>
  <c r="O76" i="6"/>
  <c r="M76" i="6"/>
  <c r="L76" i="6"/>
  <c r="K76" i="6"/>
  <c r="J76" i="6"/>
  <c r="I76" i="6"/>
  <c r="H76" i="6"/>
  <c r="G76" i="6"/>
  <c r="F76" i="6"/>
  <c r="E76" i="6"/>
  <c r="D76" i="6"/>
  <c r="C76" i="6"/>
  <c r="B76" i="6"/>
  <c r="AB75" i="6"/>
  <c r="AA75" i="6"/>
  <c r="Z75" i="6"/>
  <c r="Y75" i="6"/>
  <c r="R75" i="6"/>
  <c r="Q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E74" i="6"/>
  <c r="AD74" i="6"/>
  <c r="AC74" i="6"/>
  <c r="AB74" i="6"/>
  <c r="AA74" i="6"/>
  <c r="Z74" i="6"/>
  <c r="Y74" i="6"/>
  <c r="Q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E73" i="6"/>
  <c r="AD73" i="6"/>
  <c r="AC73" i="6"/>
  <c r="AB73" i="6"/>
  <c r="AA73" i="6"/>
  <c r="Z73" i="6"/>
  <c r="Y73" i="6"/>
  <c r="Q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E72" i="6"/>
  <c r="AD72" i="6"/>
  <c r="AC72" i="6"/>
  <c r="AB72" i="6"/>
  <c r="AA72" i="6"/>
  <c r="Z72" i="6"/>
  <c r="Y72" i="6"/>
  <c r="S72" i="6"/>
  <c r="R72" i="6"/>
  <c r="Q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E71" i="6"/>
  <c r="AD71" i="6"/>
  <c r="AC71" i="6"/>
  <c r="AB71" i="6"/>
  <c r="AA71" i="6"/>
  <c r="Z71" i="6"/>
  <c r="Y71" i="6"/>
  <c r="Q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E70" i="6"/>
  <c r="AD70" i="6"/>
  <c r="AC70" i="6"/>
  <c r="AB70" i="6"/>
  <c r="AA70" i="6"/>
  <c r="Z70" i="6"/>
  <c r="Y70" i="6"/>
  <c r="Q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E69" i="6"/>
  <c r="AD69" i="6"/>
  <c r="AC69" i="6"/>
  <c r="AB69" i="6"/>
  <c r="AA69" i="6"/>
  <c r="Z69" i="6"/>
  <c r="Q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E68" i="6"/>
  <c r="AD68" i="6"/>
  <c r="AC68" i="6"/>
  <c r="AB68" i="6"/>
  <c r="AA68" i="6"/>
  <c r="Z68" i="6"/>
  <c r="Q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E67" i="6"/>
  <c r="AD67" i="6"/>
  <c r="AC67" i="6"/>
  <c r="AB67" i="6"/>
  <c r="AA67" i="6"/>
  <c r="Z67" i="6"/>
  <c r="Y67" i="6"/>
  <c r="Q67" i="6"/>
  <c r="O67" i="6"/>
  <c r="M67" i="6"/>
  <c r="L67" i="6"/>
  <c r="K67" i="6"/>
  <c r="J67" i="6"/>
  <c r="I67" i="6"/>
  <c r="H67" i="6"/>
  <c r="G67" i="6"/>
  <c r="F67" i="6"/>
  <c r="E67" i="6"/>
  <c r="D67" i="6"/>
  <c r="C67" i="6"/>
  <c r="B67" i="6"/>
  <c r="AE66" i="6"/>
  <c r="AD66" i="6"/>
  <c r="AC66" i="6"/>
  <c r="AB66" i="6"/>
  <c r="AA66" i="6"/>
  <c r="Z66" i="6"/>
  <c r="Y66" i="6"/>
  <c r="R66" i="6"/>
  <c r="Q66" i="6"/>
  <c r="O66" i="6"/>
  <c r="M66" i="6"/>
  <c r="L66" i="6"/>
  <c r="K66" i="6"/>
  <c r="J66" i="6"/>
  <c r="I66" i="6"/>
  <c r="H66" i="6"/>
  <c r="G66" i="6"/>
  <c r="F66" i="6"/>
  <c r="E66" i="6"/>
  <c r="D66" i="6"/>
  <c r="C66" i="6"/>
  <c r="B66" i="6"/>
  <c r="AE65" i="6"/>
  <c r="AD65" i="6"/>
  <c r="AC65" i="6"/>
  <c r="AB65" i="6"/>
  <c r="AA65" i="6"/>
  <c r="Z65" i="6"/>
  <c r="Y65" i="6"/>
  <c r="R65" i="6"/>
  <c r="Q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B64" i="6"/>
  <c r="AA64" i="6"/>
  <c r="Z64" i="6"/>
  <c r="R64" i="6"/>
  <c r="Q64" i="6"/>
  <c r="O64" i="6"/>
  <c r="M64" i="6"/>
  <c r="L64" i="6"/>
  <c r="K64" i="6"/>
  <c r="I64" i="6"/>
  <c r="H64" i="6"/>
  <c r="G64" i="6"/>
  <c r="F64" i="6"/>
  <c r="E64" i="6"/>
  <c r="D64" i="6"/>
  <c r="C64" i="6"/>
  <c r="B64" i="6"/>
  <c r="AE63" i="6"/>
  <c r="AD63" i="6"/>
  <c r="AC63" i="6"/>
  <c r="AB63" i="6"/>
  <c r="AA63" i="6"/>
  <c r="Z63" i="6"/>
  <c r="Q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E62" i="6"/>
  <c r="AD62" i="6"/>
  <c r="AC62" i="6"/>
  <c r="AB62" i="6"/>
  <c r="AA62" i="6"/>
  <c r="Z62" i="6"/>
  <c r="Y62" i="6"/>
  <c r="Q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E61" i="6"/>
  <c r="AD61" i="6"/>
  <c r="AC61" i="6"/>
  <c r="AB61" i="6"/>
  <c r="AA61" i="6"/>
  <c r="Z61" i="6"/>
  <c r="Y61" i="6"/>
  <c r="R61" i="6"/>
  <c r="Q61" i="6"/>
  <c r="O61" i="6"/>
  <c r="N61" i="6"/>
  <c r="M61" i="6"/>
  <c r="L61" i="6"/>
  <c r="K61" i="6"/>
  <c r="I61" i="6"/>
  <c r="H61" i="6"/>
  <c r="G61" i="6"/>
  <c r="F61" i="6"/>
  <c r="E61" i="6"/>
  <c r="D61" i="6"/>
  <c r="C61" i="6"/>
  <c r="B61" i="6"/>
  <c r="AB60" i="6"/>
  <c r="AA60" i="6"/>
  <c r="Z60" i="6"/>
  <c r="Y60" i="6"/>
  <c r="R60" i="6"/>
  <c r="Q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E59" i="6"/>
  <c r="AD59" i="6"/>
  <c r="AC59" i="6"/>
  <c r="AB59" i="6"/>
  <c r="AA59" i="6"/>
  <c r="Z59" i="6"/>
  <c r="Y59" i="6"/>
  <c r="R59" i="6"/>
  <c r="Q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E58" i="6"/>
  <c r="AD58" i="6"/>
  <c r="AC58" i="6"/>
  <c r="AB58" i="6"/>
  <c r="AA58" i="6"/>
  <c r="Z58" i="6"/>
  <c r="Y58" i="6"/>
  <c r="Q58" i="6"/>
  <c r="O58" i="6"/>
  <c r="M58" i="6"/>
  <c r="L58" i="6"/>
  <c r="K58" i="6"/>
  <c r="J58" i="6"/>
  <c r="I58" i="6"/>
  <c r="H58" i="6"/>
  <c r="G58" i="6"/>
  <c r="F58" i="6"/>
  <c r="E58" i="6"/>
  <c r="D58" i="6"/>
  <c r="C58" i="6"/>
  <c r="B58" i="6"/>
  <c r="AE57" i="6"/>
  <c r="AD57" i="6"/>
  <c r="AC57" i="6"/>
  <c r="AB57" i="6"/>
  <c r="AA57" i="6"/>
  <c r="Z57" i="6"/>
  <c r="Y57" i="6"/>
  <c r="R57" i="6"/>
  <c r="Q57" i="6"/>
  <c r="O57" i="6"/>
  <c r="M57" i="6"/>
  <c r="L57" i="6"/>
  <c r="K57" i="6"/>
  <c r="J57" i="6"/>
  <c r="I57" i="6"/>
  <c r="H57" i="6"/>
  <c r="G57" i="6"/>
  <c r="F57" i="6"/>
  <c r="E57" i="6"/>
  <c r="D57" i="6"/>
  <c r="C57" i="6"/>
  <c r="B57" i="6"/>
  <c r="AE56" i="6"/>
  <c r="AD56" i="6"/>
  <c r="AC56" i="6"/>
  <c r="AB56" i="6"/>
  <c r="AA56" i="6"/>
  <c r="Z56" i="6"/>
  <c r="Y56" i="6"/>
  <c r="R56" i="6"/>
  <c r="Q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E55" i="6"/>
  <c r="AD55" i="6"/>
  <c r="AC55" i="6"/>
  <c r="AB55" i="6"/>
  <c r="AA55" i="6"/>
  <c r="Z55" i="6"/>
  <c r="Y55" i="6"/>
  <c r="Q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B54" i="6"/>
  <c r="AA54" i="6"/>
  <c r="Z54" i="6"/>
  <c r="Y54" i="6"/>
  <c r="R54" i="6"/>
  <c r="Q54" i="6"/>
  <c r="O54" i="6"/>
  <c r="M54" i="6"/>
  <c r="L54" i="6"/>
  <c r="K54" i="6"/>
  <c r="J54" i="6"/>
  <c r="I54" i="6"/>
  <c r="H54" i="6"/>
  <c r="G54" i="6"/>
  <c r="F54" i="6"/>
  <c r="E54" i="6"/>
  <c r="D54" i="6"/>
  <c r="C54" i="6"/>
  <c r="B54" i="6"/>
  <c r="AB53" i="6"/>
  <c r="AA53" i="6"/>
  <c r="Z53" i="6"/>
  <c r="Y53" i="6"/>
  <c r="R53" i="6"/>
  <c r="Q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E52" i="6"/>
  <c r="AD52" i="6"/>
  <c r="AC52" i="6"/>
  <c r="AB52" i="6"/>
  <c r="AA52" i="6"/>
  <c r="Z52" i="6"/>
  <c r="Y52" i="6"/>
  <c r="Q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E51" i="6"/>
  <c r="AD51" i="6"/>
  <c r="AC51" i="6"/>
  <c r="AB51" i="6"/>
  <c r="AA51" i="6"/>
  <c r="Z51" i="6"/>
  <c r="Y51" i="6"/>
  <c r="Q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E50" i="6"/>
  <c r="AD50" i="6"/>
  <c r="AC50" i="6"/>
  <c r="AB50" i="6"/>
  <c r="AA50" i="6"/>
  <c r="Z50" i="6"/>
  <c r="Y50" i="6"/>
  <c r="S50" i="6"/>
  <c r="R50" i="6"/>
  <c r="Q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E49" i="6"/>
  <c r="AD49" i="6"/>
  <c r="AC49" i="6"/>
  <c r="AB49" i="6"/>
  <c r="AA49" i="6"/>
  <c r="Z49" i="6"/>
  <c r="Y49" i="6"/>
  <c r="R49" i="6"/>
  <c r="Q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B48" i="6"/>
  <c r="AA48" i="6"/>
  <c r="Z48" i="6"/>
  <c r="Y48" i="6"/>
  <c r="R48" i="6"/>
  <c r="Q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E47" i="6"/>
  <c r="AD47" i="6"/>
  <c r="AC47" i="6"/>
  <c r="AB47" i="6"/>
  <c r="AA47" i="6"/>
  <c r="Z47" i="6"/>
  <c r="Y47" i="6"/>
  <c r="R47" i="6"/>
  <c r="Q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E46" i="6"/>
  <c r="AD46" i="6"/>
  <c r="AC46" i="6"/>
  <c r="AB46" i="6"/>
  <c r="AA46" i="6"/>
  <c r="Z46" i="6"/>
  <c r="Y46" i="6"/>
  <c r="R46" i="6"/>
  <c r="Q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E45" i="6"/>
  <c r="AD45" i="6"/>
  <c r="AC45" i="6"/>
  <c r="AB45" i="6"/>
  <c r="AA45" i="6"/>
  <c r="Z45" i="6"/>
  <c r="Y45" i="6"/>
  <c r="S45" i="6"/>
  <c r="R45" i="6"/>
  <c r="Q45" i="6"/>
  <c r="O45" i="6"/>
  <c r="M45" i="6"/>
  <c r="L45" i="6"/>
  <c r="K45" i="6"/>
  <c r="J45" i="6"/>
  <c r="I45" i="6"/>
  <c r="H45" i="6"/>
  <c r="G45" i="6"/>
  <c r="F45" i="6"/>
  <c r="E45" i="6"/>
  <c r="D45" i="6"/>
  <c r="C45" i="6"/>
  <c r="B45" i="6"/>
  <c r="AE44" i="6"/>
  <c r="AD44" i="6"/>
  <c r="AC44" i="6"/>
  <c r="AB44" i="6"/>
  <c r="AA44" i="6"/>
  <c r="Z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E43" i="6"/>
  <c r="AD43" i="6"/>
  <c r="AC43" i="6"/>
  <c r="AB43" i="6"/>
  <c r="AA43" i="6"/>
  <c r="Z43" i="6"/>
  <c r="Y43" i="6"/>
  <c r="Q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E42" i="6"/>
  <c r="AD42" i="6"/>
  <c r="AC42" i="6"/>
  <c r="AB42" i="6"/>
  <c r="AA42" i="6"/>
  <c r="Z42" i="6"/>
  <c r="Y42" i="6"/>
  <c r="Q42" i="6"/>
  <c r="O42" i="6"/>
  <c r="M42" i="6"/>
  <c r="L42" i="6"/>
  <c r="K42" i="6"/>
  <c r="J42" i="6"/>
  <c r="I42" i="6"/>
  <c r="H42" i="6"/>
  <c r="G42" i="6"/>
  <c r="F42" i="6"/>
  <c r="E42" i="6"/>
  <c r="D42" i="6"/>
  <c r="C42" i="6"/>
  <c r="B42" i="6"/>
  <c r="AE41" i="6"/>
  <c r="AD41" i="6"/>
  <c r="AC41" i="6"/>
  <c r="AB41" i="6"/>
  <c r="AA41" i="6"/>
  <c r="Z41" i="6"/>
  <c r="Y41" i="6"/>
  <c r="R41" i="6"/>
  <c r="Q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E40" i="6"/>
  <c r="AD40" i="6"/>
  <c r="AC40" i="6"/>
  <c r="AB40" i="6"/>
  <c r="AA40" i="6"/>
  <c r="Z40" i="6"/>
  <c r="R40" i="6"/>
  <c r="Q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E39" i="6"/>
  <c r="AD39" i="6"/>
  <c r="AC39" i="6"/>
  <c r="AB39" i="6"/>
  <c r="AA39" i="6"/>
  <c r="Z39" i="6"/>
  <c r="Y39" i="6"/>
  <c r="S39" i="6"/>
  <c r="R39" i="6"/>
  <c r="Q39" i="6"/>
  <c r="O39" i="6"/>
  <c r="M39" i="6"/>
  <c r="L39" i="6"/>
  <c r="K39" i="6"/>
  <c r="J39" i="6"/>
  <c r="I39" i="6"/>
  <c r="H39" i="6"/>
  <c r="G39" i="6"/>
  <c r="F39" i="6"/>
  <c r="E39" i="6"/>
  <c r="D39" i="6"/>
  <c r="C39" i="6"/>
  <c r="B39" i="6"/>
  <c r="AE38" i="6"/>
  <c r="AD38" i="6"/>
  <c r="AC38" i="6"/>
  <c r="AB38" i="6"/>
  <c r="AA38" i="6"/>
  <c r="Z38" i="6"/>
  <c r="Y38" i="6"/>
  <c r="Q38" i="6"/>
  <c r="O38" i="6"/>
  <c r="M38" i="6"/>
  <c r="L38" i="6"/>
  <c r="K38" i="6"/>
  <c r="J38" i="6"/>
  <c r="I38" i="6"/>
  <c r="H38" i="6"/>
  <c r="G38" i="6"/>
  <c r="F38" i="6"/>
  <c r="E38" i="6"/>
  <c r="D38" i="6"/>
  <c r="C38" i="6"/>
  <c r="B38" i="6"/>
  <c r="AE37" i="6"/>
  <c r="AD37" i="6"/>
  <c r="AC37" i="6"/>
  <c r="AB37" i="6"/>
  <c r="AA37" i="6"/>
  <c r="Z37" i="6"/>
  <c r="Y37" i="6"/>
  <c r="R37" i="6"/>
  <c r="Q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B36" i="6"/>
  <c r="AA36" i="6"/>
  <c r="Z36" i="6"/>
  <c r="Y36" i="6"/>
  <c r="Q36" i="6"/>
  <c r="O36" i="6"/>
  <c r="M36" i="6"/>
  <c r="L36" i="6"/>
  <c r="K36" i="6"/>
  <c r="J36" i="6"/>
  <c r="I36" i="6"/>
  <c r="H36" i="6"/>
  <c r="G36" i="6"/>
  <c r="F36" i="6"/>
  <c r="E36" i="6"/>
  <c r="D36" i="6"/>
  <c r="C36" i="6"/>
  <c r="B36" i="6"/>
  <c r="AE35" i="6"/>
  <c r="AD35" i="6"/>
  <c r="AC35" i="6"/>
  <c r="AB35" i="6"/>
  <c r="AA35" i="6"/>
  <c r="Z35" i="6"/>
  <c r="R35" i="6"/>
  <c r="Q35" i="6"/>
  <c r="O35" i="6"/>
  <c r="N35" i="6"/>
  <c r="M35" i="6"/>
  <c r="L35" i="6"/>
  <c r="K35" i="6"/>
  <c r="I35" i="6"/>
  <c r="H35" i="6"/>
  <c r="G35" i="6"/>
  <c r="F35" i="6"/>
  <c r="E35" i="6"/>
  <c r="D35" i="6"/>
  <c r="C35" i="6"/>
  <c r="B35" i="6"/>
  <c r="AE34" i="6"/>
  <c r="AD34" i="6"/>
  <c r="AC34" i="6"/>
  <c r="AB34" i="6"/>
  <c r="AA34" i="6"/>
  <c r="Z34" i="6"/>
  <c r="Y34" i="6"/>
  <c r="Q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E33" i="6"/>
  <c r="AD33" i="6"/>
  <c r="AC33" i="6"/>
  <c r="AB33" i="6"/>
  <c r="AA33" i="6"/>
  <c r="Z33" i="6"/>
  <c r="Y33" i="6"/>
  <c r="Q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E32" i="6"/>
  <c r="AD32" i="6"/>
  <c r="AC32" i="6"/>
  <c r="AB32" i="6"/>
  <c r="AA32" i="6"/>
  <c r="Z32" i="6"/>
  <c r="Y32" i="6"/>
  <c r="Q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E31" i="6"/>
  <c r="AD31" i="6"/>
  <c r="AC31" i="6"/>
  <c r="AB31" i="6"/>
  <c r="AA31" i="6"/>
  <c r="Z31" i="6"/>
  <c r="Y31" i="6"/>
  <c r="R31" i="6"/>
  <c r="Q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E30" i="6"/>
  <c r="AD30" i="6"/>
  <c r="AC30" i="6"/>
  <c r="AB30" i="6"/>
  <c r="AA30" i="6"/>
  <c r="Z30" i="6"/>
  <c r="Y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E29" i="6"/>
  <c r="AD29" i="6"/>
  <c r="AC29" i="6"/>
  <c r="AB29" i="6"/>
  <c r="AA29" i="6"/>
  <c r="Z29" i="6"/>
  <c r="Y29" i="6"/>
  <c r="R29" i="6"/>
  <c r="Q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E28" i="6"/>
  <c r="AD28" i="6"/>
  <c r="AC28" i="6"/>
  <c r="AB28" i="6"/>
  <c r="AA28" i="6"/>
  <c r="Z28" i="6"/>
  <c r="Y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E27" i="6"/>
  <c r="AD27" i="6"/>
  <c r="AC27" i="6"/>
  <c r="AB27" i="6"/>
  <c r="AA27" i="6"/>
  <c r="Z27" i="6"/>
  <c r="Y27" i="6"/>
  <c r="R27" i="6"/>
  <c r="Q27" i="6"/>
  <c r="O27" i="6"/>
  <c r="M27" i="6"/>
  <c r="L27" i="6"/>
  <c r="K27" i="6"/>
  <c r="J27" i="6"/>
  <c r="I27" i="6"/>
  <c r="H27" i="6"/>
  <c r="G27" i="6"/>
  <c r="F27" i="6"/>
  <c r="E27" i="6"/>
  <c r="D27" i="6"/>
  <c r="C27" i="6"/>
  <c r="B27" i="6"/>
  <c r="AB26" i="6"/>
  <c r="AA26" i="6"/>
  <c r="Z26" i="6"/>
  <c r="Y26" i="6"/>
  <c r="S26" i="6"/>
  <c r="R26" i="6"/>
  <c r="Q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R25" i="6"/>
  <c r="Q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B24" i="6"/>
  <c r="AA24" i="6"/>
  <c r="Z24" i="6"/>
  <c r="R24" i="6"/>
  <c r="Q24" i="6"/>
  <c r="O24" i="6"/>
  <c r="M24" i="6"/>
  <c r="L24" i="6"/>
  <c r="K24" i="6"/>
  <c r="I24" i="6"/>
  <c r="H24" i="6"/>
  <c r="G24" i="6"/>
  <c r="F24" i="6"/>
  <c r="E24" i="6"/>
  <c r="D24" i="6"/>
  <c r="C24" i="6"/>
  <c r="B24" i="6"/>
  <c r="AB23" i="6"/>
  <c r="AA23" i="6"/>
  <c r="Z23" i="6"/>
  <c r="Y23" i="6"/>
  <c r="S23" i="6"/>
  <c r="R23" i="6"/>
  <c r="Q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Q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R21" i="6"/>
  <c r="Q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Q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C19" i="6"/>
  <c r="AB19" i="6"/>
  <c r="AA19" i="6"/>
  <c r="Z19" i="6"/>
  <c r="Y19" i="6"/>
  <c r="R19" i="6"/>
  <c r="Q19" i="6"/>
  <c r="O19" i="6"/>
  <c r="N19" i="6"/>
  <c r="M19" i="6"/>
  <c r="L19" i="6"/>
  <c r="K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R18" i="6"/>
  <c r="Q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Q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R16" i="6"/>
  <c r="Q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Q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R13" i="6"/>
  <c r="Q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Q12" i="6"/>
  <c r="O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R11" i="6"/>
  <c r="Q11" i="6"/>
  <c r="O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R10" i="6"/>
  <c r="Q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S9" i="6"/>
  <c r="Q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Q8" i="6"/>
  <c r="O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R7" i="6"/>
  <c r="Q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R6" i="6"/>
  <c r="Q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B5" i="6"/>
  <c r="AA5" i="6"/>
  <c r="Z5" i="6"/>
  <c r="Y5" i="6"/>
  <c r="Q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R4" i="6"/>
  <c r="Q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B13" i="4"/>
  <c r="AA13" i="4"/>
  <c r="Z13" i="4"/>
  <c r="Y13" i="4"/>
  <c r="S13" i="4"/>
  <c r="R13" i="4"/>
  <c r="Q13" i="4"/>
  <c r="O13" i="4"/>
  <c r="M13" i="4"/>
  <c r="L13" i="4"/>
  <c r="K13" i="4"/>
  <c r="I13" i="4"/>
  <c r="H13" i="4"/>
  <c r="G13" i="4"/>
  <c r="F13" i="4"/>
  <c r="E13" i="4"/>
  <c r="D13" i="4"/>
  <c r="C13" i="4"/>
  <c r="B13" i="4"/>
  <c r="AE12" i="4"/>
  <c r="AD12" i="4"/>
  <c r="AC12" i="4"/>
  <c r="AB12" i="4"/>
  <c r="AA12" i="4"/>
  <c r="Z12" i="4"/>
  <c r="S12" i="4"/>
  <c r="R12" i="4"/>
  <c r="Q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E11" i="4"/>
  <c r="AD11" i="4"/>
  <c r="AC11" i="4"/>
  <c r="AB11" i="4"/>
  <c r="AA11" i="4"/>
  <c r="Z11" i="4"/>
  <c r="Y11" i="4"/>
  <c r="S11" i="4"/>
  <c r="R11" i="4"/>
  <c r="Q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B10" i="4"/>
  <c r="AA10" i="4"/>
  <c r="Z10" i="4"/>
  <c r="Y10" i="4"/>
  <c r="S10" i="4"/>
  <c r="Q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E9" i="4"/>
  <c r="AD9" i="4"/>
  <c r="AC9" i="4"/>
  <c r="AB9" i="4"/>
  <c r="AA9" i="4"/>
  <c r="Z9" i="4"/>
  <c r="Y9" i="4"/>
  <c r="S9" i="4"/>
  <c r="Q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E8" i="4"/>
  <c r="AD8" i="4"/>
  <c r="AC8" i="4"/>
  <c r="AB8" i="4"/>
  <c r="AA8" i="4"/>
  <c r="Z8" i="4"/>
  <c r="S8" i="4"/>
  <c r="Q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E7" i="4"/>
  <c r="AD7" i="4"/>
  <c r="AC7" i="4"/>
  <c r="AB7" i="4"/>
  <c r="AA7" i="4"/>
  <c r="Z7" i="4"/>
  <c r="S7" i="4"/>
  <c r="R7" i="4"/>
  <c r="Q7" i="4"/>
  <c r="O7" i="4"/>
  <c r="M7" i="4"/>
  <c r="L7" i="4"/>
  <c r="K7" i="4"/>
  <c r="J7" i="4"/>
  <c r="I7" i="4"/>
  <c r="H7" i="4"/>
  <c r="G7" i="4"/>
  <c r="F7" i="4"/>
  <c r="E7" i="4"/>
  <c r="D7" i="4"/>
  <c r="C7" i="4"/>
  <c r="B7" i="4"/>
  <c r="AE6" i="4"/>
  <c r="AD6" i="4"/>
  <c r="AC6" i="4"/>
  <c r="AB6" i="4"/>
  <c r="AA6" i="4"/>
  <c r="Z6" i="4"/>
  <c r="S6" i="4"/>
  <c r="R6" i="4"/>
  <c r="Q6" i="4"/>
  <c r="O6" i="4"/>
  <c r="M6" i="4"/>
  <c r="L6" i="4"/>
  <c r="K6" i="4"/>
  <c r="I6" i="4"/>
  <c r="H6" i="4"/>
  <c r="G6" i="4"/>
  <c r="F6" i="4"/>
  <c r="E6" i="4"/>
  <c r="D6" i="4"/>
  <c r="C6" i="4"/>
  <c r="B6" i="4"/>
  <c r="AE5" i="4"/>
  <c r="AD5" i="4"/>
  <c r="AC5" i="4"/>
  <c r="AB5" i="4"/>
  <c r="AA5" i="4"/>
  <c r="Z5" i="4"/>
  <c r="Y5" i="4"/>
  <c r="S5" i="4"/>
  <c r="R5" i="4"/>
  <c r="Q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E4" i="4"/>
  <c r="AD4" i="4"/>
  <c r="AC4" i="4"/>
  <c r="AB4" i="4"/>
  <c r="AA4" i="4"/>
  <c r="Z4" i="4"/>
  <c r="S4" i="4"/>
  <c r="Q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A358" i="2"/>
  <c r="Z358" i="2"/>
  <c r="Y358" i="2"/>
  <c r="X358" i="2"/>
  <c r="R358" i="2"/>
  <c r="Q358" i="2"/>
  <c r="P358" i="2"/>
  <c r="N358" i="2"/>
  <c r="L358" i="2"/>
  <c r="K358" i="2"/>
  <c r="J358" i="2"/>
  <c r="H358" i="2"/>
  <c r="G358" i="2"/>
  <c r="F358" i="2"/>
  <c r="E358" i="2"/>
  <c r="D358" i="2"/>
  <c r="C358" i="2"/>
  <c r="B358" i="2"/>
  <c r="A358" i="2"/>
  <c r="AA357" i="2"/>
  <c r="Z357" i="2"/>
  <c r="Y357" i="2"/>
  <c r="X357" i="2"/>
  <c r="S357" i="2"/>
  <c r="R357" i="2"/>
  <c r="P357" i="2"/>
  <c r="O357" i="2"/>
  <c r="N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AA356" i="2"/>
  <c r="Z356" i="2"/>
  <c r="Y356" i="2"/>
  <c r="X356" i="2"/>
  <c r="P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AA355" i="2"/>
  <c r="Z355" i="2"/>
  <c r="Y355" i="2"/>
  <c r="R355" i="2"/>
  <c r="P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AA354" i="2"/>
  <c r="Z354" i="2"/>
  <c r="Y354" i="2"/>
  <c r="R354" i="2"/>
  <c r="P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AA353" i="2"/>
  <c r="Z353" i="2"/>
  <c r="Y353" i="2"/>
  <c r="X353" i="2"/>
  <c r="Q353" i="2"/>
  <c r="P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AA352" i="2"/>
  <c r="Z352" i="2"/>
  <c r="Y352" i="2"/>
  <c r="X352" i="2"/>
  <c r="Q352" i="2"/>
  <c r="P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AA351" i="2"/>
  <c r="Z351" i="2"/>
  <c r="Y351" i="2"/>
  <c r="X351" i="2"/>
  <c r="Q351" i="2"/>
  <c r="P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AA350" i="2"/>
  <c r="Z350" i="2"/>
  <c r="Y350" i="2"/>
  <c r="X350" i="2"/>
  <c r="P350" i="2"/>
  <c r="N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AA349" i="2"/>
  <c r="Z349" i="2"/>
  <c r="Y349" i="2"/>
  <c r="X349" i="2"/>
  <c r="P349" i="2"/>
  <c r="N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AA348" i="2"/>
  <c r="Z348" i="2"/>
  <c r="Y348" i="2"/>
  <c r="X348" i="2"/>
  <c r="P348" i="2"/>
  <c r="N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AA347" i="2"/>
  <c r="Z347" i="2"/>
  <c r="Y347" i="2"/>
  <c r="S347" i="2"/>
  <c r="R347" i="2"/>
  <c r="Q347" i="2"/>
  <c r="P347" i="2"/>
  <c r="N347" i="2"/>
  <c r="L347" i="2"/>
  <c r="K347" i="2"/>
  <c r="J347" i="2"/>
  <c r="H347" i="2"/>
  <c r="G347" i="2"/>
  <c r="F347" i="2"/>
  <c r="E347" i="2"/>
  <c r="D347" i="2"/>
  <c r="C347" i="2"/>
  <c r="B347" i="2"/>
  <c r="A347" i="2"/>
  <c r="AD346" i="2"/>
  <c r="AC346" i="2"/>
  <c r="AB346" i="2"/>
  <c r="AA346" i="2"/>
  <c r="Z346" i="2"/>
  <c r="Y346" i="2"/>
  <c r="X346" i="2"/>
  <c r="P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AD345" i="2"/>
  <c r="AC345" i="2"/>
  <c r="AB345" i="2"/>
  <c r="AA345" i="2"/>
  <c r="Z345" i="2"/>
  <c r="Y345" i="2"/>
  <c r="X345" i="2"/>
  <c r="P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AA344" i="2"/>
  <c r="Z344" i="2"/>
  <c r="Y344" i="2"/>
  <c r="X344" i="2"/>
  <c r="R344" i="2"/>
  <c r="P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AD343" i="2"/>
  <c r="AC343" i="2"/>
  <c r="AB343" i="2"/>
  <c r="AA343" i="2"/>
  <c r="Z343" i="2"/>
  <c r="Y343" i="2"/>
  <c r="X343" i="2"/>
  <c r="P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AA342" i="2"/>
  <c r="Z342" i="2"/>
  <c r="Y342" i="2"/>
  <c r="X342" i="2"/>
  <c r="Q342" i="2"/>
  <c r="P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AD341" i="2"/>
  <c r="AC341" i="2"/>
  <c r="AB341" i="2"/>
  <c r="AA341" i="2"/>
  <c r="Z341" i="2"/>
  <c r="Y341" i="2"/>
  <c r="X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H341" i="2"/>
  <c r="G341" i="2"/>
  <c r="F341" i="2"/>
  <c r="E341" i="2"/>
  <c r="D341" i="2"/>
  <c r="C341" i="2"/>
  <c r="B341" i="2"/>
  <c r="A341" i="2"/>
  <c r="AA340" i="2"/>
  <c r="Z340" i="2"/>
  <c r="Y340" i="2"/>
  <c r="P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AD339" i="2"/>
  <c r="AC339" i="2"/>
  <c r="AB339" i="2"/>
  <c r="AA339" i="2"/>
  <c r="Z339" i="2"/>
  <c r="Y339" i="2"/>
  <c r="X339" i="2"/>
  <c r="P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AA338" i="2"/>
  <c r="Z338" i="2"/>
  <c r="Y338" i="2"/>
  <c r="P338" i="2"/>
  <c r="N338" i="2"/>
  <c r="L338" i="2"/>
  <c r="K338" i="2"/>
  <c r="J338" i="2"/>
  <c r="G338" i="2"/>
  <c r="F338" i="2"/>
  <c r="E338" i="2"/>
  <c r="D338" i="2"/>
  <c r="C338" i="2"/>
  <c r="B338" i="2"/>
  <c r="A338" i="2"/>
  <c r="AA337" i="2"/>
  <c r="Z337" i="2"/>
  <c r="Y337" i="2"/>
  <c r="Q337" i="2"/>
  <c r="P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AD336" i="2"/>
  <c r="AC336" i="2"/>
  <c r="AB336" i="2"/>
  <c r="AA336" i="2"/>
  <c r="Z336" i="2"/>
  <c r="Y336" i="2"/>
  <c r="X336" i="2"/>
  <c r="S336" i="2"/>
  <c r="R336" i="2"/>
  <c r="Q336" i="2"/>
  <c r="P336" i="2"/>
  <c r="O336" i="2"/>
  <c r="N336" i="2"/>
  <c r="L336" i="2"/>
  <c r="K336" i="2"/>
  <c r="J336" i="2"/>
  <c r="H336" i="2"/>
  <c r="G336" i="2"/>
  <c r="F336" i="2"/>
  <c r="E336" i="2"/>
  <c r="D336" i="2"/>
  <c r="C336" i="2"/>
  <c r="B336" i="2"/>
  <c r="A336" i="2"/>
  <c r="AD335" i="2"/>
  <c r="AC335" i="2"/>
  <c r="AB335" i="2"/>
  <c r="AA335" i="2"/>
  <c r="Z335" i="2"/>
  <c r="Y335" i="2"/>
  <c r="X335" i="2"/>
  <c r="P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AD334" i="2"/>
  <c r="AC334" i="2"/>
  <c r="AB334" i="2"/>
  <c r="AA334" i="2"/>
  <c r="Z334" i="2"/>
  <c r="Y334" i="2"/>
  <c r="X334" i="2"/>
  <c r="P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AD333" i="2"/>
  <c r="AC333" i="2"/>
  <c r="AB333" i="2"/>
  <c r="AA333" i="2"/>
  <c r="Z333" i="2"/>
  <c r="Y333" i="2"/>
  <c r="X333" i="2"/>
  <c r="Q333" i="2"/>
  <c r="P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AD332" i="2"/>
  <c r="AC332" i="2"/>
  <c r="AB332" i="2"/>
  <c r="AA332" i="2"/>
  <c r="Z332" i="2"/>
  <c r="Y332" i="2"/>
  <c r="X332" i="2"/>
  <c r="Q332" i="2"/>
  <c r="P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AD331" i="2"/>
  <c r="AC331" i="2"/>
  <c r="AB331" i="2"/>
  <c r="AA331" i="2"/>
  <c r="Z331" i="2"/>
  <c r="Y331" i="2"/>
  <c r="X331" i="2"/>
  <c r="P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AD330" i="2"/>
  <c r="AC330" i="2"/>
  <c r="AB330" i="2"/>
  <c r="AA330" i="2"/>
  <c r="Z330" i="2"/>
  <c r="Y330" i="2"/>
  <c r="X330" i="2"/>
  <c r="P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AD329" i="2"/>
  <c r="AC329" i="2"/>
  <c r="AB329" i="2"/>
  <c r="AA329" i="2"/>
  <c r="Z329" i="2"/>
  <c r="Y329" i="2"/>
  <c r="X329" i="2"/>
  <c r="P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AD328" i="2"/>
  <c r="AC328" i="2"/>
  <c r="AB328" i="2"/>
  <c r="AA328" i="2"/>
  <c r="Z328" i="2"/>
  <c r="Y328" i="2"/>
  <c r="T328" i="2"/>
  <c r="S328" i="2"/>
  <c r="R328" i="2"/>
  <c r="Q328" i="2"/>
  <c r="P328" i="2"/>
  <c r="O328" i="2"/>
  <c r="N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AA327" i="2"/>
  <c r="Z327" i="2"/>
  <c r="Y327" i="2"/>
  <c r="P327" i="2"/>
  <c r="N327" i="2"/>
  <c r="L327" i="2"/>
  <c r="K327" i="2"/>
  <c r="J327" i="2"/>
  <c r="H327" i="2"/>
  <c r="G327" i="2"/>
  <c r="F327" i="2"/>
  <c r="E327" i="2"/>
  <c r="D327" i="2"/>
  <c r="C327" i="2"/>
  <c r="B327" i="2"/>
  <c r="A327" i="2"/>
  <c r="AD326" i="2"/>
  <c r="AC326" i="2"/>
  <c r="AB326" i="2"/>
  <c r="AA326" i="2"/>
  <c r="Z326" i="2"/>
  <c r="Y326" i="2"/>
  <c r="X326" i="2"/>
  <c r="P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AD325" i="2"/>
  <c r="AC325" i="2"/>
  <c r="AB325" i="2"/>
  <c r="AA325" i="2"/>
  <c r="Z325" i="2"/>
  <c r="Y325" i="2"/>
  <c r="X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AD324" i="2"/>
  <c r="AC324" i="2"/>
  <c r="AB324" i="2"/>
  <c r="AA324" i="2"/>
  <c r="Z324" i="2"/>
  <c r="Y324" i="2"/>
  <c r="X324" i="2"/>
  <c r="U324" i="2"/>
  <c r="T324" i="2"/>
  <c r="S324" i="2"/>
  <c r="R324" i="2"/>
  <c r="P324" i="2"/>
  <c r="O324" i="2"/>
  <c r="N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AD323" i="2"/>
  <c r="AC323" i="2"/>
  <c r="AB323" i="2"/>
  <c r="AA323" i="2"/>
  <c r="Z323" i="2"/>
  <c r="Y323" i="2"/>
  <c r="R323" i="2"/>
  <c r="Q323" i="2"/>
  <c r="P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AA322" i="2"/>
  <c r="Z322" i="2"/>
  <c r="Y322" i="2"/>
  <c r="X322" i="2"/>
  <c r="R322" i="2"/>
  <c r="Q322" i="2"/>
  <c r="P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AD321" i="2"/>
  <c r="AC321" i="2"/>
  <c r="AB321" i="2"/>
  <c r="AA321" i="2"/>
  <c r="Z321" i="2"/>
  <c r="Y321" i="2"/>
  <c r="X321" i="2"/>
  <c r="P321" i="2"/>
  <c r="N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AD320" i="2"/>
  <c r="AC320" i="2"/>
  <c r="AB320" i="2"/>
  <c r="AA320" i="2"/>
  <c r="Z320" i="2"/>
  <c r="Y320" i="2"/>
  <c r="X320" i="2"/>
  <c r="P320" i="2"/>
  <c r="N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AD319" i="2"/>
  <c r="AC319" i="2"/>
  <c r="AB319" i="2"/>
  <c r="AA319" i="2"/>
  <c r="Z319" i="2"/>
  <c r="Y319" i="2"/>
  <c r="P319" i="2"/>
  <c r="N319" i="2"/>
  <c r="M319" i="2"/>
  <c r="L319" i="2"/>
  <c r="K319" i="2"/>
  <c r="J319" i="2"/>
  <c r="H319" i="2"/>
  <c r="G319" i="2"/>
  <c r="F319" i="2"/>
  <c r="E319" i="2"/>
  <c r="D319" i="2"/>
  <c r="C319" i="2"/>
  <c r="B319" i="2"/>
  <c r="A319" i="2"/>
  <c r="AD318" i="2"/>
  <c r="AC318" i="2"/>
  <c r="AB318" i="2"/>
  <c r="AA318" i="2"/>
  <c r="Z318" i="2"/>
  <c r="Y318" i="2"/>
  <c r="P318" i="2"/>
  <c r="N318" i="2"/>
  <c r="M318" i="2"/>
  <c r="L318" i="2"/>
  <c r="K318" i="2"/>
  <c r="J318" i="2"/>
  <c r="H318" i="2"/>
  <c r="G318" i="2"/>
  <c r="F318" i="2"/>
  <c r="E318" i="2"/>
  <c r="D318" i="2"/>
  <c r="C318" i="2"/>
  <c r="B318" i="2"/>
  <c r="A318" i="2"/>
  <c r="AD317" i="2"/>
  <c r="AC317" i="2"/>
  <c r="AB317" i="2"/>
  <c r="AA317" i="2"/>
  <c r="Z317" i="2"/>
  <c r="Y317" i="2"/>
  <c r="R317" i="2"/>
  <c r="P317" i="2"/>
  <c r="O317" i="2"/>
  <c r="N317" i="2"/>
  <c r="M317" i="2"/>
  <c r="L317" i="2"/>
  <c r="K317" i="2"/>
  <c r="J317" i="2"/>
  <c r="H317" i="2"/>
  <c r="G317" i="2"/>
  <c r="F317" i="2"/>
  <c r="E317" i="2"/>
  <c r="D317" i="2"/>
  <c r="C317" i="2"/>
  <c r="B317" i="2"/>
  <c r="A317" i="2"/>
  <c r="AD316" i="2"/>
  <c r="AC316" i="2"/>
  <c r="AB316" i="2"/>
  <c r="AA316" i="2"/>
  <c r="Z316" i="2"/>
  <c r="Y316" i="2"/>
  <c r="X316" i="2"/>
  <c r="P316" i="2"/>
  <c r="N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AD315" i="2"/>
  <c r="AC315" i="2"/>
  <c r="AB315" i="2"/>
  <c r="AA315" i="2"/>
  <c r="Z315" i="2"/>
  <c r="Y315" i="2"/>
  <c r="X315" i="2"/>
  <c r="P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AD314" i="2"/>
  <c r="AC314" i="2"/>
  <c r="AB314" i="2"/>
  <c r="AA314" i="2"/>
  <c r="Z314" i="2"/>
  <c r="Y314" i="2"/>
  <c r="X314" i="2"/>
  <c r="P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AA313" i="2"/>
  <c r="Z313" i="2"/>
  <c r="Y313" i="2"/>
  <c r="R313" i="2"/>
  <c r="P313" i="2"/>
  <c r="O313" i="2"/>
  <c r="N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AD312" i="2"/>
  <c r="AC312" i="2"/>
  <c r="AB312" i="2"/>
  <c r="AA312" i="2"/>
  <c r="Z312" i="2"/>
  <c r="Y312" i="2"/>
  <c r="R312" i="2"/>
  <c r="Q312" i="2"/>
  <c r="P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AD311" i="2"/>
  <c r="AC311" i="2"/>
  <c r="AB311" i="2"/>
  <c r="AA311" i="2"/>
  <c r="Z311" i="2"/>
  <c r="Y311" i="2"/>
  <c r="R311" i="2"/>
  <c r="P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AF310" i="2"/>
  <c r="AD310" i="2"/>
  <c r="AC310" i="2"/>
  <c r="AB310" i="2"/>
  <c r="AA310" i="2"/>
  <c r="Z310" i="2"/>
  <c r="Y310" i="2"/>
  <c r="X310" i="2"/>
  <c r="P310" i="2"/>
  <c r="N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AD309" i="2"/>
  <c r="AC309" i="2"/>
  <c r="AB309" i="2"/>
  <c r="AA309" i="2"/>
  <c r="Z309" i="2"/>
  <c r="Y309" i="2"/>
  <c r="P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AD308" i="2"/>
  <c r="AC308" i="2"/>
  <c r="AB308" i="2"/>
  <c r="AA308" i="2"/>
  <c r="Z308" i="2"/>
  <c r="Y308" i="2"/>
  <c r="X308" i="2"/>
  <c r="Q308" i="2"/>
  <c r="P308" i="2"/>
  <c r="N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AD307" i="2"/>
  <c r="AC307" i="2"/>
  <c r="AB307" i="2"/>
  <c r="AA307" i="2"/>
  <c r="Z307" i="2"/>
  <c r="Y307" i="2"/>
  <c r="X307" i="2"/>
  <c r="R307" i="2"/>
  <c r="P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AA306" i="2"/>
  <c r="Z306" i="2"/>
  <c r="Y306" i="2"/>
  <c r="Q306" i="2"/>
  <c r="P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AA305" i="2"/>
  <c r="Z305" i="2"/>
  <c r="Y305" i="2"/>
  <c r="X305" i="2"/>
  <c r="Q305" i="2"/>
  <c r="P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AA304" i="2"/>
  <c r="Z304" i="2"/>
  <c r="Y304" i="2"/>
  <c r="X304" i="2"/>
  <c r="Q304" i="2"/>
  <c r="P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AA303" i="2"/>
  <c r="Z303" i="2"/>
  <c r="Y303" i="2"/>
  <c r="X303" i="2"/>
  <c r="Q303" i="2"/>
  <c r="P303" i="2"/>
  <c r="N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AF302" i="2"/>
  <c r="AD302" i="2"/>
  <c r="AC302" i="2"/>
  <c r="AB302" i="2"/>
  <c r="AA302" i="2"/>
  <c r="Z302" i="2"/>
  <c r="Y302" i="2"/>
  <c r="X302" i="2"/>
  <c r="T302" i="2"/>
  <c r="S302" i="2"/>
  <c r="R302" i="2"/>
  <c r="Q302" i="2"/>
  <c r="P302" i="2"/>
  <c r="O302" i="2"/>
  <c r="N302" i="2"/>
  <c r="M302" i="2"/>
  <c r="L302" i="2"/>
  <c r="K302" i="2"/>
  <c r="J302" i="2"/>
  <c r="H302" i="2"/>
  <c r="G302" i="2"/>
  <c r="F302" i="2"/>
  <c r="E302" i="2"/>
  <c r="D302" i="2"/>
  <c r="C302" i="2"/>
  <c r="B302" i="2"/>
  <c r="A302" i="2"/>
  <c r="AD301" i="2"/>
  <c r="AC301" i="2"/>
  <c r="AB301" i="2"/>
  <c r="AA301" i="2"/>
  <c r="Z301" i="2"/>
  <c r="Y301" i="2"/>
  <c r="X301" i="2"/>
  <c r="P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AD300" i="2"/>
  <c r="AC300" i="2"/>
  <c r="AB300" i="2"/>
  <c r="AA300" i="2"/>
  <c r="Z300" i="2"/>
  <c r="Y300" i="2"/>
  <c r="X300" i="2"/>
  <c r="P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AA299" i="2"/>
  <c r="Z299" i="2"/>
  <c r="Y299" i="2"/>
  <c r="X299" i="2"/>
  <c r="P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AA298" i="2"/>
  <c r="Z298" i="2"/>
  <c r="Y298" i="2"/>
  <c r="X298" i="2"/>
  <c r="Q298" i="2"/>
  <c r="P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AA297" i="2"/>
  <c r="Z297" i="2"/>
  <c r="Y297" i="2"/>
  <c r="P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AD296" i="2"/>
  <c r="AC296" i="2"/>
  <c r="AB296" i="2"/>
  <c r="AA296" i="2"/>
  <c r="Z296" i="2"/>
  <c r="Y296" i="2"/>
  <c r="X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AD295" i="2"/>
  <c r="AC295" i="2"/>
  <c r="AB295" i="2"/>
  <c r="AA295" i="2"/>
  <c r="Z295" i="2"/>
  <c r="Y295" i="2"/>
  <c r="X295" i="2"/>
  <c r="P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AF294" i="2"/>
  <c r="AD294" i="2"/>
  <c r="AC294" i="2"/>
  <c r="AB294" i="2"/>
  <c r="AA294" i="2"/>
  <c r="Z294" i="2"/>
  <c r="Y294" i="2"/>
  <c r="R294" i="2"/>
  <c r="Q294" i="2"/>
  <c r="P294" i="2"/>
  <c r="N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AD293" i="2"/>
  <c r="AC293" i="2"/>
  <c r="AB293" i="2"/>
  <c r="AA293" i="2"/>
  <c r="Z293" i="2"/>
  <c r="Y293" i="2"/>
  <c r="X293" i="2"/>
  <c r="R293" i="2"/>
  <c r="Q293" i="2"/>
  <c r="P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AD292" i="2"/>
  <c r="AC292" i="2"/>
  <c r="AB292" i="2"/>
  <c r="AA292" i="2"/>
  <c r="Z292" i="2"/>
  <c r="Y292" i="2"/>
  <c r="X292" i="2"/>
  <c r="R292" i="2"/>
  <c r="Q292" i="2"/>
  <c r="P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AD291" i="2"/>
  <c r="AC291" i="2"/>
  <c r="AB291" i="2"/>
  <c r="AA291" i="2"/>
  <c r="Z291" i="2"/>
  <c r="Y291" i="2"/>
  <c r="R291" i="2"/>
  <c r="Q291" i="2"/>
  <c r="P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AA290" i="2"/>
  <c r="Z290" i="2"/>
  <c r="Y290" i="2"/>
  <c r="P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AF289" i="2"/>
  <c r="AD289" i="2"/>
  <c r="AC289" i="2"/>
  <c r="AB289" i="2"/>
  <c r="AA289" i="2"/>
  <c r="Z289" i="2"/>
  <c r="Y289" i="2"/>
  <c r="X289" i="2"/>
  <c r="R289" i="2"/>
  <c r="Q289" i="2"/>
  <c r="P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AD288" i="2"/>
  <c r="AC288" i="2"/>
  <c r="AB288" i="2"/>
  <c r="AA288" i="2"/>
  <c r="Z288" i="2"/>
  <c r="Y288" i="2"/>
  <c r="X288" i="2"/>
  <c r="P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AA287" i="2"/>
  <c r="Z287" i="2"/>
  <c r="Y287" i="2"/>
  <c r="R287" i="2"/>
  <c r="Q287" i="2"/>
  <c r="P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AA286" i="2"/>
  <c r="Z286" i="2"/>
  <c r="Y286" i="2"/>
  <c r="X286" i="2"/>
  <c r="R286" i="2"/>
  <c r="Q286" i="2"/>
  <c r="P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AD285" i="2"/>
  <c r="AC285" i="2"/>
  <c r="AB285" i="2"/>
  <c r="AA285" i="2"/>
  <c r="Z285" i="2"/>
  <c r="Y285" i="2"/>
  <c r="X285" i="2"/>
  <c r="P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AA284" i="2"/>
  <c r="Z284" i="2"/>
  <c r="Y284" i="2"/>
  <c r="X284" i="2"/>
  <c r="Q284" i="2"/>
  <c r="P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AD283" i="2"/>
  <c r="AC283" i="2"/>
  <c r="AB283" i="2"/>
  <c r="AA283" i="2"/>
  <c r="Z283" i="2"/>
  <c r="Y283" i="2"/>
  <c r="X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AD282" i="2"/>
  <c r="AC282" i="2"/>
  <c r="AB282" i="2"/>
  <c r="AA282" i="2"/>
  <c r="Z282" i="2"/>
  <c r="Y282" i="2"/>
  <c r="X282" i="2"/>
  <c r="P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AD281" i="2"/>
  <c r="AC281" i="2"/>
  <c r="AB281" i="2"/>
  <c r="AA281" i="2"/>
  <c r="Z281" i="2"/>
  <c r="Y281" i="2"/>
  <c r="P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AD280" i="2"/>
  <c r="AC280" i="2"/>
  <c r="AB280" i="2"/>
  <c r="AA280" i="2"/>
  <c r="Z280" i="2"/>
  <c r="Y280" i="2"/>
  <c r="R280" i="2"/>
  <c r="P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AD279" i="2"/>
  <c r="AC279" i="2"/>
  <c r="AB279" i="2"/>
  <c r="AA279" i="2"/>
  <c r="Z279" i="2"/>
  <c r="Y279" i="2"/>
  <c r="P279" i="2"/>
  <c r="N279" i="2"/>
  <c r="L279" i="2"/>
  <c r="K279" i="2"/>
  <c r="J279" i="2"/>
  <c r="H279" i="2"/>
  <c r="G279" i="2"/>
  <c r="F279" i="2"/>
  <c r="E279" i="2"/>
  <c r="D279" i="2"/>
  <c r="C279" i="2"/>
  <c r="B279" i="2"/>
  <c r="A279" i="2"/>
  <c r="AD278" i="2"/>
  <c r="AC278" i="2"/>
  <c r="AB278" i="2"/>
  <c r="AA278" i="2"/>
  <c r="Z278" i="2"/>
  <c r="Y278" i="2"/>
  <c r="X278" i="2"/>
  <c r="Q278" i="2"/>
  <c r="P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AD277" i="2"/>
  <c r="AC277" i="2"/>
  <c r="AB277" i="2"/>
  <c r="AA277" i="2"/>
  <c r="Z277" i="2"/>
  <c r="Y277" i="2"/>
  <c r="X277" i="2"/>
  <c r="Q277" i="2"/>
  <c r="P277" i="2"/>
  <c r="N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AA276" i="2"/>
  <c r="Z276" i="2"/>
  <c r="Y276" i="2"/>
  <c r="X276" i="2"/>
  <c r="Q276" i="2"/>
  <c r="P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AD275" i="2"/>
  <c r="AC275" i="2"/>
  <c r="AB275" i="2"/>
  <c r="AA275" i="2"/>
  <c r="Z275" i="2"/>
  <c r="Y275" i="2"/>
  <c r="X275" i="2"/>
  <c r="P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AA274" i="2"/>
  <c r="Z274" i="2"/>
  <c r="Y274" i="2"/>
  <c r="X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AD273" i="2"/>
  <c r="AC273" i="2"/>
  <c r="AB273" i="2"/>
  <c r="AA273" i="2"/>
  <c r="Z273" i="2"/>
  <c r="Y273" i="2"/>
  <c r="X273" i="2"/>
  <c r="P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AD272" i="2"/>
  <c r="AC272" i="2"/>
  <c r="AB272" i="2"/>
  <c r="AA272" i="2"/>
  <c r="Z272" i="2"/>
  <c r="Y272" i="2"/>
  <c r="R272" i="2"/>
  <c r="P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AD271" i="2"/>
  <c r="AC271" i="2"/>
  <c r="AB271" i="2"/>
  <c r="AA271" i="2"/>
  <c r="Z271" i="2"/>
  <c r="Y271" i="2"/>
  <c r="R271" i="2"/>
  <c r="Q271" i="2"/>
  <c r="P271" i="2"/>
  <c r="O271" i="2"/>
  <c r="N271" i="2"/>
  <c r="L271" i="2"/>
  <c r="K271" i="2"/>
  <c r="J271" i="2"/>
  <c r="H271" i="2"/>
  <c r="G271" i="2"/>
  <c r="F271" i="2"/>
  <c r="E271" i="2"/>
  <c r="D271" i="2"/>
  <c r="C271" i="2"/>
  <c r="B271" i="2"/>
  <c r="A271" i="2"/>
  <c r="AA270" i="2"/>
  <c r="Z270" i="2"/>
  <c r="Y270" i="2"/>
  <c r="X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AA269" i="2"/>
  <c r="Z269" i="2"/>
  <c r="Y269" i="2"/>
  <c r="X269" i="2"/>
  <c r="R269" i="2"/>
  <c r="P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AA268" i="2"/>
  <c r="Z268" i="2"/>
  <c r="Y268" i="2"/>
  <c r="X268" i="2"/>
  <c r="P268" i="2"/>
  <c r="N268" i="2"/>
  <c r="L268" i="2"/>
  <c r="K268" i="2"/>
  <c r="J268" i="2"/>
  <c r="H268" i="2"/>
  <c r="G268" i="2"/>
  <c r="F268" i="2"/>
  <c r="E268" i="2"/>
  <c r="D268" i="2"/>
  <c r="C268" i="2"/>
  <c r="B268" i="2"/>
  <c r="A268" i="2"/>
  <c r="AD267" i="2"/>
  <c r="AC267" i="2"/>
  <c r="AB267" i="2"/>
  <c r="AA267" i="2"/>
  <c r="Z267" i="2"/>
  <c r="Y267" i="2"/>
  <c r="X267" i="2"/>
  <c r="S267" i="2"/>
  <c r="R267" i="2"/>
  <c r="Q267" i="2"/>
  <c r="P267" i="2"/>
  <c r="N267" i="2"/>
  <c r="L267" i="2"/>
  <c r="K267" i="2"/>
  <c r="J267" i="2"/>
  <c r="H267" i="2"/>
  <c r="G267" i="2"/>
  <c r="F267" i="2"/>
  <c r="E267" i="2"/>
  <c r="D267" i="2"/>
  <c r="C267" i="2"/>
  <c r="B267" i="2"/>
  <c r="A267" i="2"/>
  <c r="AD266" i="2"/>
  <c r="AC266" i="2"/>
  <c r="AB266" i="2"/>
  <c r="AA266" i="2"/>
  <c r="Z266" i="2"/>
  <c r="Y266" i="2"/>
  <c r="X266" i="2"/>
  <c r="Q266" i="2"/>
  <c r="P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AD265" i="2"/>
  <c r="AC265" i="2"/>
  <c r="AB265" i="2"/>
  <c r="AA265" i="2"/>
  <c r="Z265" i="2"/>
  <c r="Y265" i="2"/>
  <c r="Q265" i="2"/>
  <c r="P265" i="2"/>
  <c r="N265" i="2"/>
  <c r="L265" i="2"/>
  <c r="K265" i="2"/>
  <c r="J265" i="2"/>
  <c r="H265" i="2"/>
  <c r="G265" i="2"/>
  <c r="F265" i="2"/>
  <c r="E265" i="2"/>
  <c r="D265" i="2"/>
  <c r="C265" i="2"/>
  <c r="B265" i="2"/>
  <c r="A265" i="2"/>
  <c r="AD264" i="2"/>
  <c r="AC264" i="2"/>
  <c r="AB264" i="2"/>
  <c r="AA264" i="2"/>
  <c r="Z264" i="2"/>
  <c r="Y264" i="2"/>
  <c r="X264" i="2"/>
  <c r="P264" i="2"/>
  <c r="N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AD263" i="2"/>
  <c r="AC263" i="2"/>
  <c r="AB263" i="2"/>
  <c r="AA263" i="2"/>
  <c r="Z263" i="2"/>
  <c r="Y263" i="2"/>
  <c r="X263" i="2"/>
  <c r="P263" i="2"/>
  <c r="N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AD262" i="2"/>
  <c r="AC262" i="2"/>
  <c r="AB262" i="2"/>
  <c r="AA262" i="2"/>
  <c r="Z262" i="2"/>
  <c r="Y262" i="2"/>
  <c r="X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AD261" i="2"/>
  <c r="AC261" i="2"/>
  <c r="AB261" i="2"/>
  <c r="AA261" i="2"/>
  <c r="Z261" i="2"/>
  <c r="Y261" i="2"/>
  <c r="X261" i="2"/>
  <c r="P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D260" i="2"/>
  <c r="AC260" i="2"/>
  <c r="AB260" i="2"/>
  <c r="AA260" i="2"/>
  <c r="Z260" i="2"/>
  <c r="Y260" i="2"/>
  <c r="R260" i="2"/>
  <c r="Q260" i="2"/>
  <c r="P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AD259" i="2"/>
  <c r="AC259" i="2"/>
  <c r="AB259" i="2"/>
  <c r="AA259" i="2"/>
  <c r="Z259" i="2"/>
  <c r="Y259" i="2"/>
  <c r="X259" i="2"/>
  <c r="Q259" i="2"/>
  <c r="P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AD258" i="2"/>
  <c r="AB258" i="2"/>
  <c r="AA258" i="2"/>
  <c r="Z258" i="2"/>
  <c r="Y258" i="2"/>
  <c r="X258" i="2"/>
  <c r="P258" i="2"/>
  <c r="N258" i="2"/>
  <c r="M258" i="2"/>
  <c r="L258" i="2"/>
  <c r="K258" i="2"/>
  <c r="J258" i="2"/>
  <c r="H258" i="2"/>
  <c r="G258" i="2"/>
  <c r="F258" i="2"/>
  <c r="E258" i="2"/>
  <c r="D258" i="2"/>
  <c r="C258" i="2"/>
  <c r="B258" i="2"/>
  <c r="A258" i="2"/>
  <c r="AD257" i="2"/>
  <c r="AC257" i="2"/>
  <c r="AB257" i="2"/>
  <c r="AA257" i="2"/>
  <c r="Z257" i="2"/>
  <c r="Y257" i="2"/>
  <c r="X257" i="2"/>
  <c r="P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AA256" i="2"/>
  <c r="Z256" i="2"/>
  <c r="Y256" i="2"/>
  <c r="X256" i="2"/>
  <c r="P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AA255" i="2"/>
  <c r="Z255" i="2"/>
  <c r="Y255" i="2"/>
  <c r="X255" i="2"/>
  <c r="P255" i="2"/>
  <c r="N255" i="2"/>
  <c r="M255" i="2"/>
  <c r="L255" i="2"/>
  <c r="K255" i="2"/>
  <c r="J255" i="2"/>
  <c r="H255" i="2"/>
  <c r="G255" i="2"/>
  <c r="F255" i="2"/>
  <c r="E255" i="2"/>
  <c r="D255" i="2"/>
  <c r="C255" i="2"/>
  <c r="B255" i="2"/>
  <c r="A255" i="2"/>
  <c r="AA254" i="2"/>
  <c r="Z254" i="2"/>
  <c r="Y254" i="2"/>
  <c r="X254" i="2"/>
  <c r="Q254" i="2"/>
  <c r="P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AA253" i="2"/>
  <c r="Z253" i="2"/>
  <c r="Y253" i="2"/>
  <c r="X253" i="2"/>
  <c r="Q253" i="2"/>
  <c r="P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AA252" i="2"/>
  <c r="Z252" i="2"/>
  <c r="Y252" i="2"/>
  <c r="X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AD251" i="2"/>
  <c r="AC251" i="2"/>
  <c r="AB251" i="2"/>
  <c r="AA251" i="2"/>
  <c r="Z251" i="2"/>
  <c r="Y251" i="2"/>
  <c r="X251" i="2"/>
  <c r="R251" i="2"/>
  <c r="Q251" i="2"/>
  <c r="P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AD250" i="2"/>
  <c r="AC250" i="2"/>
  <c r="AB250" i="2"/>
  <c r="AA250" i="2"/>
  <c r="Z250" i="2"/>
  <c r="Y250" i="2"/>
  <c r="X250" i="2"/>
  <c r="P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AF249" i="2"/>
  <c r="AD249" i="2"/>
  <c r="AC249" i="2"/>
  <c r="AB249" i="2"/>
  <c r="AA249" i="2"/>
  <c r="Z249" i="2"/>
  <c r="Y249" i="2"/>
  <c r="P249" i="2"/>
  <c r="N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AD248" i="2"/>
  <c r="AC248" i="2"/>
  <c r="AB248" i="2"/>
  <c r="AA248" i="2"/>
  <c r="Z248" i="2"/>
  <c r="Y248" i="2"/>
  <c r="X248" i="2"/>
  <c r="P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AD247" i="2"/>
  <c r="AC247" i="2"/>
  <c r="AB247" i="2"/>
  <c r="AA247" i="2"/>
  <c r="Z247" i="2"/>
  <c r="Y247" i="2"/>
  <c r="X247" i="2"/>
  <c r="P247" i="2"/>
  <c r="N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AD246" i="2"/>
  <c r="AC246" i="2"/>
  <c r="AB246" i="2"/>
  <c r="AA246" i="2"/>
  <c r="Z246" i="2"/>
  <c r="Y246" i="2"/>
  <c r="X246" i="2"/>
  <c r="P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AD245" i="2"/>
  <c r="AC245" i="2"/>
  <c r="AB245" i="2"/>
  <c r="AA245" i="2"/>
  <c r="Z245" i="2"/>
  <c r="Y245" i="2"/>
  <c r="X245" i="2"/>
  <c r="P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D244" i="2"/>
  <c r="AC244" i="2"/>
  <c r="AB244" i="2"/>
  <c r="AA244" i="2"/>
  <c r="Z244" i="2"/>
  <c r="Y244" i="2"/>
  <c r="X244" i="2"/>
  <c r="P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AA243" i="2"/>
  <c r="Z243" i="2"/>
  <c r="Y243" i="2"/>
  <c r="X243" i="2"/>
  <c r="R243" i="2"/>
  <c r="P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AD242" i="2"/>
  <c r="AC242" i="2"/>
  <c r="AB242" i="2"/>
  <c r="AA242" i="2"/>
  <c r="Z242" i="2"/>
  <c r="Y242" i="2"/>
  <c r="X242" i="2"/>
  <c r="R242" i="2"/>
  <c r="P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AD241" i="2"/>
  <c r="AC241" i="2"/>
  <c r="AB241" i="2"/>
  <c r="AA241" i="2"/>
  <c r="Z241" i="2"/>
  <c r="Y241" i="2"/>
  <c r="X241" i="2"/>
  <c r="P241" i="2"/>
  <c r="N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AD240" i="2"/>
  <c r="AC240" i="2"/>
  <c r="AB240" i="2"/>
  <c r="AA240" i="2"/>
  <c r="Z240" i="2"/>
  <c r="Y240" i="2"/>
  <c r="X240" i="2"/>
  <c r="P240" i="2"/>
  <c r="N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D239" i="2"/>
  <c r="AC239" i="2"/>
  <c r="AB239" i="2"/>
  <c r="AA239" i="2"/>
  <c r="Z239" i="2"/>
  <c r="Y239" i="2"/>
  <c r="S239" i="2"/>
  <c r="R239" i="2"/>
  <c r="Q239" i="2"/>
  <c r="P239" i="2"/>
  <c r="O239" i="2"/>
  <c r="N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AD238" i="2"/>
  <c r="AC238" i="2"/>
  <c r="AB238" i="2"/>
  <c r="AA238" i="2"/>
  <c r="Z238" i="2"/>
  <c r="Y238" i="2"/>
  <c r="X238" i="2"/>
  <c r="P238" i="2"/>
  <c r="N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AD237" i="2"/>
  <c r="AC237" i="2"/>
  <c r="AB237" i="2"/>
  <c r="AA237" i="2"/>
  <c r="Z237" i="2"/>
  <c r="Y237" i="2"/>
  <c r="X237" i="2"/>
  <c r="T237" i="2"/>
  <c r="S237" i="2"/>
  <c r="R237" i="2"/>
  <c r="Q237" i="2"/>
  <c r="P237" i="2"/>
  <c r="O237" i="2"/>
  <c r="N237" i="2"/>
  <c r="L237" i="2"/>
  <c r="K237" i="2"/>
  <c r="J237" i="2"/>
  <c r="H237" i="2"/>
  <c r="G237" i="2"/>
  <c r="F237" i="2"/>
  <c r="E237" i="2"/>
  <c r="D237" i="2"/>
  <c r="C237" i="2"/>
  <c r="B237" i="2"/>
  <c r="A237" i="2"/>
  <c r="AD236" i="2"/>
  <c r="AC236" i="2"/>
  <c r="AB236" i="2"/>
  <c r="AA236" i="2"/>
  <c r="Z236" i="2"/>
  <c r="Y236" i="2"/>
  <c r="T236" i="2"/>
  <c r="S236" i="2"/>
  <c r="R236" i="2"/>
  <c r="Q236" i="2"/>
  <c r="P236" i="2"/>
  <c r="O236" i="2"/>
  <c r="N236" i="2"/>
  <c r="M236" i="2"/>
  <c r="L236" i="2"/>
  <c r="K236" i="2"/>
  <c r="J236" i="2"/>
  <c r="H236" i="2"/>
  <c r="G236" i="2"/>
  <c r="F236" i="2"/>
  <c r="E236" i="2"/>
  <c r="D236" i="2"/>
  <c r="C236" i="2"/>
  <c r="B236" i="2"/>
  <c r="A236" i="2"/>
  <c r="AD235" i="2"/>
  <c r="AC235" i="2"/>
  <c r="AB235" i="2"/>
  <c r="AA235" i="2"/>
  <c r="Z235" i="2"/>
  <c r="Y235" i="2"/>
  <c r="X235" i="2"/>
  <c r="P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AA234" i="2"/>
  <c r="Z234" i="2"/>
  <c r="Y234" i="2"/>
  <c r="P234" i="2"/>
  <c r="N234" i="2"/>
  <c r="L234" i="2"/>
  <c r="K234" i="2"/>
  <c r="J234" i="2"/>
  <c r="H234" i="2"/>
  <c r="G234" i="2"/>
  <c r="F234" i="2"/>
  <c r="E234" i="2"/>
  <c r="D234" i="2"/>
  <c r="C234" i="2"/>
  <c r="B234" i="2"/>
  <c r="A234" i="2"/>
  <c r="AA233" i="2"/>
  <c r="Z233" i="2"/>
  <c r="Y233" i="2"/>
  <c r="P233" i="2"/>
  <c r="N233" i="2"/>
  <c r="L233" i="2"/>
  <c r="K233" i="2"/>
  <c r="J233" i="2"/>
  <c r="H233" i="2"/>
  <c r="G233" i="2"/>
  <c r="F233" i="2"/>
  <c r="E233" i="2"/>
  <c r="D233" i="2"/>
  <c r="C233" i="2"/>
  <c r="B233" i="2"/>
  <c r="A233" i="2"/>
  <c r="AD232" i="2"/>
  <c r="AC232" i="2"/>
  <c r="AB232" i="2"/>
  <c r="AA232" i="2"/>
  <c r="Z232" i="2"/>
  <c r="Y232" i="2"/>
  <c r="X232" i="2"/>
  <c r="P232" i="2"/>
  <c r="N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AD231" i="2"/>
  <c r="AC231" i="2"/>
  <c r="AB231" i="2"/>
  <c r="AA231" i="2"/>
  <c r="Z231" i="2"/>
  <c r="Y231" i="2"/>
  <c r="P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D230" i="2"/>
  <c r="AC230" i="2"/>
  <c r="AB230" i="2"/>
  <c r="AA230" i="2"/>
  <c r="Z230" i="2"/>
  <c r="Y230" i="2"/>
  <c r="P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AD229" i="2"/>
  <c r="AC229" i="2"/>
  <c r="AB229" i="2"/>
  <c r="AA229" i="2"/>
  <c r="Z229" i="2"/>
  <c r="Y229" i="2"/>
  <c r="P229" i="2"/>
  <c r="N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D228" i="2"/>
  <c r="AC228" i="2"/>
  <c r="AB228" i="2"/>
  <c r="AA228" i="2"/>
  <c r="Z228" i="2"/>
  <c r="Y228" i="2"/>
  <c r="X228" i="2"/>
  <c r="P228" i="2"/>
  <c r="N228" i="2"/>
  <c r="M228" i="2"/>
  <c r="L228" i="2"/>
  <c r="K228" i="2"/>
  <c r="J228" i="2"/>
  <c r="H228" i="2"/>
  <c r="G228" i="2"/>
  <c r="F228" i="2"/>
  <c r="E228" i="2"/>
  <c r="D228" i="2"/>
  <c r="C228" i="2"/>
  <c r="B228" i="2"/>
  <c r="A228" i="2"/>
  <c r="AD227" i="2"/>
  <c r="AC227" i="2"/>
  <c r="AB227" i="2"/>
  <c r="AA227" i="2"/>
  <c r="Z227" i="2"/>
  <c r="Y227" i="2"/>
  <c r="X227" i="2"/>
  <c r="P227" i="2"/>
  <c r="N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F226" i="2"/>
  <c r="AD226" i="2"/>
  <c r="AC226" i="2"/>
  <c r="AB226" i="2"/>
  <c r="AA226" i="2"/>
  <c r="Z226" i="2"/>
  <c r="Y226" i="2"/>
  <c r="X226" i="2"/>
  <c r="R226" i="2"/>
  <c r="Q226" i="2"/>
  <c r="P226" i="2"/>
  <c r="N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D225" i="2"/>
  <c r="AC225" i="2"/>
  <c r="AB225" i="2"/>
  <c r="AA225" i="2"/>
  <c r="Z225" i="2"/>
  <c r="Y225" i="2"/>
  <c r="X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AD224" i="2"/>
  <c r="AC224" i="2"/>
  <c r="AB224" i="2"/>
  <c r="AA224" i="2"/>
  <c r="Z224" i="2"/>
  <c r="Y224" i="2"/>
  <c r="X224" i="2"/>
  <c r="Q224" i="2"/>
  <c r="P224" i="2"/>
  <c r="N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AD223" i="2"/>
  <c r="AC223" i="2"/>
  <c r="AB223" i="2"/>
  <c r="AA223" i="2"/>
  <c r="Z223" i="2"/>
  <c r="Y223" i="2"/>
  <c r="X223" i="2"/>
  <c r="P223" i="2"/>
  <c r="N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D222" i="2"/>
  <c r="AC222" i="2"/>
  <c r="AB222" i="2"/>
  <c r="AA222" i="2"/>
  <c r="Z222" i="2"/>
  <c r="Y222" i="2"/>
  <c r="X222" i="2"/>
  <c r="Q222" i="2"/>
  <c r="P222" i="2"/>
  <c r="N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D221" i="2"/>
  <c r="AC221" i="2"/>
  <c r="AB221" i="2"/>
  <c r="AA221" i="2"/>
  <c r="Z221" i="2"/>
  <c r="Y221" i="2"/>
  <c r="X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D220" i="2"/>
  <c r="AC220" i="2"/>
  <c r="AB220" i="2"/>
  <c r="AA220" i="2"/>
  <c r="Z220" i="2"/>
  <c r="Y220" i="2"/>
  <c r="X220" i="2"/>
  <c r="P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D219" i="2"/>
  <c r="AC219" i="2"/>
  <c r="AB219" i="2"/>
  <c r="AA219" i="2"/>
  <c r="Z219" i="2"/>
  <c r="Y219" i="2"/>
  <c r="X219" i="2"/>
  <c r="Q219" i="2"/>
  <c r="P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F218" i="2"/>
  <c r="AD218" i="2"/>
  <c r="AC218" i="2"/>
  <c r="AB218" i="2"/>
  <c r="AA218" i="2"/>
  <c r="Z218" i="2"/>
  <c r="Y218" i="2"/>
  <c r="X218" i="2"/>
  <c r="R218" i="2"/>
  <c r="Q218" i="2"/>
  <c r="P218" i="2"/>
  <c r="O218" i="2"/>
  <c r="N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D217" i="2"/>
  <c r="AC217" i="2"/>
  <c r="AB217" i="2"/>
  <c r="AA217" i="2"/>
  <c r="Z217" i="2"/>
  <c r="Y217" i="2"/>
  <c r="X217" i="2"/>
  <c r="P217" i="2"/>
  <c r="N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A216" i="2"/>
  <c r="Z216" i="2"/>
  <c r="Y216" i="2"/>
  <c r="Q216" i="2"/>
  <c r="P216" i="2"/>
  <c r="N216" i="2"/>
  <c r="L216" i="2"/>
  <c r="K216" i="2"/>
  <c r="J216" i="2"/>
  <c r="H216" i="2"/>
  <c r="G216" i="2"/>
  <c r="F216" i="2"/>
  <c r="E216" i="2"/>
  <c r="D216" i="2"/>
  <c r="C216" i="2"/>
  <c r="B216" i="2"/>
  <c r="A216" i="2"/>
  <c r="AD215" i="2"/>
  <c r="AC215" i="2"/>
  <c r="AB215" i="2"/>
  <c r="AA215" i="2"/>
  <c r="Z215" i="2"/>
  <c r="Y215" i="2"/>
  <c r="P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D214" i="2"/>
  <c r="AC214" i="2"/>
  <c r="AB214" i="2"/>
  <c r="AA214" i="2"/>
  <c r="Z214" i="2"/>
  <c r="Y214" i="2"/>
  <c r="X214" i="2"/>
  <c r="P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D213" i="2"/>
  <c r="AC213" i="2"/>
  <c r="AB213" i="2"/>
  <c r="AA213" i="2"/>
  <c r="Z213" i="2"/>
  <c r="Y213" i="2"/>
  <c r="P213" i="2"/>
  <c r="N213" i="2"/>
  <c r="M213" i="2"/>
  <c r="L213" i="2"/>
  <c r="K213" i="2"/>
  <c r="J213" i="2"/>
  <c r="H213" i="2"/>
  <c r="G213" i="2"/>
  <c r="F213" i="2"/>
  <c r="E213" i="2"/>
  <c r="D213" i="2"/>
  <c r="C213" i="2"/>
  <c r="B213" i="2"/>
  <c r="A213" i="2"/>
  <c r="AD212" i="2"/>
  <c r="AC212" i="2"/>
  <c r="AB212" i="2"/>
  <c r="AA212" i="2"/>
  <c r="Z212" i="2"/>
  <c r="Y212" i="2"/>
  <c r="X212" i="2"/>
  <c r="P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D211" i="2"/>
  <c r="AC211" i="2"/>
  <c r="AB211" i="2"/>
  <c r="AA211" i="2"/>
  <c r="Z211" i="2"/>
  <c r="Y211" i="2"/>
  <c r="X211" i="2"/>
  <c r="Q211" i="2"/>
  <c r="P211" i="2"/>
  <c r="N211" i="2"/>
  <c r="M211" i="2"/>
  <c r="L211" i="2"/>
  <c r="K211" i="2"/>
  <c r="J211" i="2"/>
  <c r="H211" i="2"/>
  <c r="G211" i="2"/>
  <c r="F211" i="2"/>
  <c r="E211" i="2"/>
  <c r="D211" i="2"/>
  <c r="C211" i="2"/>
  <c r="B211" i="2"/>
  <c r="A211" i="2"/>
  <c r="AF210" i="2"/>
  <c r="AD210" i="2"/>
  <c r="AC210" i="2"/>
  <c r="AB210" i="2"/>
  <c r="AA210" i="2"/>
  <c r="Z210" i="2"/>
  <c r="Y210" i="2"/>
  <c r="X210" i="2"/>
  <c r="R210" i="2"/>
  <c r="Q210" i="2"/>
  <c r="P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A209" i="2"/>
  <c r="Z209" i="2"/>
  <c r="Y209" i="2"/>
  <c r="X209" i="2"/>
  <c r="Q209" i="2"/>
  <c r="P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D208" i="2"/>
  <c r="AC208" i="2"/>
  <c r="AB208" i="2"/>
  <c r="AA208" i="2"/>
  <c r="Z208" i="2"/>
  <c r="Y208" i="2"/>
  <c r="X208" i="2"/>
  <c r="Q208" i="2"/>
  <c r="P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A207" i="2"/>
  <c r="Z207" i="2"/>
  <c r="Y207" i="2"/>
  <c r="P207" i="2"/>
  <c r="N207" i="2"/>
  <c r="M207" i="2"/>
  <c r="L207" i="2"/>
  <c r="K207" i="2"/>
  <c r="J207" i="2"/>
  <c r="H207" i="2"/>
  <c r="G207" i="2"/>
  <c r="F207" i="2"/>
  <c r="E207" i="2"/>
  <c r="D207" i="2"/>
  <c r="C207" i="2"/>
  <c r="B207" i="2"/>
  <c r="A207" i="2"/>
  <c r="AD206" i="2"/>
  <c r="AC206" i="2"/>
  <c r="AB206" i="2"/>
  <c r="AA206" i="2"/>
  <c r="Z206" i="2"/>
  <c r="Y206" i="2"/>
  <c r="X206" i="2"/>
  <c r="P206" i="2"/>
  <c r="N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D205" i="2"/>
  <c r="AC205" i="2"/>
  <c r="AB205" i="2"/>
  <c r="AA205" i="2"/>
  <c r="Z205" i="2"/>
  <c r="Y205" i="2"/>
  <c r="X205" i="2"/>
  <c r="R205" i="2"/>
  <c r="P205" i="2"/>
  <c r="N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A204" i="2"/>
  <c r="Z204" i="2"/>
  <c r="Y204" i="2"/>
  <c r="X204" i="2"/>
  <c r="S204" i="2"/>
  <c r="R204" i="2"/>
  <c r="Q204" i="2"/>
  <c r="P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D203" i="2"/>
  <c r="AC203" i="2"/>
  <c r="AB203" i="2"/>
  <c r="AA203" i="2"/>
  <c r="Z203" i="2"/>
  <c r="Y203" i="2"/>
  <c r="X203" i="2"/>
  <c r="S203" i="2"/>
  <c r="R203" i="2"/>
  <c r="Q203" i="2"/>
  <c r="P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D202" i="2"/>
  <c r="AC202" i="2"/>
  <c r="AB202" i="2"/>
  <c r="AA202" i="2"/>
  <c r="Z202" i="2"/>
  <c r="Y202" i="2"/>
  <c r="P202" i="2"/>
  <c r="N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D201" i="2"/>
  <c r="AC201" i="2"/>
  <c r="AB201" i="2"/>
  <c r="AA201" i="2"/>
  <c r="Z201" i="2"/>
  <c r="Y201" i="2"/>
  <c r="P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D200" i="2"/>
  <c r="AC200" i="2"/>
  <c r="AB200" i="2"/>
  <c r="AA200" i="2"/>
  <c r="Z200" i="2"/>
  <c r="Y200" i="2"/>
  <c r="X200" i="2"/>
  <c r="P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D199" i="2"/>
  <c r="AC199" i="2"/>
  <c r="AB199" i="2"/>
  <c r="AA199" i="2"/>
  <c r="Z199" i="2"/>
  <c r="Y199" i="2"/>
  <c r="X199" i="2"/>
  <c r="Q199" i="2"/>
  <c r="P199" i="2"/>
  <c r="N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D198" i="2"/>
  <c r="AC198" i="2"/>
  <c r="AB198" i="2"/>
  <c r="AA198" i="2"/>
  <c r="Z198" i="2"/>
  <c r="Y198" i="2"/>
  <c r="T198" i="2"/>
  <c r="S198" i="2"/>
  <c r="R198" i="2"/>
  <c r="Q198" i="2"/>
  <c r="P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D197" i="2"/>
  <c r="AC197" i="2"/>
  <c r="AB197" i="2"/>
  <c r="AA197" i="2"/>
  <c r="Z197" i="2"/>
  <c r="Y197" i="2"/>
  <c r="X197" i="2"/>
  <c r="Q197" i="2"/>
  <c r="P197" i="2"/>
  <c r="N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D196" i="2"/>
  <c r="AC196" i="2"/>
  <c r="AB196" i="2"/>
  <c r="AA196" i="2"/>
  <c r="Z196" i="2"/>
  <c r="Y196" i="2"/>
  <c r="X196" i="2"/>
  <c r="Q196" i="2"/>
  <c r="P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D195" i="2"/>
  <c r="AC195" i="2"/>
  <c r="AB195" i="2"/>
  <c r="AA195" i="2"/>
  <c r="Z195" i="2"/>
  <c r="Y195" i="2"/>
  <c r="X195" i="2"/>
  <c r="P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A194" i="2"/>
  <c r="Z194" i="2"/>
  <c r="Y194" i="2"/>
  <c r="X194" i="2"/>
  <c r="Q194" i="2"/>
  <c r="P194" i="2"/>
  <c r="N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F193" i="2"/>
  <c r="AD193" i="2"/>
  <c r="AC193" i="2"/>
  <c r="AB193" i="2"/>
  <c r="AA193" i="2"/>
  <c r="Z193" i="2"/>
  <c r="Y193" i="2"/>
  <c r="X193" i="2"/>
  <c r="S193" i="2"/>
  <c r="R193" i="2"/>
  <c r="Q193" i="2"/>
  <c r="P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D192" i="2"/>
  <c r="AC192" i="2"/>
  <c r="AB192" i="2"/>
  <c r="AA192" i="2"/>
  <c r="Z192" i="2"/>
  <c r="Y192" i="2"/>
  <c r="X192" i="2"/>
  <c r="P192" i="2"/>
  <c r="N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A191" i="2"/>
  <c r="Z191" i="2"/>
  <c r="Y191" i="2"/>
  <c r="X191" i="2"/>
  <c r="Q191" i="2"/>
  <c r="P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A190" i="2"/>
  <c r="Z190" i="2"/>
  <c r="Y190" i="2"/>
  <c r="X190" i="2"/>
  <c r="Q190" i="2"/>
  <c r="P190" i="2"/>
  <c r="N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D189" i="2"/>
  <c r="AC189" i="2"/>
  <c r="AB189" i="2"/>
  <c r="AA189" i="2"/>
  <c r="Z189" i="2"/>
  <c r="Y189" i="2"/>
  <c r="S189" i="2"/>
  <c r="R189" i="2"/>
  <c r="Q189" i="2"/>
  <c r="P189" i="2"/>
  <c r="N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D188" i="2"/>
  <c r="AC188" i="2"/>
  <c r="AB188" i="2"/>
  <c r="AA188" i="2"/>
  <c r="Z188" i="2"/>
  <c r="Y188" i="2"/>
  <c r="X188" i="2"/>
  <c r="P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D187" i="2"/>
  <c r="AC187" i="2"/>
  <c r="AB187" i="2"/>
  <c r="AA187" i="2"/>
  <c r="Z187" i="2"/>
  <c r="Y187" i="2"/>
  <c r="X187" i="2"/>
  <c r="P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D186" i="2"/>
  <c r="AC186" i="2"/>
  <c r="AB186" i="2"/>
  <c r="AA186" i="2"/>
  <c r="Z186" i="2"/>
  <c r="Y186" i="2"/>
  <c r="X186" i="2"/>
  <c r="P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F185" i="2"/>
  <c r="AD185" i="2"/>
  <c r="AC185" i="2"/>
  <c r="AB185" i="2"/>
  <c r="AA185" i="2"/>
  <c r="Z185" i="2"/>
  <c r="Y185" i="2"/>
  <c r="X185" i="2"/>
  <c r="R185" i="2"/>
  <c r="Q185" i="2"/>
  <c r="P185" i="2"/>
  <c r="N185" i="2"/>
  <c r="M185" i="2"/>
  <c r="L185" i="2"/>
  <c r="K185" i="2"/>
  <c r="J185" i="2"/>
  <c r="H185" i="2"/>
  <c r="G185" i="2"/>
  <c r="F185" i="2"/>
  <c r="E185" i="2"/>
  <c r="D185" i="2"/>
  <c r="C185" i="2"/>
  <c r="B185" i="2"/>
  <c r="A185" i="2"/>
  <c r="AD184" i="2"/>
  <c r="AC184" i="2"/>
  <c r="AB184" i="2"/>
  <c r="AA184" i="2"/>
  <c r="Z184" i="2"/>
  <c r="Y184" i="2"/>
  <c r="X184" i="2"/>
  <c r="R184" i="2"/>
  <c r="Q184" i="2"/>
  <c r="P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F183" i="2"/>
  <c r="AD183" i="2"/>
  <c r="AC183" i="2"/>
  <c r="AB183" i="2"/>
  <c r="AA183" i="2"/>
  <c r="Z183" i="2"/>
  <c r="Y183" i="2"/>
  <c r="R183" i="2"/>
  <c r="Q183" i="2"/>
  <c r="P183" i="2"/>
  <c r="N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D182" i="2"/>
  <c r="AB182" i="2"/>
  <c r="AA182" i="2"/>
  <c r="Z182" i="2"/>
  <c r="Y182" i="2"/>
  <c r="X182" i="2"/>
  <c r="P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D181" i="2"/>
  <c r="AB181" i="2"/>
  <c r="AA181" i="2"/>
  <c r="Z181" i="2"/>
  <c r="Y181" i="2"/>
  <c r="X181" i="2"/>
  <c r="P181" i="2"/>
  <c r="N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F180" i="2"/>
  <c r="AD180" i="2"/>
  <c r="AC180" i="2"/>
  <c r="AB180" i="2"/>
  <c r="AA180" i="2"/>
  <c r="Z180" i="2"/>
  <c r="Y180" i="2"/>
  <c r="X180" i="2"/>
  <c r="R180" i="2"/>
  <c r="Q180" i="2"/>
  <c r="P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D179" i="2"/>
  <c r="AC179" i="2"/>
  <c r="AB179" i="2"/>
  <c r="AA179" i="2"/>
  <c r="Z179" i="2"/>
  <c r="Y179" i="2"/>
  <c r="X179" i="2"/>
  <c r="Q179" i="2"/>
  <c r="P179" i="2"/>
  <c r="N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D178" i="2"/>
  <c r="AC178" i="2"/>
  <c r="AB178" i="2"/>
  <c r="AA178" i="2"/>
  <c r="Z178" i="2"/>
  <c r="Y178" i="2"/>
  <c r="X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D177" i="2"/>
  <c r="AC177" i="2"/>
  <c r="AB177" i="2"/>
  <c r="AA177" i="2"/>
  <c r="Z177" i="2"/>
  <c r="Y177" i="2"/>
  <c r="X177" i="2"/>
  <c r="Q177" i="2"/>
  <c r="P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D176" i="2"/>
  <c r="AC176" i="2"/>
  <c r="AB176" i="2"/>
  <c r="AA176" i="2"/>
  <c r="Z176" i="2"/>
  <c r="Y176" i="2"/>
  <c r="X176" i="2"/>
  <c r="P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D175" i="2"/>
  <c r="AC175" i="2"/>
  <c r="AB175" i="2"/>
  <c r="AA175" i="2"/>
  <c r="Z175" i="2"/>
  <c r="Y175" i="2"/>
  <c r="X175" i="2"/>
  <c r="P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D174" i="2"/>
  <c r="AC174" i="2"/>
  <c r="AB174" i="2"/>
  <c r="AA174" i="2"/>
  <c r="Z174" i="2"/>
  <c r="Y174" i="2"/>
  <c r="Q174" i="2"/>
  <c r="P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A173" i="2"/>
  <c r="Z173" i="2"/>
  <c r="Y173" i="2"/>
  <c r="X173" i="2"/>
  <c r="R173" i="2"/>
  <c r="Q173" i="2"/>
  <c r="P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D172" i="2"/>
  <c r="AC172" i="2"/>
  <c r="AB172" i="2"/>
  <c r="AA172" i="2"/>
  <c r="Z172" i="2"/>
  <c r="Y172" i="2"/>
  <c r="X172" i="2"/>
  <c r="Q172" i="2"/>
  <c r="P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A171" i="2"/>
  <c r="Z171" i="2"/>
  <c r="Y171" i="2"/>
  <c r="X171" i="2"/>
  <c r="Q171" i="2"/>
  <c r="P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D170" i="2"/>
  <c r="AC170" i="2"/>
  <c r="AB170" i="2"/>
  <c r="AA170" i="2"/>
  <c r="Z170" i="2"/>
  <c r="Y170" i="2"/>
  <c r="R170" i="2"/>
  <c r="Q170" i="2"/>
  <c r="P170" i="2"/>
  <c r="O170" i="2"/>
  <c r="N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A169" i="2"/>
  <c r="Z169" i="2"/>
  <c r="Y169" i="2"/>
  <c r="X169" i="2"/>
  <c r="R169" i="2"/>
  <c r="Q169" i="2"/>
  <c r="P169" i="2"/>
  <c r="O169" i="2"/>
  <c r="N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D168" i="2"/>
  <c r="AC168" i="2"/>
  <c r="AB168" i="2"/>
  <c r="AA168" i="2"/>
  <c r="Z168" i="2"/>
  <c r="Y168" i="2"/>
  <c r="X168" i="2"/>
  <c r="P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D167" i="2"/>
  <c r="AC167" i="2"/>
  <c r="AB167" i="2"/>
  <c r="AA167" i="2"/>
  <c r="Z167" i="2"/>
  <c r="Y167" i="2"/>
  <c r="X167" i="2"/>
  <c r="P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D166" i="2"/>
  <c r="AC166" i="2"/>
  <c r="AB166" i="2"/>
  <c r="AA166" i="2"/>
  <c r="Z166" i="2"/>
  <c r="Y166" i="2"/>
  <c r="X166" i="2"/>
  <c r="P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D165" i="2"/>
  <c r="AC165" i="2"/>
  <c r="AB165" i="2"/>
  <c r="AA165" i="2"/>
  <c r="Z165" i="2"/>
  <c r="Y165" i="2"/>
  <c r="X165" i="2"/>
  <c r="Q165" i="2"/>
  <c r="P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D164" i="2"/>
  <c r="AC164" i="2"/>
  <c r="AB164" i="2"/>
  <c r="AA164" i="2"/>
  <c r="Z164" i="2"/>
  <c r="Y164" i="2"/>
  <c r="X164" i="2"/>
  <c r="Q164" i="2"/>
  <c r="P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D163" i="2"/>
  <c r="AC163" i="2"/>
  <c r="AB163" i="2"/>
  <c r="AA163" i="2"/>
  <c r="Z163" i="2"/>
  <c r="Y163" i="2"/>
  <c r="P163" i="2"/>
  <c r="N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D162" i="2"/>
  <c r="AC162" i="2"/>
  <c r="AB162" i="2"/>
  <c r="AA162" i="2"/>
  <c r="Z162" i="2"/>
  <c r="Y162" i="2"/>
  <c r="X162" i="2"/>
  <c r="P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D161" i="2"/>
  <c r="AC161" i="2"/>
  <c r="AB161" i="2"/>
  <c r="AA161" i="2"/>
  <c r="Z161" i="2"/>
  <c r="Y161" i="2"/>
  <c r="X161" i="2"/>
  <c r="R161" i="2"/>
  <c r="Q161" i="2"/>
  <c r="P161" i="2"/>
  <c r="N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D160" i="2"/>
  <c r="AC160" i="2"/>
  <c r="AB160" i="2"/>
  <c r="AA160" i="2"/>
  <c r="Z160" i="2"/>
  <c r="Y160" i="2"/>
  <c r="X160" i="2"/>
  <c r="Q160" i="2"/>
  <c r="P160" i="2"/>
  <c r="N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D159" i="2"/>
  <c r="AC159" i="2"/>
  <c r="AB159" i="2"/>
  <c r="AA159" i="2"/>
  <c r="Z159" i="2"/>
  <c r="Y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F158" i="2"/>
  <c r="AD158" i="2"/>
  <c r="AC158" i="2"/>
  <c r="AB158" i="2"/>
  <c r="AA158" i="2"/>
  <c r="Z158" i="2"/>
  <c r="Y158" i="2"/>
  <c r="R158" i="2"/>
  <c r="Q158" i="2"/>
  <c r="P158" i="2"/>
  <c r="N158" i="2"/>
  <c r="M158" i="2"/>
  <c r="L158" i="2"/>
  <c r="K158" i="2"/>
  <c r="J158" i="2"/>
  <c r="H158" i="2"/>
  <c r="G158" i="2"/>
  <c r="F158" i="2"/>
  <c r="E158" i="2"/>
  <c r="D158" i="2"/>
  <c r="C158" i="2"/>
  <c r="B158" i="2"/>
  <c r="A158" i="2"/>
  <c r="AD157" i="2"/>
  <c r="AC157" i="2"/>
  <c r="AB157" i="2"/>
  <c r="AA157" i="2"/>
  <c r="Z157" i="2"/>
  <c r="Y157" i="2"/>
  <c r="X157" i="2"/>
  <c r="P157" i="2"/>
  <c r="N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D156" i="2"/>
  <c r="AC156" i="2"/>
  <c r="AB156" i="2"/>
  <c r="AA156" i="2"/>
  <c r="Z156" i="2"/>
  <c r="Y156" i="2"/>
  <c r="X156" i="2"/>
  <c r="P156" i="2"/>
  <c r="N156" i="2"/>
  <c r="L156" i="2"/>
  <c r="K156" i="2"/>
  <c r="J156" i="2"/>
  <c r="H156" i="2"/>
  <c r="G156" i="2"/>
  <c r="F156" i="2"/>
  <c r="E156" i="2"/>
  <c r="D156" i="2"/>
  <c r="C156" i="2"/>
  <c r="B156" i="2"/>
  <c r="A156" i="2"/>
  <c r="AD155" i="2"/>
  <c r="AC155" i="2"/>
  <c r="AB155" i="2"/>
  <c r="AA155" i="2"/>
  <c r="Z155" i="2"/>
  <c r="Y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D154" i="2"/>
  <c r="AC154" i="2"/>
  <c r="AB154" i="2"/>
  <c r="AA154" i="2"/>
  <c r="Z154" i="2"/>
  <c r="Y154" i="2"/>
  <c r="X154" i="2"/>
  <c r="P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A153" i="2"/>
  <c r="Z153" i="2"/>
  <c r="Y153" i="2"/>
  <c r="Q153" i="2"/>
  <c r="P153" i="2"/>
  <c r="N153" i="2"/>
  <c r="L153" i="2"/>
  <c r="K153" i="2"/>
  <c r="J153" i="2"/>
  <c r="H153" i="2"/>
  <c r="G153" i="2"/>
  <c r="F153" i="2"/>
  <c r="E153" i="2"/>
  <c r="D153" i="2"/>
  <c r="C153" i="2"/>
  <c r="B153" i="2"/>
  <c r="A153" i="2"/>
  <c r="AD152" i="2"/>
  <c r="AC152" i="2"/>
  <c r="AB152" i="2"/>
  <c r="AA152" i="2"/>
  <c r="Z152" i="2"/>
  <c r="Y152" i="2"/>
  <c r="X152" i="2"/>
  <c r="P152" i="2"/>
  <c r="N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D151" i="2"/>
  <c r="AC151" i="2"/>
  <c r="AB151" i="2"/>
  <c r="AA151" i="2"/>
  <c r="Z151" i="2"/>
  <c r="Y151" i="2"/>
  <c r="X151" i="2"/>
  <c r="P151" i="2"/>
  <c r="N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D150" i="2"/>
  <c r="AC150" i="2"/>
  <c r="AB150" i="2"/>
  <c r="AA150" i="2"/>
  <c r="Z150" i="2"/>
  <c r="Y150" i="2"/>
  <c r="X150" i="2"/>
  <c r="P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D149" i="2"/>
  <c r="AC149" i="2"/>
  <c r="AB149" i="2"/>
  <c r="AA149" i="2"/>
  <c r="Z149" i="2"/>
  <c r="Y149" i="2"/>
  <c r="X149" i="2"/>
  <c r="U149" i="2"/>
  <c r="T149" i="2"/>
  <c r="S149" i="2"/>
  <c r="R149" i="2"/>
  <c r="P149" i="2"/>
  <c r="O149" i="2"/>
  <c r="N149" i="2"/>
  <c r="M149" i="2"/>
  <c r="L149" i="2"/>
  <c r="K149" i="2"/>
  <c r="J149" i="2"/>
  <c r="H149" i="2"/>
  <c r="G149" i="2"/>
  <c r="F149" i="2"/>
  <c r="E149" i="2"/>
  <c r="D149" i="2"/>
  <c r="C149" i="2"/>
  <c r="B149" i="2"/>
  <c r="A149" i="2"/>
  <c r="AD148" i="2"/>
  <c r="AC148" i="2"/>
  <c r="AB148" i="2"/>
  <c r="AA148" i="2"/>
  <c r="Z148" i="2"/>
  <c r="Y148" i="2"/>
  <c r="X148" i="2"/>
  <c r="Q148" i="2"/>
  <c r="P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D147" i="2"/>
  <c r="AC147" i="2"/>
  <c r="AB147" i="2"/>
  <c r="AA147" i="2"/>
  <c r="Z147" i="2"/>
  <c r="Y147" i="2"/>
  <c r="X147" i="2"/>
  <c r="Q147" i="2"/>
  <c r="P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D146" i="2"/>
  <c r="AC146" i="2"/>
  <c r="AB146" i="2"/>
  <c r="AA146" i="2"/>
  <c r="Z146" i="2"/>
  <c r="Y146" i="2"/>
  <c r="X146" i="2"/>
  <c r="Q146" i="2"/>
  <c r="P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D145" i="2"/>
  <c r="AC145" i="2"/>
  <c r="AB145" i="2"/>
  <c r="AA145" i="2"/>
  <c r="Z145" i="2"/>
  <c r="Y145" i="2"/>
  <c r="Q145" i="2"/>
  <c r="P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D144" i="2"/>
  <c r="AC144" i="2"/>
  <c r="AB144" i="2"/>
  <c r="AA144" i="2"/>
  <c r="Z144" i="2"/>
  <c r="Y144" i="2"/>
  <c r="X144" i="2"/>
  <c r="R144" i="2"/>
  <c r="Q144" i="2"/>
  <c r="P144" i="2"/>
  <c r="N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D143" i="2"/>
  <c r="AC143" i="2"/>
  <c r="AB143" i="2"/>
  <c r="AA143" i="2"/>
  <c r="Z143" i="2"/>
  <c r="Y143" i="2"/>
  <c r="X143" i="2"/>
  <c r="P143" i="2"/>
  <c r="N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D142" i="2"/>
  <c r="AC142" i="2"/>
  <c r="AB142" i="2"/>
  <c r="AA142" i="2"/>
  <c r="Z142" i="2"/>
  <c r="Y142" i="2"/>
  <c r="X142" i="2"/>
  <c r="Q142" i="2"/>
  <c r="P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F141" i="2"/>
  <c r="AD141" i="2"/>
  <c r="AC141" i="2"/>
  <c r="AB141" i="2"/>
  <c r="AA141" i="2"/>
  <c r="Z141" i="2"/>
  <c r="Y141" i="2"/>
  <c r="X141" i="2"/>
  <c r="R141" i="2"/>
  <c r="Q141" i="2"/>
  <c r="P141" i="2"/>
  <c r="N141" i="2"/>
  <c r="M141" i="2"/>
  <c r="L141" i="2"/>
  <c r="K141" i="2"/>
  <c r="J141" i="2"/>
  <c r="H141" i="2"/>
  <c r="G141" i="2"/>
  <c r="F141" i="2"/>
  <c r="E141" i="2"/>
  <c r="D141" i="2"/>
  <c r="C141" i="2"/>
  <c r="B141" i="2"/>
  <c r="A141" i="2"/>
  <c r="AA140" i="2"/>
  <c r="Z140" i="2"/>
  <c r="Y140" i="2"/>
  <c r="X140" i="2"/>
  <c r="P140" i="2"/>
  <c r="N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D139" i="2"/>
  <c r="AC139" i="2"/>
  <c r="AB139" i="2"/>
  <c r="AA139" i="2"/>
  <c r="Z139" i="2"/>
  <c r="Y139" i="2"/>
  <c r="R139" i="2"/>
  <c r="P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D138" i="2"/>
  <c r="AC138" i="2"/>
  <c r="AB138" i="2"/>
  <c r="AA138" i="2"/>
  <c r="Z138" i="2"/>
  <c r="Y138" i="2"/>
  <c r="R138" i="2"/>
  <c r="Q138" i="2"/>
  <c r="P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D137" i="2"/>
  <c r="AC137" i="2"/>
  <c r="AB137" i="2"/>
  <c r="AA137" i="2"/>
  <c r="Z137" i="2"/>
  <c r="Y137" i="2"/>
  <c r="P137" i="2"/>
  <c r="N137" i="2"/>
  <c r="M137" i="2"/>
  <c r="L137" i="2"/>
  <c r="K137" i="2"/>
  <c r="J137" i="2"/>
  <c r="H137" i="2"/>
  <c r="G137" i="2"/>
  <c r="F137" i="2"/>
  <c r="E137" i="2"/>
  <c r="D137" i="2"/>
  <c r="C137" i="2"/>
  <c r="B137" i="2"/>
  <c r="A137" i="2"/>
  <c r="AD136" i="2"/>
  <c r="AC136" i="2"/>
  <c r="AB136" i="2"/>
  <c r="AA136" i="2"/>
  <c r="Z136" i="2"/>
  <c r="Y136" i="2"/>
  <c r="X136" i="2"/>
  <c r="P136" i="2"/>
  <c r="N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A135" i="2"/>
  <c r="Z135" i="2"/>
  <c r="Y135" i="2"/>
  <c r="X135" i="2"/>
  <c r="P135" i="2"/>
  <c r="N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A134" i="2"/>
  <c r="Z134" i="2"/>
  <c r="Y134" i="2"/>
  <c r="X134" i="2"/>
  <c r="P134" i="2"/>
  <c r="N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D133" i="2"/>
  <c r="AB133" i="2"/>
  <c r="AA133" i="2"/>
  <c r="Z133" i="2"/>
  <c r="Y133" i="2"/>
  <c r="X133" i="2"/>
  <c r="P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D132" i="2"/>
  <c r="AC132" i="2"/>
  <c r="AB132" i="2"/>
  <c r="AA132" i="2"/>
  <c r="Z132" i="2"/>
  <c r="Y132" i="2"/>
  <c r="Q132" i="2"/>
  <c r="P132" i="2"/>
  <c r="N132" i="2"/>
  <c r="M132" i="2"/>
  <c r="L132" i="2"/>
  <c r="K132" i="2"/>
  <c r="J132" i="2"/>
  <c r="H132" i="2"/>
  <c r="G132" i="2"/>
  <c r="F132" i="2"/>
  <c r="E132" i="2"/>
  <c r="D132" i="2"/>
  <c r="C132" i="2"/>
  <c r="B132" i="2"/>
  <c r="A132" i="2"/>
  <c r="AD131" i="2"/>
  <c r="AC131" i="2"/>
  <c r="AB131" i="2"/>
  <c r="AA131" i="2"/>
  <c r="Z131" i="2"/>
  <c r="Y131" i="2"/>
  <c r="X131" i="2"/>
  <c r="P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D130" i="2"/>
  <c r="AC130" i="2"/>
  <c r="AB130" i="2"/>
  <c r="AA130" i="2"/>
  <c r="Z130" i="2"/>
  <c r="Y130" i="2"/>
  <c r="X130" i="2"/>
  <c r="Q130" i="2"/>
  <c r="P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D129" i="2"/>
  <c r="AC129" i="2"/>
  <c r="AB129" i="2"/>
  <c r="AA129" i="2"/>
  <c r="Z129" i="2"/>
  <c r="Y129" i="2"/>
  <c r="X129" i="2"/>
  <c r="Q129" i="2"/>
  <c r="P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D128" i="2"/>
  <c r="AC128" i="2"/>
  <c r="AB128" i="2"/>
  <c r="AA128" i="2"/>
  <c r="Z128" i="2"/>
  <c r="Y128" i="2"/>
  <c r="S128" i="2"/>
  <c r="R128" i="2"/>
  <c r="Q128" i="2"/>
  <c r="P128" i="2"/>
  <c r="N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D127" i="2"/>
  <c r="AC127" i="2"/>
  <c r="AB127" i="2"/>
  <c r="AA127" i="2"/>
  <c r="Z127" i="2"/>
  <c r="Y127" i="2"/>
  <c r="X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D126" i="2"/>
  <c r="AC126" i="2"/>
  <c r="AB126" i="2"/>
  <c r="AA126" i="2"/>
  <c r="Z126" i="2"/>
  <c r="Y126" i="2"/>
  <c r="R126" i="2"/>
  <c r="P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D125" i="2"/>
  <c r="AC125" i="2"/>
  <c r="AB125" i="2"/>
  <c r="AA125" i="2"/>
  <c r="Z125" i="2"/>
  <c r="Y125" i="2"/>
  <c r="X125" i="2"/>
  <c r="P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D124" i="2"/>
  <c r="AC124" i="2"/>
  <c r="AB124" i="2"/>
  <c r="AA124" i="2"/>
  <c r="Z124" i="2"/>
  <c r="Y124" i="2"/>
  <c r="X124" i="2"/>
  <c r="P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D123" i="2"/>
  <c r="AC123" i="2"/>
  <c r="AB123" i="2"/>
  <c r="AA123" i="2"/>
  <c r="Z123" i="2"/>
  <c r="Y123" i="2"/>
  <c r="X123" i="2"/>
  <c r="P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D122" i="2"/>
  <c r="AC122" i="2"/>
  <c r="AB122" i="2"/>
  <c r="AA122" i="2"/>
  <c r="Z122" i="2"/>
  <c r="Y122" i="2"/>
  <c r="X122" i="2"/>
  <c r="P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D121" i="2"/>
  <c r="AC121" i="2"/>
  <c r="AB121" i="2"/>
  <c r="AA121" i="2"/>
  <c r="Z121" i="2"/>
  <c r="Y121" i="2"/>
  <c r="X121" i="2"/>
  <c r="P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D120" i="2"/>
  <c r="AC120" i="2"/>
  <c r="AB120" i="2"/>
  <c r="AA120" i="2"/>
  <c r="Z120" i="2"/>
  <c r="Y120" i="2"/>
  <c r="X120" i="2"/>
  <c r="Q120" i="2"/>
  <c r="P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D119" i="2"/>
  <c r="AC119" i="2"/>
  <c r="AB119" i="2"/>
  <c r="AA119" i="2"/>
  <c r="Z119" i="2"/>
  <c r="Y119" i="2"/>
  <c r="X119" i="2"/>
  <c r="Q119" i="2"/>
  <c r="P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D118" i="2"/>
  <c r="AC118" i="2"/>
  <c r="AB118" i="2"/>
  <c r="AA118" i="2"/>
  <c r="Z118" i="2"/>
  <c r="Y118" i="2"/>
  <c r="X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D117" i="2"/>
  <c r="AC117" i="2"/>
  <c r="AB117" i="2"/>
  <c r="AA117" i="2"/>
  <c r="Z117" i="2"/>
  <c r="Y117" i="2"/>
  <c r="X117" i="2"/>
  <c r="P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A116" i="2"/>
  <c r="Z116" i="2"/>
  <c r="Y116" i="2"/>
  <c r="X116" i="2"/>
  <c r="P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A115" i="2"/>
  <c r="Z115" i="2"/>
  <c r="Y115" i="2"/>
  <c r="X115" i="2"/>
  <c r="P115" i="2"/>
  <c r="N115" i="2"/>
  <c r="M115" i="2"/>
  <c r="L115" i="2"/>
  <c r="K115" i="2"/>
  <c r="J115" i="2"/>
  <c r="H115" i="2"/>
  <c r="G115" i="2"/>
  <c r="F115" i="2"/>
  <c r="E115" i="2"/>
  <c r="D115" i="2"/>
  <c r="C115" i="2"/>
  <c r="B115" i="2"/>
  <c r="A115" i="2"/>
  <c r="AA114" i="2"/>
  <c r="Z114" i="2"/>
  <c r="Y114" i="2"/>
  <c r="X114" i="2"/>
  <c r="P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A113" i="2"/>
  <c r="Z113" i="2"/>
  <c r="Y113" i="2"/>
  <c r="X113" i="2"/>
  <c r="P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D112" i="2"/>
  <c r="AC112" i="2"/>
  <c r="AB112" i="2"/>
  <c r="AA112" i="2"/>
  <c r="Z112" i="2"/>
  <c r="Y112" i="2"/>
  <c r="X112" i="2"/>
  <c r="R112" i="2"/>
  <c r="Q112" i="2"/>
  <c r="P112" i="2"/>
  <c r="N112" i="2"/>
  <c r="M112" i="2"/>
  <c r="L112" i="2"/>
  <c r="K112" i="2"/>
  <c r="J112" i="2"/>
  <c r="H112" i="2"/>
  <c r="G112" i="2"/>
  <c r="F112" i="2"/>
  <c r="E112" i="2"/>
  <c r="D112" i="2"/>
  <c r="C112" i="2"/>
  <c r="B112" i="2"/>
  <c r="A112" i="2"/>
  <c r="AD111" i="2"/>
  <c r="AC111" i="2"/>
  <c r="AB111" i="2"/>
  <c r="AA111" i="2"/>
  <c r="Z111" i="2"/>
  <c r="Y111" i="2"/>
  <c r="X111" i="2"/>
  <c r="Q111" i="2"/>
  <c r="P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F110" i="2"/>
  <c r="AE110" i="2"/>
  <c r="AD110" i="2"/>
  <c r="AC110" i="2"/>
  <c r="AB110" i="2"/>
  <c r="AA110" i="2"/>
  <c r="Z110" i="2"/>
  <c r="Y110" i="2"/>
  <c r="R110" i="2"/>
  <c r="Q110" i="2"/>
  <c r="P110" i="2"/>
  <c r="N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D109" i="2"/>
  <c r="AC109" i="2"/>
  <c r="AB109" i="2"/>
  <c r="AA109" i="2"/>
  <c r="Z109" i="2"/>
  <c r="Y109" i="2"/>
  <c r="X109" i="2"/>
  <c r="P109" i="2"/>
  <c r="N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D108" i="2"/>
  <c r="AC108" i="2"/>
  <c r="AB108" i="2"/>
  <c r="AA108" i="2"/>
  <c r="Z108" i="2"/>
  <c r="Y108" i="2"/>
  <c r="R108" i="2"/>
  <c r="P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D107" i="2"/>
  <c r="AC107" i="2"/>
  <c r="AB107" i="2"/>
  <c r="AA107" i="2"/>
  <c r="Z107" i="2"/>
  <c r="Y107" i="2"/>
  <c r="X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D106" i="2"/>
  <c r="AC106" i="2"/>
  <c r="AB106" i="2"/>
  <c r="AA106" i="2"/>
  <c r="Z106" i="2"/>
  <c r="Y106" i="2"/>
  <c r="X106" i="2"/>
  <c r="R106" i="2"/>
  <c r="Q106" i="2"/>
  <c r="P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D105" i="2"/>
  <c r="AC105" i="2"/>
  <c r="AB105" i="2"/>
  <c r="AA105" i="2"/>
  <c r="Z105" i="2"/>
  <c r="Y105" i="2"/>
  <c r="X105" i="2"/>
  <c r="Q105" i="2"/>
  <c r="P105" i="2"/>
  <c r="N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A104" i="2"/>
  <c r="Z104" i="2"/>
  <c r="Y104" i="2"/>
  <c r="X104" i="2"/>
  <c r="R104" i="2"/>
  <c r="Q104" i="2"/>
  <c r="P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D103" i="2"/>
  <c r="AC103" i="2"/>
  <c r="AB103" i="2"/>
  <c r="AA103" i="2"/>
  <c r="Z103" i="2"/>
  <c r="Y103" i="2"/>
  <c r="X103" i="2"/>
  <c r="P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A102" i="2"/>
  <c r="Z102" i="2"/>
  <c r="Y102" i="2"/>
  <c r="X102" i="2"/>
  <c r="P102" i="2"/>
  <c r="N102" i="2"/>
  <c r="L102" i="2"/>
  <c r="K102" i="2"/>
  <c r="J102" i="2"/>
  <c r="H102" i="2"/>
  <c r="G102" i="2"/>
  <c r="F102" i="2"/>
  <c r="E102" i="2"/>
  <c r="D102" i="2"/>
  <c r="C102" i="2"/>
  <c r="B102" i="2"/>
  <c r="A102" i="2"/>
  <c r="AD101" i="2"/>
  <c r="AC101" i="2"/>
  <c r="AB101" i="2"/>
  <c r="AA101" i="2"/>
  <c r="Z101" i="2"/>
  <c r="Y101" i="2"/>
  <c r="X101" i="2"/>
  <c r="Q101" i="2"/>
  <c r="P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D100" i="2"/>
  <c r="AC100" i="2"/>
  <c r="AB100" i="2"/>
  <c r="AA100" i="2"/>
  <c r="Z100" i="2"/>
  <c r="Y100" i="2"/>
  <c r="P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D99" i="2"/>
  <c r="AC99" i="2"/>
  <c r="AB99" i="2"/>
  <c r="AA99" i="2"/>
  <c r="Z99" i="2"/>
  <c r="Y99" i="2"/>
  <c r="X99" i="2"/>
  <c r="Q99" i="2"/>
  <c r="P99" i="2"/>
  <c r="N99" i="2"/>
  <c r="L99" i="2"/>
  <c r="K99" i="2"/>
  <c r="J99" i="2"/>
  <c r="H99" i="2"/>
  <c r="G99" i="2"/>
  <c r="F99" i="2"/>
  <c r="E99" i="2"/>
  <c r="D99" i="2"/>
  <c r="C99" i="2"/>
  <c r="B99" i="2"/>
  <c r="A99" i="2"/>
  <c r="AA98" i="2"/>
  <c r="Z98" i="2"/>
  <c r="Y98" i="2"/>
  <c r="Q98" i="2"/>
  <c r="P98" i="2"/>
  <c r="N98" i="2"/>
  <c r="L98" i="2"/>
  <c r="K98" i="2"/>
  <c r="J98" i="2"/>
  <c r="H98" i="2"/>
  <c r="G98" i="2"/>
  <c r="F98" i="2"/>
  <c r="E98" i="2"/>
  <c r="D98" i="2"/>
  <c r="C98" i="2"/>
  <c r="B98" i="2"/>
  <c r="A98" i="2"/>
  <c r="AA97" i="2"/>
  <c r="Z97" i="2"/>
  <c r="Y97" i="2"/>
  <c r="P97" i="2"/>
  <c r="N97" i="2"/>
  <c r="L97" i="2"/>
  <c r="K97" i="2"/>
  <c r="J97" i="2"/>
  <c r="H97" i="2"/>
  <c r="G97" i="2"/>
  <c r="F97" i="2"/>
  <c r="E97" i="2"/>
  <c r="D97" i="2"/>
  <c r="C97" i="2"/>
  <c r="B97" i="2"/>
  <c r="A97" i="2"/>
  <c r="AD96" i="2"/>
  <c r="AC96" i="2"/>
  <c r="AB96" i="2"/>
  <c r="AA96" i="2"/>
  <c r="Z96" i="2"/>
  <c r="Y96" i="2"/>
  <c r="X96" i="2"/>
  <c r="Q96" i="2"/>
  <c r="P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A95" i="2"/>
  <c r="Z95" i="2"/>
  <c r="Y95" i="2"/>
  <c r="X95" i="2"/>
  <c r="R95" i="2"/>
  <c r="Q95" i="2"/>
  <c r="P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A94" i="2"/>
  <c r="Z94" i="2"/>
  <c r="Y94" i="2"/>
  <c r="P94" i="2"/>
  <c r="N94" i="2"/>
  <c r="M94" i="2"/>
  <c r="L94" i="2"/>
  <c r="K94" i="2"/>
  <c r="J94" i="2"/>
  <c r="H94" i="2"/>
  <c r="G94" i="2"/>
  <c r="F94" i="2"/>
  <c r="E94" i="2"/>
  <c r="D94" i="2"/>
  <c r="C94" i="2"/>
  <c r="B94" i="2"/>
  <c r="A94" i="2"/>
  <c r="AD93" i="2"/>
  <c r="AC93" i="2"/>
  <c r="AB93" i="2"/>
  <c r="AA93" i="2"/>
  <c r="Z93" i="2"/>
  <c r="Y93" i="2"/>
  <c r="X93" i="2"/>
  <c r="Q93" i="2"/>
  <c r="P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A92" i="2"/>
  <c r="Z92" i="2"/>
  <c r="Y92" i="2"/>
  <c r="R92" i="2"/>
  <c r="Q92" i="2"/>
  <c r="P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D91" i="2"/>
  <c r="AC91" i="2"/>
  <c r="AB91" i="2"/>
  <c r="AA91" i="2"/>
  <c r="Z91" i="2"/>
  <c r="Y91" i="2"/>
  <c r="X91" i="2"/>
  <c r="P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A90" i="2"/>
  <c r="Z90" i="2"/>
  <c r="Y90" i="2"/>
  <c r="X90" i="2"/>
  <c r="R90" i="2"/>
  <c r="P90" i="2"/>
  <c r="O90" i="2"/>
  <c r="N90" i="2"/>
  <c r="L90" i="2"/>
  <c r="K90" i="2"/>
  <c r="J90" i="2"/>
  <c r="I90" i="2"/>
  <c r="H90" i="2"/>
  <c r="G90" i="2"/>
  <c r="F90" i="2"/>
  <c r="E90" i="2"/>
  <c r="D90" i="2"/>
  <c r="C90" i="2"/>
  <c r="B90" i="2"/>
  <c r="A90" i="2"/>
  <c r="AD89" i="2"/>
  <c r="AC89" i="2"/>
  <c r="AB89" i="2"/>
  <c r="AA89" i="2"/>
  <c r="Z89" i="2"/>
  <c r="Y89" i="2"/>
  <c r="X89" i="2"/>
  <c r="Q89" i="2"/>
  <c r="P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D88" i="2"/>
  <c r="AC88" i="2"/>
  <c r="AB88" i="2"/>
  <c r="AA88" i="2"/>
  <c r="Z88" i="2"/>
  <c r="Y88" i="2"/>
  <c r="X88" i="2"/>
  <c r="P88" i="2"/>
  <c r="N88" i="2"/>
  <c r="L88" i="2"/>
  <c r="K88" i="2"/>
  <c r="J88" i="2"/>
  <c r="I88" i="2"/>
  <c r="H88" i="2"/>
  <c r="G88" i="2"/>
  <c r="F88" i="2"/>
  <c r="E88" i="2"/>
  <c r="D88" i="2"/>
  <c r="C88" i="2"/>
  <c r="B88" i="2"/>
  <c r="A88" i="2"/>
  <c r="AD87" i="2"/>
  <c r="AC87" i="2"/>
  <c r="AB87" i="2"/>
  <c r="AA87" i="2"/>
  <c r="Z87" i="2"/>
  <c r="Y87" i="2"/>
  <c r="X87" i="2"/>
  <c r="P87" i="2"/>
  <c r="N87" i="2"/>
  <c r="L87" i="2"/>
  <c r="K87" i="2"/>
  <c r="J87" i="2"/>
  <c r="I87" i="2"/>
  <c r="H87" i="2"/>
  <c r="G87" i="2"/>
  <c r="F87" i="2"/>
  <c r="E87" i="2"/>
  <c r="D87" i="2"/>
  <c r="C87" i="2"/>
  <c r="B87" i="2"/>
  <c r="A87" i="2"/>
  <c r="AA86" i="2"/>
  <c r="Z86" i="2"/>
  <c r="Y86" i="2"/>
  <c r="X86" i="2"/>
  <c r="R86" i="2"/>
  <c r="Q86" i="2"/>
  <c r="P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F85" i="2"/>
  <c r="AD85" i="2"/>
  <c r="AC85" i="2"/>
  <c r="AB85" i="2"/>
  <c r="AA85" i="2"/>
  <c r="Z85" i="2"/>
  <c r="Y85" i="2"/>
  <c r="T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D85" i="2"/>
  <c r="C85" i="2"/>
  <c r="B85" i="2"/>
  <c r="A85" i="2"/>
  <c r="AD84" i="2"/>
  <c r="AC84" i="2"/>
  <c r="AB84" i="2"/>
  <c r="AA84" i="2"/>
  <c r="Z84" i="2"/>
  <c r="Y84" i="2"/>
  <c r="X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D83" i="2"/>
  <c r="AC83" i="2"/>
  <c r="AB83" i="2"/>
  <c r="AA83" i="2"/>
  <c r="Z83" i="2"/>
  <c r="Y83" i="2"/>
  <c r="X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D82" i="2"/>
  <c r="AC82" i="2"/>
  <c r="AB82" i="2"/>
  <c r="AA82" i="2"/>
  <c r="Z82" i="2"/>
  <c r="Y82" i="2"/>
  <c r="X82" i="2"/>
  <c r="P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D81" i="2"/>
  <c r="AC81" i="2"/>
  <c r="AB81" i="2"/>
  <c r="AA81" i="2"/>
  <c r="Z81" i="2"/>
  <c r="Y81" i="2"/>
  <c r="X81" i="2"/>
  <c r="Q81" i="2"/>
  <c r="P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D80" i="2"/>
  <c r="AC80" i="2"/>
  <c r="AB80" i="2"/>
  <c r="AA80" i="2"/>
  <c r="Z80" i="2"/>
  <c r="Y80" i="2"/>
  <c r="X80" i="2"/>
  <c r="Q80" i="2"/>
  <c r="P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F79" i="2"/>
  <c r="AD79" i="2"/>
  <c r="AC79" i="2"/>
  <c r="AB79" i="2"/>
  <c r="AA79" i="2"/>
  <c r="Z79" i="2"/>
  <c r="Y79" i="2"/>
  <c r="X79" i="2"/>
  <c r="P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D78" i="2"/>
  <c r="AC78" i="2"/>
  <c r="AB78" i="2"/>
  <c r="AA78" i="2"/>
  <c r="Z78" i="2"/>
  <c r="Y78" i="2"/>
  <c r="X78" i="2"/>
  <c r="P78" i="2"/>
  <c r="N78" i="2"/>
  <c r="L78" i="2"/>
  <c r="K78" i="2"/>
  <c r="J78" i="2"/>
  <c r="I78" i="2"/>
  <c r="H78" i="2"/>
  <c r="G78" i="2"/>
  <c r="F78" i="2"/>
  <c r="E78" i="2"/>
  <c r="D78" i="2"/>
  <c r="C78" i="2"/>
  <c r="B78" i="2"/>
  <c r="A78" i="2"/>
  <c r="AD77" i="2"/>
  <c r="AC77" i="2"/>
  <c r="AB77" i="2"/>
  <c r="AA77" i="2"/>
  <c r="Z77" i="2"/>
  <c r="Y77" i="2"/>
  <c r="X77" i="2"/>
  <c r="U77" i="2"/>
  <c r="T77" i="2"/>
  <c r="R77" i="2"/>
  <c r="P77" i="2"/>
  <c r="O77" i="2"/>
  <c r="N77" i="2"/>
  <c r="L77" i="2"/>
  <c r="K77" i="2"/>
  <c r="J77" i="2"/>
  <c r="H77" i="2"/>
  <c r="G77" i="2"/>
  <c r="E77" i="2"/>
  <c r="D77" i="2"/>
  <c r="C77" i="2"/>
  <c r="B77" i="2"/>
  <c r="A77" i="2"/>
  <c r="AD76" i="2"/>
  <c r="AC76" i="2"/>
  <c r="AB76" i="2"/>
  <c r="AA76" i="2"/>
  <c r="Z76" i="2"/>
  <c r="Y76" i="2"/>
  <c r="X76" i="2"/>
  <c r="P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D75" i="2"/>
  <c r="AC75" i="2"/>
  <c r="AB75" i="2"/>
  <c r="AA75" i="2"/>
  <c r="Z75" i="2"/>
  <c r="Y75" i="2"/>
  <c r="P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D74" i="2"/>
  <c r="AC74" i="2"/>
  <c r="AB74" i="2"/>
  <c r="AA74" i="2"/>
  <c r="Z74" i="2"/>
  <c r="Y74" i="2"/>
  <c r="X74" i="2"/>
  <c r="Q74" i="2"/>
  <c r="P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A73" i="2"/>
  <c r="Z73" i="2"/>
  <c r="Y73" i="2"/>
  <c r="Q73" i="2"/>
  <c r="P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F72" i="2"/>
  <c r="AD72" i="2"/>
  <c r="AC72" i="2"/>
  <c r="AB72" i="2"/>
  <c r="AA72" i="2"/>
  <c r="Z72" i="2"/>
  <c r="Y72" i="2"/>
  <c r="R72" i="2"/>
  <c r="Q72" i="2"/>
  <c r="P72" i="2"/>
  <c r="N72" i="2"/>
  <c r="M72" i="2"/>
  <c r="L72" i="2"/>
  <c r="K72" i="2"/>
  <c r="J72" i="2"/>
  <c r="H72" i="2"/>
  <c r="G72" i="2"/>
  <c r="F72" i="2"/>
  <c r="E72" i="2"/>
  <c r="D72" i="2"/>
  <c r="C72" i="2"/>
  <c r="B72" i="2"/>
  <c r="A72" i="2"/>
  <c r="AF71" i="2"/>
  <c r="AD71" i="2"/>
  <c r="AC71" i="2"/>
  <c r="AB71" i="2"/>
  <c r="AA71" i="2"/>
  <c r="Z71" i="2"/>
  <c r="Y71" i="2"/>
  <c r="X71" i="2"/>
  <c r="T71" i="2"/>
  <c r="S71" i="2"/>
  <c r="R71" i="2"/>
  <c r="Q71" i="2"/>
  <c r="P71" i="2"/>
  <c r="O71" i="2"/>
  <c r="N71" i="2"/>
  <c r="L71" i="2"/>
  <c r="K71" i="2"/>
  <c r="J71" i="2"/>
  <c r="I71" i="2"/>
  <c r="H71" i="2"/>
  <c r="G71" i="2"/>
  <c r="F71" i="2"/>
  <c r="E71" i="2"/>
  <c r="D71" i="2"/>
  <c r="C71" i="2"/>
  <c r="B71" i="2"/>
  <c r="A71" i="2"/>
  <c r="AD70" i="2"/>
  <c r="AC70" i="2"/>
  <c r="AB70" i="2"/>
  <c r="AA70" i="2"/>
  <c r="Z70" i="2"/>
  <c r="Y70" i="2"/>
  <c r="P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D69" i="2"/>
  <c r="AC69" i="2"/>
  <c r="AB69" i="2"/>
  <c r="AA69" i="2"/>
  <c r="Z69" i="2"/>
  <c r="Y69" i="2"/>
  <c r="X69" i="2"/>
  <c r="Q69" i="2"/>
  <c r="P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D68" i="2"/>
  <c r="AC68" i="2"/>
  <c r="AB68" i="2"/>
  <c r="AA68" i="2"/>
  <c r="Z68" i="2"/>
  <c r="Y68" i="2"/>
  <c r="X68" i="2"/>
  <c r="P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A67" i="2"/>
  <c r="Z67" i="2"/>
  <c r="Y67" i="2"/>
  <c r="X67" i="2"/>
  <c r="R67" i="2"/>
  <c r="P67" i="2"/>
  <c r="N67" i="2"/>
  <c r="M67" i="2"/>
  <c r="L67" i="2"/>
  <c r="K67" i="2"/>
  <c r="J67" i="2"/>
  <c r="H67" i="2"/>
  <c r="G67" i="2"/>
  <c r="F67" i="2"/>
  <c r="E67" i="2"/>
  <c r="D67" i="2"/>
  <c r="C67" i="2"/>
  <c r="B67" i="2"/>
  <c r="A67" i="2"/>
  <c r="AD66" i="2"/>
  <c r="AC66" i="2"/>
  <c r="AB66" i="2"/>
  <c r="AA66" i="2"/>
  <c r="Z66" i="2"/>
  <c r="Y66" i="2"/>
  <c r="R66" i="2"/>
  <c r="Q66" i="2"/>
  <c r="P66" i="2"/>
  <c r="N66" i="2"/>
  <c r="L66" i="2"/>
  <c r="K66" i="2"/>
  <c r="J66" i="2"/>
  <c r="I66" i="2"/>
  <c r="H66" i="2"/>
  <c r="G66" i="2"/>
  <c r="F66" i="2"/>
  <c r="E66" i="2"/>
  <c r="D66" i="2"/>
  <c r="C66" i="2"/>
  <c r="B66" i="2"/>
  <c r="A66" i="2"/>
  <c r="AD65" i="2"/>
  <c r="AB65" i="2"/>
  <c r="AA65" i="2"/>
  <c r="Z65" i="2"/>
  <c r="Y65" i="2"/>
  <c r="X65" i="2"/>
  <c r="Q65" i="2"/>
  <c r="P65" i="2"/>
  <c r="N65" i="2"/>
  <c r="M65" i="2"/>
  <c r="L65" i="2"/>
  <c r="K65" i="2"/>
  <c r="J65" i="2"/>
  <c r="H65" i="2"/>
  <c r="G65" i="2"/>
  <c r="F65" i="2"/>
  <c r="E65" i="2"/>
  <c r="D65" i="2"/>
  <c r="C65" i="2"/>
  <c r="B65" i="2"/>
  <c r="A65" i="2"/>
  <c r="AD64" i="2"/>
  <c r="AC64" i="2"/>
  <c r="AB64" i="2"/>
  <c r="AA64" i="2"/>
  <c r="Z64" i="2"/>
  <c r="Y64" i="2"/>
  <c r="X64" i="2"/>
  <c r="Q64" i="2"/>
  <c r="P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A63" i="2"/>
  <c r="Z63" i="2"/>
  <c r="Y63" i="2"/>
  <c r="X63" i="2"/>
  <c r="Q63" i="2"/>
  <c r="P63" i="2"/>
  <c r="N63" i="2"/>
  <c r="M63" i="2"/>
  <c r="L63" i="2"/>
  <c r="K63" i="2"/>
  <c r="J63" i="2"/>
  <c r="H63" i="2"/>
  <c r="G63" i="2"/>
  <c r="F63" i="2"/>
  <c r="E63" i="2"/>
  <c r="D63" i="2"/>
  <c r="C63" i="2"/>
  <c r="B63" i="2"/>
  <c r="A63" i="2"/>
  <c r="AD62" i="2"/>
  <c r="AC62" i="2"/>
  <c r="AB62" i="2"/>
  <c r="AA62" i="2"/>
  <c r="Z62" i="2"/>
  <c r="Y62" i="2"/>
  <c r="X62" i="2"/>
  <c r="T62" i="2"/>
  <c r="S62" i="2"/>
  <c r="R62" i="2"/>
  <c r="Q62" i="2"/>
  <c r="P62" i="2"/>
  <c r="O62" i="2"/>
  <c r="N62" i="2"/>
  <c r="L62" i="2"/>
  <c r="K62" i="2"/>
  <c r="J62" i="2"/>
  <c r="H62" i="2"/>
  <c r="G62" i="2"/>
  <c r="F62" i="2"/>
  <c r="E62" i="2"/>
  <c r="D62" i="2"/>
  <c r="C62" i="2"/>
  <c r="B62" i="2"/>
  <c r="A62" i="2"/>
  <c r="AA61" i="2"/>
  <c r="Z61" i="2"/>
  <c r="Y61" i="2"/>
  <c r="T61" i="2"/>
  <c r="S61" i="2"/>
  <c r="R61" i="2"/>
  <c r="Q61" i="2"/>
  <c r="P61" i="2"/>
  <c r="O61" i="2"/>
  <c r="N61" i="2"/>
  <c r="L61" i="2"/>
  <c r="K61" i="2"/>
  <c r="J61" i="2"/>
  <c r="I61" i="2"/>
  <c r="H61" i="2"/>
  <c r="G61" i="2"/>
  <c r="F61" i="2"/>
  <c r="E61" i="2"/>
  <c r="D61" i="2"/>
  <c r="C61" i="2"/>
  <c r="B61" i="2"/>
  <c r="A61" i="2"/>
  <c r="AF60" i="2"/>
  <c r="AD60" i="2"/>
  <c r="AC60" i="2"/>
  <c r="AB60" i="2"/>
  <c r="AA60" i="2"/>
  <c r="Z60" i="2"/>
  <c r="Y60" i="2"/>
  <c r="R60" i="2"/>
  <c r="Q60" i="2"/>
  <c r="P60" i="2"/>
  <c r="N60" i="2"/>
  <c r="L60" i="2"/>
  <c r="K60" i="2"/>
  <c r="J60" i="2"/>
  <c r="H60" i="2"/>
  <c r="G60" i="2"/>
  <c r="F60" i="2"/>
  <c r="E60" i="2"/>
  <c r="D60" i="2"/>
  <c r="C60" i="2"/>
  <c r="B60" i="2"/>
  <c r="A60" i="2"/>
  <c r="AD59" i="2"/>
  <c r="AC59" i="2"/>
  <c r="AB59" i="2"/>
  <c r="AA59" i="2"/>
  <c r="Z59" i="2"/>
  <c r="Y59" i="2"/>
  <c r="X59" i="2"/>
  <c r="P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A58" i="2"/>
  <c r="Z58" i="2"/>
  <c r="Y58" i="2"/>
  <c r="R58" i="2"/>
  <c r="Q58" i="2"/>
  <c r="P58" i="2"/>
  <c r="N58" i="2"/>
  <c r="L58" i="2"/>
  <c r="K58" i="2"/>
  <c r="J58" i="2"/>
  <c r="H58" i="2"/>
  <c r="G58" i="2"/>
  <c r="F58" i="2"/>
  <c r="E58" i="2"/>
  <c r="D58" i="2"/>
  <c r="C58" i="2"/>
  <c r="B58" i="2"/>
  <c r="A58" i="2"/>
  <c r="AD57" i="2"/>
  <c r="AC57" i="2"/>
  <c r="AB57" i="2"/>
  <c r="AA57" i="2"/>
  <c r="Z57" i="2"/>
  <c r="Y57" i="2"/>
  <c r="S57" i="2"/>
  <c r="R57" i="2"/>
  <c r="Q57" i="2"/>
  <c r="P57" i="2"/>
  <c r="N57" i="2"/>
  <c r="L57" i="2"/>
  <c r="K57" i="2"/>
  <c r="J57" i="2"/>
  <c r="I57" i="2"/>
  <c r="H57" i="2"/>
  <c r="G57" i="2"/>
  <c r="F57" i="2"/>
  <c r="E57" i="2"/>
  <c r="D57" i="2"/>
  <c r="C57" i="2"/>
  <c r="B57" i="2"/>
  <c r="A57" i="2"/>
  <c r="AD56" i="2"/>
  <c r="AC56" i="2"/>
  <c r="AB56" i="2"/>
  <c r="AA56" i="2"/>
  <c r="Z56" i="2"/>
  <c r="Y56" i="2"/>
  <c r="X56" i="2"/>
  <c r="P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A55" i="2"/>
  <c r="Z55" i="2"/>
  <c r="Y55" i="2"/>
  <c r="X55" i="2"/>
  <c r="Q55" i="2"/>
  <c r="P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D54" i="2"/>
  <c r="AC54" i="2"/>
  <c r="AB54" i="2"/>
  <c r="AA54" i="2"/>
  <c r="Z54" i="2"/>
  <c r="Y54" i="2"/>
  <c r="X54" i="2"/>
  <c r="Q54" i="2"/>
  <c r="P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D53" i="2"/>
  <c r="AC53" i="2"/>
  <c r="AB53" i="2"/>
  <c r="AA53" i="2"/>
  <c r="Z53" i="2"/>
  <c r="Y53" i="2"/>
  <c r="X53" i="2"/>
  <c r="P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D52" i="2"/>
  <c r="AC52" i="2"/>
  <c r="AB52" i="2"/>
  <c r="AA52" i="2"/>
  <c r="Z52" i="2"/>
  <c r="Y52" i="2"/>
  <c r="R52" i="2"/>
  <c r="Q52" i="2"/>
  <c r="P52" i="2"/>
  <c r="N52" i="2"/>
  <c r="L52" i="2"/>
  <c r="K52" i="2"/>
  <c r="J52" i="2"/>
  <c r="H52" i="2"/>
  <c r="G52" i="2"/>
  <c r="F52" i="2"/>
  <c r="E52" i="2"/>
  <c r="D52" i="2"/>
  <c r="C52" i="2"/>
  <c r="B52" i="2"/>
  <c r="A52" i="2"/>
  <c r="AD51" i="2"/>
  <c r="AC51" i="2"/>
  <c r="AB51" i="2"/>
  <c r="AA51" i="2"/>
  <c r="Z51" i="2"/>
  <c r="Y51" i="2"/>
  <c r="X51" i="2"/>
  <c r="R51" i="2"/>
  <c r="P51" i="2"/>
  <c r="N51" i="2"/>
  <c r="L51" i="2"/>
  <c r="K51" i="2"/>
  <c r="J51" i="2"/>
  <c r="I51" i="2"/>
  <c r="H51" i="2"/>
  <c r="G51" i="2"/>
  <c r="F51" i="2"/>
  <c r="E51" i="2"/>
  <c r="D51" i="2"/>
  <c r="C51" i="2"/>
  <c r="B51" i="2"/>
  <c r="A51" i="2"/>
  <c r="AD50" i="2"/>
  <c r="AC50" i="2"/>
  <c r="AB50" i="2"/>
  <c r="AA50" i="2"/>
  <c r="Z50" i="2"/>
  <c r="Y50" i="2"/>
  <c r="P50" i="2"/>
  <c r="N50" i="2"/>
  <c r="L50" i="2"/>
  <c r="K50" i="2"/>
  <c r="J50" i="2"/>
  <c r="H50" i="2"/>
  <c r="G50" i="2"/>
  <c r="F50" i="2"/>
  <c r="E50" i="2"/>
  <c r="D50" i="2"/>
  <c r="C50" i="2"/>
  <c r="B50" i="2"/>
  <c r="A50" i="2"/>
  <c r="AD49" i="2"/>
  <c r="AC49" i="2"/>
  <c r="AB49" i="2"/>
  <c r="AA49" i="2"/>
  <c r="Z49" i="2"/>
  <c r="Y49" i="2"/>
  <c r="X49" i="2"/>
  <c r="Q49" i="2"/>
  <c r="P49" i="2"/>
  <c r="O49" i="2"/>
  <c r="N49" i="2"/>
  <c r="L49" i="2"/>
  <c r="K49" i="2"/>
  <c r="J49" i="2"/>
  <c r="I49" i="2"/>
  <c r="H49" i="2"/>
  <c r="G49" i="2"/>
  <c r="F49" i="2"/>
  <c r="E49" i="2"/>
  <c r="D49" i="2"/>
  <c r="C49" i="2"/>
  <c r="B49" i="2"/>
  <c r="A49" i="2"/>
  <c r="AD48" i="2"/>
  <c r="AC48" i="2"/>
  <c r="AB48" i="2"/>
  <c r="AA48" i="2"/>
  <c r="Z48" i="2"/>
  <c r="Y48" i="2"/>
  <c r="X48" i="2"/>
  <c r="S48" i="2"/>
  <c r="R48" i="2"/>
  <c r="Q48" i="2"/>
  <c r="P48" i="2"/>
  <c r="O48" i="2"/>
  <c r="N48" i="2"/>
  <c r="L48" i="2"/>
  <c r="K48" i="2"/>
  <c r="J48" i="2"/>
  <c r="H48" i="2"/>
  <c r="G48" i="2"/>
  <c r="F48" i="2"/>
  <c r="E48" i="2"/>
  <c r="D48" i="2"/>
  <c r="C48" i="2"/>
  <c r="B48" i="2"/>
  <c r="A48" i="2"/>
  <c r="AD47" i="2"/>
  <c r="AC47" i="2"/>
  <c r="AB47" i="2"/>
  <c r="AA47" i="2"/>
  <c r="Z47" i="2"/>
  <c r="Y47" i="2"/>
  <c r="P47" i="2"/>
  <c r="N47" i="2"/>
  <c r="L47" i="2"/>
  <c r="K47" i="2"/>
  <c r="J47" i="2"/>
  <c r="I47" i="2"/>
  <c r="H47" i="2"/>
  <c r="G47" i="2"/>
  <c r="F47" i="2"/>
  <c r="E47" i="2"/>
  <c r="D47" i="2"/>
  <c r="C47" i="2"/>
  <c r="B47" i="2"/>
  <c r="A47" i="2"/>
  <c r="AD46" i="2"/>
  <c r="AC46" i="2"/>
  <c r="AB46" i="2"/>
  <c r="AA46" i="2"/>
  <c r="Z46" i="2"/>
  <c r="Y46" i="2"/>
  <c r="X46" i="2"/>
  <c r="P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D45" i="2"/>
  <c r="AC45" i="2"/>
  <c r="AB45" i="2"/>
  <c r="AA45" i="2"/>
  <c r="Z45" i="2"/>
  <c r="Y45" i="2"/>
  <c r="X45" i="2"/>
  <c r="P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D44" i="2"/>
  <c r="AC44" i="2"/>
  <c r="AB44" i="2"/>
  <c r="AA44" i="2"/>
  <c r="Z44" i="2"/>
  <c r="Y44" i="2"/>
  <c r="X44" i="2"/>
  <c r="Q44" i="2"/>
  <c r="P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D43" i="2"/>
  <c r="AC43" i="2"/>
  <c r="AB43" i="2"/>
  <c r="AA43" i="2"/>
  <c r="Z43" i="2"/>
  <c r="Y43" i="2"/>
  <c r="X43" i="2"/>
  <c r="R43" i="2"/>
  <c r="Q43" i="2"/>
  <c r="P43" i="2"/>
  <c r="O43" i="2"/>
  <c r="N43" i="2"/>
  <c r="L43" i="2"/>
  <c r="K43" i="2"/>
  <c r="J43" i="2"/>
  <c r="I43" i="2"/>
  <c r="H43" i="2"/>
  <c r="G43" i="2"/>
  <c r="F43" i="2"/>
  <c r="E43" i="2"/>
  <c r="D43" i="2"/>
  <c r="C43" i="2"/>
  <c r="B43" i="2"/>
  <c r="A43" i="2"/>
  <c r="AD42" i="2"/>
  <c r="AC42" i="2"/>
  <c r="AB42" i="2"/>
  <c r="AA42" i="2"/>
  <c r="Z42" i="2"/>
  <c r="Y42" i="2"/>
  <c r="X42" i="2"/>
  <c r="R42" i="2"/>
  <c r="Q42" i="2"/>
  <c r="P42" i="2"/>
  <c r="O42" i="2"/>
  <c r="N42" i="2"/>
  <c r="L42" i="2"/>
  <c r="K42" i="2"/>
  <c r="J42" i="2"/>
  <c r="I42" i="2"/>
  <c r="H42" i="2"/>
  <c r="G42" i="2"/>
  <c r="F42" i="2"/>
  <c r="E42" i="2"/>
  <c r="D42" i="2"/>
  <c r="C42" i="2"/>
  <c r="B42" i="2"/>
  <c r="A42" i="2"/>
  <c r="AD41" i="2"/>
  <c r="AC41" i="2"/>
  <c r="AB41" i="2"/>
  <c r="AA41" i="2"/>
  <c r="Z41" i="2"/>
  <c r="Y41" i="2"/>
  <c r="X41" i="2"/>
  <c r="P41" i="2"/>
  <c r="N41" i="2"/>
  <c r="L41" i="2"/>
  <c r="K41" i="2"/>
  <c r="J41" i="2"/>
  <c r="I41" i="2"/>
  <c r="H41" i="2"/>
  <c r="G41" i="2"/>
  <c r="F41" i="2"/>
  <c r="E41" i="2"/>
  <c r="D41" i="2"/>
  <c r="C41" i="2"/>
  <c r="B41" i="2"/>
  <c r="A41" i="2"/>
  <c r="AD40" i="2"/>
  <c r="AC40" i="2"/>
  <c r="AB40" i="2"/>
  <c r="AA40" i="2"/>
  <c r="Z40" i="2"/>
  <c r="Y40" i="2"/>
  <c r="X40" i="2"/>
  <c r="Q40" i="2"/>
  <c r="P40" i="2"/>
  <c r="N40" i="2"/>
  <c r="L40" i="2"/>
  <c r="K40" i="2"/>
  <c r="J40" i="2"/>
  <c r="I40" i="2"/>
  <c r="H40" i="2"/>
  <c r="G40" i="2"/>
  <c r="F40" i="2"/>
  <c r="E40" i="2"/>
  <c r="D40" i="2"/>
  <c r="C40" i="2"/>
  <c r="B40" i="2"/>
  <c r="A40" i="2"/>
  <c r="AD39" i="2"/>
  <c r="AC39" i="2"/>
  <c r="AB39" i="2"/>
  <c r="AA39" i="2"/>
  <c r="Z39" i="2"/>
  <c r="Y39" i="2"/>
  <c r="X39" i="2"/>
  <c r="T39" i="2"/>
  <c r="S39" i="2"/>
  <c r="R39" i="2"/>
  <c r="Q39" i="2"/>
  <c r="P39" i="2"/>
  <c r="O39" i="2"/>
  <c r="N39" i="2"/>
  <c r="L39" i="2"/>
  <c r="K39" i="2"/>
  <c r="J39" i="2"/>
  <c r="I39" i="2"/>
  <c r="H39" i="2"/>
  <c r="G39" i="2"/>
  <c r="F39" i="2"/>
  <c r="E39" i="2"/>
  <c r="D39" i="2"/>
  <c r="C39" i="2"/>
  <c r="B39" i="2"/>
  <c r="A39" i="2"/>
  <c r="AD38" i="2"/>
  <c r="AC38" i="2"/>
  <c r="AB38" i="2"/>
  <c r="AA38" i="2"/>
  <c r="Z38" i="2"/>
  <c r="Y38" i="2"/>
  <c r="X38" i="2"/>
  <c r="Q38" i="2"/>
  <c r="P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D37" i="2"/>
  <c r="AC37" i="2"/>
  <c r="AB37" i="2"/>
  <c r="AA37" i="2"/>
  <c r="Z37" i="2"/>
  <c r="Y37" i="2"/>
  <c r="X37" i="2"/>
  <c r="U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D36" i="2"/>
  <c r="AC36" i="2"/>
  <c r="AB36" i="2"/>
  <c r="AA36" i="2"/>
  <c r="Z36" i="2"/>
  <c r="Y36" i="2"/>
  <c r="X36" i="2"/>
  <c r="P36" i="2"/>
  <c r="N36" i="2"/>
  <c r="L36" i="2"/>
  <c r="K36" i="2"/>
  <c r="J36" i="2"/>
  <c r="I36" i="2"/>
  <c r="H36" i="2"/>
  <c r="G36" i="2"/>
  <c r="F36" i="2"/>
  <c r="E36" i="2"/>
  <c r="D36" i="2"/>
  <c r="C36" i="2"/>
  <c r="B36" i="2"/>
  <c r="A36" i="2"/>
  <c r="AA35" i="2"/>
  <c r="Z35" i="2"/>
  <c r="Y35" i="2"/>
  <c r="S35" i="2"/>
  <c r="R35" i="2"/>
  <c r="Q35" i="2"/>
  <c r="P35" i="2"/>
  <c r="N35" i="2"/>
  <c r="L35" i="2"/>
  <c r="K35" i="2"/>
  <c r="J35" i="2"/>
  <c r="I35" i="2"/>
  <c r="H35" i="2"/>
  <c r="G35" i="2"/>
  <c r="F35" i="2"/>
  <c r="E35" i="2"/>
  <c r="D35" i="2"/>
  <c r="C35" i="2"/>
  <c r="B35" i="2"/>
  <c r="A35" i="2"/>
  <c r="AD34" i="2"/>
  <c r="AC34" i="2"/>
  <c r="AB34" i="2"/>
  <c r="AA34" i="2"/>
  <c r="Z34" i="2"/>
  <c r="Y34" i="2"/>
  <c r="X34" i="2"/>
  <c r="P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A33" i="2"/>
  <c r="Z33" i="2"/>
  <c r="Y33" i="2"/>
  <c r="Q33" i="2"/>
  <c r="P33" i="2"/>
  <c r="N33" i="2"/>
  <c r="L33" i="2"/>
  <c r="K33" i="2"/>
  <c r="J33" i="2"/>
  <c r="H33" i="2"/>
  <c r="G33" i="2"/>
  <c r="F33" i="2"/>
  <c r="E33" i="2"/>
  <c r="D33" i="2"/>
  <c r="C33" i="2"/>
  <c r="B33" i="2"/>
  <c r="A33" i="2"/>
  <c r="AD32" i="2"/>
  <c r="AC32" i="2"/>
  <c r="AB32" i="2"/>
  <c r="AA32" i="2"/>
  <c r="Z32" i="2"/>
  <c r="Y32" i="2"/>
  <c r="X32" i="2"/>
  <c r="P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D31" i="2"/>
  <c r="AC31" i="2"/>
  <c r="AB31" i="2"/>
  <c r="AA31" i="2"/>
  <c r="Z31" i="2"/>
  <c r="Y31" i="2"/>
  <c r="X31" i="2"/>
  <c r="P31" i="2"/>
  <c r="N31" i="2"/>
  <c r="L31" i="2"/>
  <c r="K31" i="2"/>
  <c r="J31" i="2"/>
  <c r="H31" i="2"/>
  <c r="G31" i="2"/>
  <c r="F31" i="2"/>
  <c r="E31" i="2"/>
  <c r="D31" i="2"/>
  <c r="C31" i="2"/>
  <c r="B31" i="2"/>
  <c r="A31" i="2"/>
  <c r="AD30" i="2"/>
  <c r="AC30" i="2"/>
  <c r="AB30" i="2"/>
  <c r="AA30" i="2"/>
  <c r="Z30" i="2"/>
  <c r="Y30" i="2"/>
  <c r="X30" i="2"/>
  <c r="P30" i="2"/>
  <c r="N30" i="2"/>
  <c r="L30" i="2"/>
  <c r="K30" i="2"/>
  <c r="J30" i="2"/>
  <c r="H30" i="2"/>
  <c r="G30" i="2"/>
  <c r="F30" i="2"/>
  <c r="E30" i="2"/>
  <c r="D30" i="2"/>
  <c r="C30" i="2"/>
  <c r="B30" i="2"/>
  <c r="A30" i="2"/>
  <c r="AA29" i="2"/>
  <c r="Z29" i="2"/>
  <c r="Y29" i="2"/>
  <c r="X29" i="2"/>
  <c r="P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A28" i="2"/>
  <c r="Z28" i="2"/>
  <c r="Y28" i="2"/>
  <c r="X28" i="2"/>
  <c r="P28" i="2"/>
  <c r="N28" i="2"/>
  <c r="L28" i="2"/>
  <c r="K28" i="2"/>
  <c r="J28" i="2"/>
  <c r="I28" i="2"/>
  <c r="H28" i="2"/>
  <c r="G28" i="2"/>
  <c r="F28" i="2"/>
  <c r="E28" i="2"/>
  <c r="D28" i="2"/>
  <c r="C28" i="2"/>
  <c r="B28" i="2"/>
  <c r="A28" i="2"/>
  <c r="AA27" i="2"/>
  <c r="Z27" i="2"/>
  <c r="Y27" i="2"/>
  <c r="X27" i="2"/>
  <c r="P27" i="2"/>
  <c r="N27" i="2"/>
  <c r="L27" i="2"/>
  <c r="K27" i="2"/>
  <c r="J27" i="2"/>
  <c r="I27" i="2"/>
  <c r="H27" i="2"/>
  <c r="G27" i="2"/>
  <c r="F27" i="2"/>
  <c r="E27" i="2"/>
  <c r="D27" i="2"/>
  <c r="C27" i="2"/>
  <c r="B27" i="2"/>
  <c r="A27" i="2"/>
  <c r="AA26" i="2"/>
  <c r="Z26" i="2"/>
  <c r="Y26" i="2"/>
  <c r="X26" i="2"/>
  <c r="P26" i="2"/>
  <c r="N26" i="2"/>
  <c r="L26" i="2"/>
  <c r="K26" i="2"/>
  <c r="J26" i="2"/>
  <c r="I26" i="2"/>
  <c r="H26" i="2"/>
  <c r="G26" i="2"/>
  <c r="F26" i="2"/>
  <c r="E26" i="2"/>
  <c r="D26" i="2"/>
  <c r="C26" i="2"/>
  <c r="B26" i="2"/>
  <c r="A26" i="2"/>
  <c r="AA25" i="2"/>
  <c r="Z25" i="2"/>
  <c r="Y25" i="2"/>
  <c r="Q25" i="2"/>
  <c r="P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D24" i="2"/>
  <c r="AC24" i="2"/>
  <c r="AB24" i="2"/>
  <c r="AA24" i="2"/>
  <c r="Z24" i="2"/>
  <c r="Y24" i="2"/>
  <c r="X24" i="2"/>
  <c r="Q24" i="2"/>
  <c r="P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D23" i="2"/>
  <c r="AC23" i="2"/>
  <c r="AB23" i="2"/>
  <c r="AA23" i="2"/>
  <c r="Z23" i="2"/>
  <c r="Y23" i="2"/>
  <c r="X23" i="2"/>
  <c r="Q23" i="2"/>
  <c r="P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D22" i="2"/>
  <c r="AC22" i="2"/>
  <c r="AB22" i="2"/>
  <c r="AA22" i="2"/>
  <c r="Z22" i="2"/>
  <c r="Y22" i="2"/>
  <c r="X22" i="2"/>
  <c r="Q22" i="2"/>
  <c r="P22" i="2"/>
  <c r="N22" i="2"/>
  <c r="M22" i="2"/>
  <c r="L22" i="2"/>
  <c r="K22" i="2"/>
  <c r="J22" i="2"/>
  <c r="H22" i="2"/>
  <c r="G22" i="2"/>
  <c r="F22" i="2"/>
  <c r="E22" i="2"/>
  <c r="D22" i="2"/>
  <c r="C22" i="2"/>
  <c r="B22" i="2"/>
  <c r="A22" i="2"/>
  <c r="AD21" i="2"/>
  <c r="AC21" i="2"/>
  <c r="AB21" i="2"/>
  <c r="AA21" i="2"/>
  <c r="Z21" i="2"/>
  <c r="Y21" i="2"/>
  <c r="X21" i="2"/>
  <c r="Q21" i="2"/>
  <c r="P21" i="2"/>
  <c r="N21" i="2"/>
  <c r="L21" i="2"/>
  <c r="K21" i="2"/>
  <c r="J21" i="2"/>
  <c r="I21" i="2"/>
  <c r="H21" i="2"/>
  <c r="G21" i="2"/>
  <c r="F21" i="2"/>
  <c r="E21" i="2"/>
  <c r="D21" i="2"/>
  <c r="C21" i="2"/>
  <c r="B21" i="2"/>
  <c r="A21" i="2"/>
  <c r="AF20" i="2"/>
  <c r="AD20" i="2"/>
  <c r="AC20" i="2"/>
  <c r="AB20" i="2"/>
  <c r="AA20" i="2"/>
  <c r="Z20" i="2"/>
  <c r="Y20" i="2"/>
  <c r="X20" i="2"/>
  <c r="R20" i="2"/>
  <c r="Q20" i="2"/>
  <c r="P20" i="2"/>
  <c r="N20" i="2"/>
  <c r="L20" i="2"/>
  <c r="K20" i="2"/>
  <c r="J20" i="2"/>
  <c r="I20" i="2"/>
  <c r="H20" i="2"/>
  <c r="G20" i="2"/>
  <c r="F20" i="2"/>
  <c r="E20" i="2"/>
  <c r="D20" i="2"/>
  <c r="C20" i="2"/>
  <c r="B20" i="2"/>
  <c r="A20" i="2"/>
  <c r="AD19" i="2"/>
  <c r="AC19" i="2"/>
  <c r="AB19" i="2"/>
  <c r="AA19" i="2"/>
  <c r="Z19" i="2"/>
  <c r="Y19" i="2"/>
  <c r="X19" i="2"/>
  <c r="R19" i="2"/>
  <c r="P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F17" i="2"/>
  <c r="AD17" i="2"/>
  <c r="AC17" i="2"/>
  <c r="AB17" i="2"/>
  <c r="AA17" i="2"/>
  <c r="Z17" i="2"/>
  <c r="Y17" i="2"/>
  <c r="X17" i="2"/>
  <c r="S17" i="2"/>
  <c r="R17" i="2"/>
  <c r="Q17" i="2"/>
  <c r="P17" i="2"/>
  <c r="N17" i="2"/>
  <c r="M17" i="2"/>
  <c r="L17" i="2"/>
  <c r="K17" i="2"/>
  <c r="J17" i="2"/>
  <c r="H17" i="2"/>
  <c r="G17" i="2"/>
  <c r="F17" i="2"/>
  <c r="E17" i="2"/>
  <c r="D17" i="2"/>
  <c r="C17" i="2"/>
  <c r="B17" i="2"/>
  <c r="A17" i="2"/>
  <c r="AD16" i="2"/>
  <c r="AC16" i="2"/>
  <c r="AB16" i="2"/>
  <c r="AA16" i="2"/>
  <c r="Z16" i="2"/>
  <c r="Y16" i="2"/>
  <c r="X16" i="2"/>
  <c r="P16" i="2"/>
  <c r="N16" i="2"/>
  <c r="L16" i="2"/>
  <c r="K16" i="2"/>
  <c r="J16" i="2"/>
  <c r="I16" i="2"/>
  <c r="H16" i="2"/>
  <c r="G16" i="2"/>
  <c r="F16" i="2"/>
  <c r="E16" i="2"/>
  <c r="D16" i="2"/>
  <c r="C16" i="2"/>
  <c r="B16" i="2"/>
  <c r="A16" i="2"/>
  <c r="AD15" i="2"/>
  <c r="AC15" i="2"/>
  <c r="AB15" i="2"/>
  <c r="AA15" i="2"/>
  <c r="Z15" i="2"/>
  <c r="Y15" i="2"/>
  <c r="X15" i="2"/>
  <c r="Q15" i="2"/>
  <c r="P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A14" i="2"/>
  <c r="Z14" i="2"/>
  <c r="Y14" i="2"/>
  <c r="P14" i="2"/>
  <c r="N14" i="2"/>
  <c r="L14" i="2"/>
  <c r="K14" i="2"/>
  <c r="J14" i="2"/>
  <c r="I14" i="2"/>
  <c r="H14" i="2"/>
  <c r="G14" i="2"/>
  <c r="F14" i="2"/>
  <c r="E14" i="2"/>
  <c r="D14" i="2"/>
  <c r="C14" i="2"/>
  <c r="B14" i="2"/>
  <c r="A14" i="2"/>
  <c r="AD13" i="2"/>
  <c r="AC13" i="2"/>
  <c r="AB13" i="2"/>
  <c r="AA13" i="2"/>
  <c r="Z13" i="2"/>
  <c r="Y13" i="2"/>
  <c r="X13" i="2"/>
  <c r="R13" i="2"/>
  <c r="Q13" i="2"/>
  <c r="P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D12" i="2"/>
  <c r="AC12" i="2"/>
  <c r="AB12" i="2"/>
  <c r="AA12" i="2"/>
  <c r="Z12" i="2"/>
  <c r="Y12" i="2"/>
  <c r="R12" i="2"/>
  <c r="Q12" i="2"/>
  <c r="P12" i="2"/>
  <c r="O12" i="2"/>
  <c r="N12" i="2"/>
  <c r="L12" i="2"/>
  <c r="K12" i="2"/>
  <c r="J12" i="2"/>
  <c r="H12" i="2"/>
  <c r="G12" i="2"/>
  <c r="F12" i="2"/>
  <c r="E12" i="2"/>
  <c r="D12" i="2"/>
  <c r="C12" i="2"/>
  <c r="B12" i="2"/>
  <c r="A12" i="2"/>
  <c r="AD11" i="2"/>
  <c r="AC11" i="2"/>
  <c r="AB11" i="2"/>
  <c r="AA11" i="2"/>
  <c r="Z11" i="2"/>
  <c r="Y11" i="2"/>
  <c r="X11" i="2"/>
  <c r="P11" i="2"/>
  <c r="N11" i="2"/>
  <c r="L11" i="2"/>
  <c r="K11" i="2"/>
  <c r="J11" i="2"/>
  <c r="I11" i="2"/>
  <c r="H11" i="2"/>
  <c r="G11" i="2"/>
  <c r="F11" i="2"/>
  <c r="E11" i="2"/>
  <c r="D11" i="2"/>
  <c r="C11" i="2"/>
  <c r="B11" i="2"/>
  <c r="A11" i="2"/>
  <c r="AD10" i="2"/>
  <c r="AC10" i="2"/>
  <c r="AB10" i="2"/>
  <c r="AA10" i="2"/>
  <c r="Z10" i="2"/>
  <c r="Y10" i="2"/>
  <c r="X10" i="2"/>
  <c r="Q10" i="2"/>
  <c r="P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A9" i="2"/>
  <c r="Z9" i="2"/>
  <c r="Y9" i="2"/>
  <c r="X9" i="2"/>
  <c r="P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D8" i="2"/>
  <c r="AC8" i="2"/>
  <c r="AB8" i="2"/>
  <c r="AA8" i="2"/>
  <c r="Z8" i="2"/>
  <c r="Y8" i="2"/>
  <c r="X8" i="2"/>
  <c r="Q8" i="2"/>
  <c r="P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A7" i="2"/>
  <c r="Z7" i="2"/>
  <c r="Y7" i="2"/>
  <c r="X7" i="2"/>
  <c r="P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A6" i="2"/>
  <c r="Z6" i="2"/>
  <c r="Y6" i="2"/>
  <c r="P6" i="2"/>
  <c r="N6" i="2"/>
  <c r="M6" i="2"/>
  <c r="L6" i="2"/>
  <c r="K6" i="2"/>
  <c r="J6" i="2"/>
  <c r="H6" i="2"/>
  <c r="G6" i="2"/>
  <c r="F6" i="2"/>
  <c r="E6" i="2"/>
  <c r="D6" i="2"/>
  <c r="C6" i="2"/>
  <c r="B6" i="2"/>
  <c r="A6" i="2"/>
  <c r="AD5" i="2"/>
  <c r="AC5" i="2"/>
  <c r="AB5" i="2"/>
  <c r="AA5" i="2"/>
  <c r="Z5" i="2"/>
  <c r="Y5" i="2"/>
  <c r="R5" i="2"/>
  <c r="P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Z3" i="2"/>
  <c r="Y3" i="2"/>
  <c r="X3" i="2"/>
  <c r="Q3" i="2"/>
  <c r="P3" i="2"/>
  <c r="N3" i="2"/>
  <c r="M3" i="2"/>
  <c r="L3" i="2"/>
  <c r="K3" i="2"/>
  <c r="J3" i="2"/>
  <c r="H3" i="2"/>
  <c r="G3" i="2"/>
  <c r="F3" i="2"/>
  <c r="E3" i="2"/>
  <c r="D3" i="2"/>
  <c r="C3" i="2"/>
  <c r="B3" i="2"/>
  <c r="A3" i="2"/>
  <c r="N1" i="2" l="1"/>
  <c r="F2" i="4"/>
  <c r="F2" i="7"/>
  <c r="F2" i="11"/>
  <c r="F2" i="9"/>
  <c r="N2" i="4"/>
  <c r="F2" i="8"/>
  <c r="F2" i="6"/>
  <c r="F2" i="10"/>
  <c r="F2" i="12"/>
</calcChain>
</file>

<file path=xl/sharedStrings.xml><?xml version="1.0" encoding="utf-8"?>
<sst xmlns="http://schemas.openxmlformats.org/spreadsheetml/2006/main" count="449" uniqueCount="279">
  <si>
    <t>Listado General de Inscriptos</t>
  </si>
  <si>
    <t>Dia y Hora</t>
  </si>
  <si>
    <t>Nombre</t>
  </si>
  <si>
    <t>Apellido</t>
  </si>
  <si>
    <t>Ciudad</t>
  </si>
  <si>
    <t>Pais</t>
  </si>
  <si>
    <t>DNI</t>
  </si>
  <si>
    <t>Nacimiento</t>
  </si>
  <si>
    <t>Celular de Contacto</t>
  </si>
  <si>
    <t>Celular de Emergencias</t>
  </si>
  <si>
    <t>email</t>
  </si>
  <si>
    <t>Sexo</t>
  </si>
  <si>
    <t>Club</t>
  </si>
  <si>
    <t>Categoría</t>
  </si>
  <si>
    <t>Clase</t>
  </si>
  <si>
    <t>Proa Nº</t>
  </si>
  <si>
    <t>Vela</t>
  </si>
  <si>
    <t>Nombre del Barco</t>
  </si>
  <si>
    <t>Tripulante 1</t>
  </si>
  <si>
    <t>Tripulante 2</t>
  </si>
  <si>
    <t>Tripulante 3</t>
  </si>
  <si>
    <t>Tripulante 4</t>
  </si>
  <si>
    <t>Tripulante 5</t>
  </si>
  <si>
    <t>Tripulante 6</t>
  </si>
  <si>
    <t>Obra Social/Nº Afiliado</t>
  </si>
  <si>
    <t>Bajada YCO</t>
  </si>
  <si>
    <t>Términos y Condiciones</t>
  </si>
  <si>
    <t>Pago</t>
  </si>
  <si>
    <t>Importe</t>
  </si>
  <si>
    <t>RECIBO</t>
  </si>
  <si>
    <t>PGO</t>
  </si>
  <si>
    <t>Autorización FAY</t>
  </si>
  <si>
    <t>Acreditado</t>
  </si>
  <si>
    <t>GRAND PRIX INTERNACIONAL DE VELA "LUIS ALBERTO CERRATO"</t>
  </si>
  <si>
    <t>Lista de Inscriptos SNIPE</t>
  </si>
  <si>
    <t>Snipe</t>
  </si>
  <si>
    <t>Lista de Inscriptos Clase OPTIMIST PRINCIPIANTES</t>
  </si>
  <si>
    <t>OPTIMIST PRINCIPIANTES</t>
  </si>
  <si>
    <t>Autorizacion FAY</t>
  </si>
  <si>
    <t>Lista de Inscriptos Clase OPTIMIST TIMONELES</t>
  </si>
  <si>
    <t>OPTIMIST TIMONELES</t>
  </si>
  <si>
    <t>Autorizacion
FAY</t>
  </si>
  <si>
    <t>Lista de Inscriptos Clase 420</t>
  </si>
  <si>
    <t>Acreditacion</t>
  </si>
  <si>
    <t>Lista de Inscriptos Clase WINGFOIL</t>
  </si>
  <si>
    <t>WING FOIL</t>
  </si>
  <si>
    <t>Lista de Inscriptos Clase ILCA 4</t>
  </si>
  <si>
    <t>ILCA 4</t>
  </si>
  <si>
    <t>Lista de Inscriptos Clase ILCA 6</t>
  </si>
  <si>
    <t>ILCA 6</t>
  </si>
  <si>
    <t>Lista de Inscriptos Clase ILCA 7</t>
  </si>
  <si>
    <t>ILCA 7</t>
  </si>
  <si>
    <t>Lista de Inscriptos Clase CADET</t>
  </si>
  <si>
    <t>CADET</t>
  </si>
  <si>
    <t>Lista de Inscriptos Clase 29ER</t>
  </si>
  <si>
    <t>29er</t>
  </si>
  <si>
    <t>Lista de Inscriptos Clase F18</t>
  </si>
  <si>
    <t>F18</t>
  </si>
  <si>
    <t>Lista de Inscriptos Clase MATCH 30</t>
  </si>
  <si>
    <t>MATCH 30</t>
  </si>
  <si>
    <t>Lista de Inscriptos Clase ILCA MASTER</t>
  </si>
  <si>
    <t>Master (ILCA)</t>
  </si>
  <si>
    <t>Categoría Master</t>
  </si>
  <si>
    <t>ARG</t>
  </si>
  <si>
    <t>CUBA / NCNE</t>
  </si>
  <si>
    <t xml:space="preserve">CVR / YCR </t>
  </si>
  <si>
    <t>ÑANDEYARA</t>
  </si>
  <si>
    <t>CNSI</t>
  </si>
  <si>
    <t>AMIGO VII</t>
  </si>
  <si>
    <t>guason forever</t>
  </si>
  <si>
    <t>YCA</t>
  </si>
  <si>
    <t>05</t>
  </si>
  <si>
    <t>Corinthians</t>
  </si>
  <si>
    <t>Project</t>
  </si>
  <si>
    <t xml:space="preserve">YCA </t>
  </si>
  <si>
    <t>YCA - CRLP</t>
  </si>
  <si>
    <t>Corinthian</t>
  </si>
  <si>
    <t>01</t>
  </si>
  <si>
    <t>Si Querida</t>
  </si>
  <si>
    <t>YCR</t>
  </si>
  <si>
    <t>MAERS</t>
  </si>
  <si>
    <t>Ganesh IV</t>
  </si>
  <si>
    <t>CNO</t>
  </si>
  <si>
    <t>Corintians</t>
  </si>
  <si>
    <t>Cacique</t>
  </si>
  <si>
    <t>blue</t>
  </si>
  <si>
    <t>Homero</t>
  </si>
  <si>
    <t>CNAs</t>
  </si>
  <si>
    <t>Zaratoka</t>
  </si>
  <si>
    <t>Spinetta</t>
  </si>
  <si>
    <t>CVSI CNSE</t>
  </si>
  <si>
    <t>Macarena</t>
  </si>
  <si>
    <t>DAI !</t>
  </si>
  <si>
    <t>04</t>
  </si>
  <si>
    <t>03</t>
  </si>
  <si>
    <t>Whisky</t>
  </si>
  <si>
    <t>Indicado</t>
  </si>
  <si>
    <t>CVR</t>
  </si>
  <si>
    <t>HATTAN</t>
  </si>
  <si>
    <t>Litle ítalo</t>
  </si>
  <si>
    <t>YCA CNO</t>
  </si>
  <si>
    <t>El Sexy</t>
  </si>
  <si>
    <t>YCA-CNO</t>
  </si>
  <si>
    <t>salsadesetas</t>
  </si>
  <si>
    <t xml:space="preserve">Máster </t>
  </si>
  <si>
    <t>Sexagenario</t>
  </si>
  <si>
    <t>U30</t>
  </si>
  <si>
    <t>ERAUFDUOCS</t>
  </si>
  <si>
    <t>Charly Whisky</t>
  </si>
  <si>
    <t>CNSE</t>
  </si>
  <si>
    <t>Master</t>
  </si>
  <si>
    <t>NTA</t>
  </si>
  <si>
    <t>sn</t>
  </si>
  <si>
    <t>CNO/CNGSM</t>
  </si>
  <si>
    <t>Mixto</t>
  </si>
  <si>
    <t>ES DE ELLA</t>
  </si>
  <si>
    <t>SILVINA OTADO</t>
  </si>
  <si>
    <t xml:space="preserve">Little italo </t>
  </si>
  <si>
    <t>TOMAS FIORITI</t>
  </si>
  <si>
    <t>Grand Master</t>
  </si>
  <si>
    <t>YCO</t>
  </si>
  <si>
    <t>CRLP</t>
  </si>
  <si>
    <t>Timonel</t>
  </si>
  <si>
    <t>JUAN PABLO PERCOSSI</t>
  </si>
  <si>
    <t xml:space="preserve">CHANI GONZÁLEZ OTHARAN </t>
  </si>
  <si>
    <t>MARTIN COSTA</t>
  </si>
  <si>
    <t>LATOUR</t>
  </si>
  <si>
    <t>NASIM IUSEF</t>
  </si>
  <si>
    <t>NICOLÁS ROSAS</t>
  </si>
  <si>
    <t>JULIAN GASARI</t>
  </si>
  <si>
    <t>VALENTIN QUEIREL</t>
  </si>
  <si>
    <t>FELIPE CAIVANO</t>
  </si>
  <si>
    <t>FEDE CALEGARI</t>
  </si>
  <si>
    <t>MARIANO CAMBON</t>
  </si>
  <si>
    <t>MARTIN FERRERO</t>
  </si>
  <si>
    <t>FABIAN MAC GOWAN</t>
  </si>
  <si>
    <t>ERICH MONES</t>
  </si>
  <si>
    <t>FERNANDO QUEIREL</t>
  </si>
  <si>
    <t>FABIO SCARPATI</t>
  </si>
  <si>
    <t xml:space="preserve">GERARDO DELLA TORRE </t>
  </si>
  <si>
    <t>JUAN MARTIN LOCATELLI</t>
  </si>
  <si>
    <t>GUILLERMO BELLINOTTO</t>
  </si>
  <si>
    <t>ADOLFO HÉCTOR BENAVIDEZ RUIZ</t>
  </si>
  <si>
    <t>FRANCISCO CAMPERO</t>
  </si>
  <si>
    <t>GUSTAVO CAPUSOTTO</t>
  </si>
  <si>
    <t>PAULO M. COSENTINO</t>
  </si>
  <si>
    <t>OSCAR DAGNINO</t>
  </si>
  <si>
    <t>FERNANDO   GWOZDZ</t>
  </si>
  <si>
    <t>CARLOS  LACCHINI</t>
  </si>
  <si>
    <t>JOSÉ LOVIGNÉ</t>
  </si>
  <si>
    <t>CRISTIAN PAGLINI</t>
  </si>
  <si>
    <t>SERGIO PENDOLA</t>
  </si>
  <si>
    <t>MATIAS  PEREIRA</t>
  </si>
  <si>
    <t>JUANI PEREYRA</t>
  </si>
  <si>
    <t>IGNACIO RUIZ MORENO</t>
  </si>
  <si>
    <t>FEDERICO SANCHEZ</t>
  </si>
  <si>
    <t>ALEJANDRO SESSAREGO</t>
  </si>
  <si>
    <t>MARIANO TAVELLI</t>
  </si>
  <si>
    <t>MARIANO VICTORY</t>
  </si>
  <si>
    <t>MAXIMO VIDELA</t>
  </si>
  <si>
    <t>CRISTIAN  VOGT</t>
  </si>
  <si>
    <t>MARCOS  LEWIS</t>
  </si>
  <si>
    <t>CNO - CNGSM</t>
  </si>
  <si>
    <t>MARCOS LEWIS &amp; SANTIAGO DUNCAN &amp; FACUNDO CAMPAZA &amp; ELIAS DALLI &amp; IGOR</t>
  </si>
  <si>
    <t>Tripulantes</t>
  </si>
  <si>
    <t>GRINGO PUEYRREDON &amp; ALFONSO CAMPOS &amp; NICOLAS CUBRIA</t>
  </si>
  <si>
    <t xml:space="preserve">LUCAS MISPIASEGUI &amp; GUIDO POTENZA  &amp; TOMAS PAGLINI </t>
  </si>
  <si>
    <t>JUAN PABLO FREGONESE &amp; ANDRES DOMATO &amp; RAUL VIOLA</t>
  </si>
  <si>
    <t>JAVIER LOPEZ &amp; KARINA FILQUENSTEIN &amp; SANTIAGO VODANOVICH</t>
  </si>
  <si>
    <t>JOHN LAKE &amp;  &amp; CHAVO &amp; NINIO</t>
  </si>
  <si>
    <t>PABLO GIANNAVOLA  &amp; PABLO PIÑEYRO  &amp; ANABELLA DAGNINO</t>
  </si>
  <si>
    <t>BEEB BEEP  &amp; FEDERICO TRAVASIO  &amp; PIRU DI BERNARDO  &amp; MANUEL  GONZALEZ VIDAL</t>
  </si>
  <si>
    <t>JUANI QUEIREL &amp; ANA JULIA LACCHINI &amp; LIHUEL GOMEZ LACCHINI &amp; ULISES GOMEZ LACCHINI</t>
  </si>
  <si>
    <t>FEDERICO COLELLA &amp; DANTE CITTADINI &amp; SEGUNDO GARCIA</t>
  </si>
  <si>
    <t>CURA RAMIRO &amp; ALVARO ACEVEDO &amp; MATIAS DIETRICH</t>
  </si>
  <si>
    <t>JUAN LUPO &amp; DIEGO BELLI &amp; AGUSTIN CRISTIANO</t>
  </si>
  <si>
    <t>FERNANDO CASANELLO &amp; EMILIANO HOMPS &amp; EDGARDO LOZANO</t>
  </si>
  <si>
    <t>PEPE BETTINI &amp; FEDE CALABRESE</t>
  </si>
  <si>
    <t>NICOLAS GUILLE &amp; ALEJANDRO JUAN DE PAZ &amp; EZEQUIEL NAVARI</t>
  </si>
  <si>
    <t>FEDERICO SÁNCHEZ &amp; GUILLERMO DE BARRIO &amp; IGNACIO BERTOLINI &amp; FERNANDO IGUERATEGUI</t>
  </si>
  <si>
    <t>ALEJANDRO SESSAREGO &amp; EZEQUIEL VESCIO &amp; CARLOS BARONE &amp; ESTEBAN AFONSO</t>
  </si>
  <si>
    <t>CARLOS AGNOLETTI &amp; ANDRÉS FOX &amp; KIKE WIEDEMAN</t>
  </si>
  <si>
    <t>MARTÍN BODAS &amp; JOSÉ IGNACIO VILLAR &amp; PEDRO CISCATO &amp; JAVIER TAVELLA</t>
  </si>
  <si>
    <t>FRANCO GREGGI &amp; SANTIAGO PALKIN &amp; JUAN CRUZ ALBAMONTE &amp; EUGENIA JASSON</t>
  </si>
  <si>
    <t>MARIO GERMAN DIAZ &amp; DIEGO BAILARDO &amp; NICOLÁS CUERDO</t>
  </si>
  <si>
    <t>Masculino</t>
  </si>
  <si>
    <t>CRCh</t>
  </si>
  <si>
    <t xml:space="preserve">Chopper </t>
  </si>
  <si>
    <t xml:space="preserve">Catalina Alfonsín </t>
  </si>
  <si>
    <t>YCCN</t>
  </si>
  <si>
    <t>OSKORRI</t>
  </si>
  <si>
    <t>Alain Pasquier</t>
  </si>
  <si>
    <t>Femenino</t>
  </si>
  <si>
    <t xml:space="preserve">Club Náutico la Ribera </t>
  </si>
  <si>
    <t>000</t>
  </si>
  <si>
    <t>Piqui</t>
  </si>
  <si>
    <t>××××××</t>
  </si>
  <si>
    <t>ESCUELA NÁUTICA PROVINCIAL VIEDMA</t>
  </si>
  <si>
    <t>COCOON</t>
  </si>
  <si>
    <t>LUCRECIA OSÁN</t>
  </si>
  <si>
    <t>YCE</t>
  </si>
  <si>
    <t>Otro falso contacto</t>
  </si>
  <si>
    <t>Juan Sebastian Marco</t>
  </si>
  <si>
    <t>CRCH</t>
  </si>
  <si>
    <t>Santa Maradona</t>
  </si>
  <si>
    <t xml:space="preserve">Ramón Fernández </t>
  </si>
  <si>
    <t>CNBB</t>
  </si>
  <si>
    <t>Buscado</t>
  </si>
  <si>
    <t>Amaya Macarena</t>
  </si>
  <si>
    <t>EPAMINONDA</t>
  </si>
  <si>
    <t>Ana María Acevedo</t>
  </si>
  <si>
    <t>LUQUEADO</t>
  </si>
  <si>
    <t>LUCRECIA INES DIAZ</t>
  </si>
  <si>
    <t>CPNLB</t>
  </si>
  <si>
    <t>TORMENTA</t>
  </si>
  <si>
    <t xml:space="preserve">Sebastian Lutteral </t>
  </si>
  <si>
    <t xml:space="preserve">Pampero </t>
  </si>
  <si>
    <t xml:space="preserve">Poseidon </t>
  </si>
  <si>
    <t xml:space="preserve">Guevara Federico </t>
  </si>
  <si>
    <t>CPCNB</t>
  </si>
  <si>
    <t>Silver Star II</t>
  </si>
  <si>
    <t>Mariana Seminara</t>
  </si>
  <si>
    <t xml:space="preserve">CRCH </t>
  </si>
  <si>
    <t>Dory</t>
  </si>
  <si>
    <t xml:space="preserve">Mateo Sanchez Viamonte </t>
  </si>
  <si>
    <t xml:space="preserve">CNLR </t>
  </si>
  <si>
    <t xml:space="preserve">INDIO </t>
  </si>
  <si>
    <t>Juan Ruf</t>
  </si>
  <si>
    <t>NÓMADE</t>
  </si>
  <si>
    <t>Victoria Abril Sastre</t>
  </si>
  <si>
    <t xml:space="preserve">CNAZ </t>
  </si>
  <si>
    <t xml:space="preserve">ALKA </t>
  </si>
  <si>
    <t>Ricardo Diego Claverie</t>
  </si>
  <si>
    <t>Tripulante</t>
  </si>
  <si>
    <t>FERNANDO ESQUIVO</t>
  </si>
  <si>
    <t>MARTÍN ALEJO FERNANDEZ</t>
  </si>
  <si>
    <t>RAUL LACCHINI</t>
  </si>
  <si>
    <t>CARLOS GERARDO LUQUE</t>
  </si>
  <si>
    <t>RUBEN MOSCATELLI</t>
  </si>
  <si>
    <t>MAXIMILIANO SASTRE</t>
  </si>
  <si>
    <t xml:space="preserve">LISANDRO ALFONSÍN </t>
  </si>
  <si>
    <t xml:space="preserve">MARIANO ANTONINI </t>
  </si>
  <si>
    <t xml:space="preserve">MÓNICA PILAR ARJONA </t>
  </si>
  <si>
    <t>MARCELO CHIRICO</t>
  </si>
  <si>
    <t xml:space="preserve">FEDERICO GONZÁLEZ </t>
  </si>
  <si>
    <t xml:space="preserve">PATRICIO LUTTERAL </t>
  </si>
  <si>
    <t xml:space="preserve">DAVID ORLANDO MANCINI </t>
  </si>
  <si>
    <t xml:space="preserve">GUSTAVO NOVELLA </t>
  </si>
  <si>
    <t xml:space="preserve">GASTÓN PAMER </t>
  </si>
  <si>
    <t xml:space="preserve">LEO SEMENZATO </t>
  </si>
  <si>
    <t>Antares</t>
  </si>
  <si>
    <t>Nadine</t>
  </si>
  <si>
    <t>CUBA</t>
  </si>
  <si>
    <t xml:space="preserve">URUNDAY </t>
  </si>
  <si>
    <t>MI VIEJO</t>
  </si>
  <si>
    <t>CRIOLLO</t>
  </si>
  <si>
    <t>BANANA</t>
  </si>
  <si>
    <t>Lince</t>
  </si>
  <si>
    <t>Coya</t>
  </si>
  <si>
    <t>PETERIBI</t>
  </si>
  <si>
    <t>CNBD</t>
  </si>
  <si>
    <t xml:space="preserve">VERENA ZAGNI &amp; ROBERTO RICOVERI </t>
  </si>
  <si>
    <t>ALEJANDRO CHERRO &amp; FABIÁN VINCIGUERRA</t>
  </si>
  <si>
    <t>CASTRO JULIAN &amp; BONORINO SERGIO</t>
  </si>
  <si>
    <t>FERNANDO RIZZO &amp; IGNACIO STELLA</t>
  </si>
  <si>
    <t>CAROLINA GALUCCI &amp; CLAUDIA TAMAYO</t>
  </si>
  <si>
    <t>JORGE SAMITIER &amp; PABLO NOCETI</t>
  </si>
  <si>
    <t>JAIME BEJARANO &amp; VERENA ZAGNI</t>
  </si>
  <si>
    <t>GERARDO DELLA TORRE &amp; NICOLÁS DONO</t>
  </si>
  <si>
    <t xml:space="preserve">JAIME  BEJARANO </t>
  </si>
  <si>
    <t>CATALINA CHERRO</t>
  </si>
  <si>
    <t xml:space="preserve">LISANDRO  GARCÍA </t>
  </si>
  <si>
    <t>HORACIO  MAFFEI</t>
  </si>
  <si>
    <t>IRENE MEZZALUNA</t>
  </si>
  <si>
    <t xml:space="preserve">EMILIO MÖNCH </t>
  </si>
  <si>
    <t xml:space="preserve">EDUARDO  RIANCHO </t>
  </si>
  <si>
    <t>ROBERTO RICOVERI</t>
  </si>
  <si>
    <t>ROBERTO ZULLI</t>
  </si>
  <si>
    <t>ANDRES GRASSO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</si>
</sst>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dd/mm/yyyy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8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9"/>
      <color theme="1"/>
      <name val="Arial"/>
      <scheme val="minor"/>
    </font>
    <font>
      <sz val="10"/>
      <color theme="1"/>
      <name val="Arial"/>
    </font>
    <font>
      <sz val="9"/>
      <color theme="1"/>
      <name val="Arial"/>
    </font>
    <font>
      <sz val="18"/>
      <color theme="1"/>
      <name val="Arial"/>
      <scheme val="minor"/>
    </font>
    <font>
      <b/>
      <sz val="11"/>
      <color theme="1"/>
      <name val="Arial"/>
      <scheme val="minor"/>
    </font>
    <font>
      <b/>
      <i/>
      <sz val="12"/>
      <color theme="1"/>
      <name val="Arial"/>
      <scheme val="minor"/>
    </font>
    <font>
      <b/>
      <sz val="12"/>
      <color theme="1"/>
      <name val="Arial"/>
      <scheme val="minor"/>
    </font>
    <font>
      <sz val="8"/>
      <color theme="1"/>
      <name val="Arial"/>
      <scheme val="minor"/>
    </font>
    <font>
      <sz val="9"/>
      <color rgb="FF000000"/>
      <name val="&quot;Google Sans Mono&quot;"/>
    </font>
  </fonts>
  <fills count="8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14" fontId="6" fillId="4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0" fontId="4" fillId="4" borderId="0" xfId="0" applyFont="1" applyFill="1"/>
    <xf numFmtId="0" fontId="4" fillId="5" borderId="0" xfId="0" applyFont="1" applyFill="1" applyAlignment="1">
      <alignment horizontal="center"/>
    </xf>
    <xf numFmtId="164" fontId="6" fillId="6" borderId="0" xfId="0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4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left"/>
    </xf>
    <xf numFmtId="0" fontId="4" fillId="6" borderId="0" xfId="0" applyFont="1" applyFill="1"/>
    <xf numFmtId="0" fontId="4" fillId="7" borderId="0" xfId="0" applyFont="1" applyFill="1" applyAlignment="1">
      <alignment horizontal="center"/>
    </xf>
    <xf numFmtId="164" fontId="6" fillId="4" borderId="0" xfId="0" applyNumberFormat="1" applyFont="1" applyFill="1"/>
    <xf numFmtId="0" fontId="4" fillId="4" borderId="0" xfId="0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14" fontId="6" fillId="6" borderId="0" xfId="0" applyNumberFormat="1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6" fillId="6" borderId="1" xfId="0" applyFont="1" applyFill="1" applyBorder="1"/>
    <xf numFmtId="0" fontId="6" fillId="4" borderId="1" xfId="0" applyFont="1" applyFill="1" applyBorder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165" fontId="1" fillId="0" borderId="0" xfId="0" applyNumberFormat="1" applyFont="1"/>
    <xf numFmtId="0" fontId="8" fillId="2" borderId="0" xfId="0" applyFont="1" applyFill="1"/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vertical="center"/>
    </xf>
    <xf numFmtId="164" fontId="12" fillId="0" borderId="2" xfId="0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164" fontId="12" fillId="0" borderId="0" xfId="0" applyNumberFormat="1" applyFont="1"/>
    <xf numFmtId="164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64" fontId="1" fillId="0" borderId="3" xfId="0" applyNumberFormat="1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/>
    <xf numFmtId="0" fontId="1" fillId="0" borderId="3" xfId="0" applyFont="1" applyBorder="1"/>
    <xf numFmtId="0" fontId="3" fillId="0" borderId="2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13" fillId="6" borderId="0" xfId="0" applyFont="1" applyFill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5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3" fillId="0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56"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General-style" pivot="0" count="3" xr9:uid="{00000000-0011-0000-FFFF-FFFF00000000}">
      <tableStyleElement type="headerRow" dxfId="55"/>
      <tableStyleElement type="firstRowStripe" dxfId="54"/>
      <tableStyleElement type="secondRowStripe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1038225" cy="9239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B5:AB21" headerRowCount="0">
  <tableColumns count="1">
    <tableColumn id="1" xr3:uid="{00000000-0010-0000-0000-000001000000}" name="Column1"/>
  </tableColumns>
  <tableStyleInfo name="Genera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G492"/>
  <sheetViews>
    <sheetView showGridLines="0" topLeftCell="AU1" workbookViewId="0">
      <pane ySplit="2" topLeftCell="A5" activePane="bottomLeft" state="frozen"/>
      <selection pane="bottomLeft" activeCell="AW13" sqref="AW13"/>
    </sheetView>
  </sheetViews>
  <sheetFormatPr defaultColWidth="12.6640625" defaultRowHeight="15.75" customHeight="1"/>
  <cols>
    <col min="1" max="2" width="15.109375" customWidth="1"/>
    <col min="3" max="3" width="13.77734375" customWidth="1"/>
    <col min="4" max="4" width="14.109375" customWidth="1"/>
    <col min="5" max="5" width="4.6640625" customWidth="1"/>
    <col min="6" max="6" width="11.6640625" hidden="1" customWidth="1"/>
    <col min="7" max="7" width="4.6640625" hidden="1" customWidth="1"/>
    <col min="8" max="8" width="18" hidden="1" customWidth="1"/>
    <col min="9" max="9" width="23.33203125" hidden="1" customWidth="1"/>
    <col min="10" max="10" width="20.21875" hidden="1" customWidth="1"/>
    <col min="11" max="11" width="8.44140625" customWidth="1"/>
    <col min="12" max="12" width="6.44140625" customWidth="1"/>
    <col min="13" max="13" width="22.21875" customWidth="1"/>
    <col min="14" max="14" width="21" customWidth="1"/>
    <col min="15" max="15" width="6.77734375" customWidth="1"/>
    <col min="16" max="16" width="7.44140625" customWidth="1"/>
    <col min="17" max="17" width="14.33203125" hidden="1" customWidth="1"/>
    <col min="18" max="18" width="10.88671875" hidden="1" customWidth="1"/>
    <col min="19" max="19" width="11.109375" hidden="1" customWidth="1"/>
    <col min="20" max="20" width="12.21875" hidden="1" customWidth="1"/>
    <col min="21" max="22" width="9.77734375" hidden="1" customWidth="1"/>
    <col min="23" max="23" width="10.33203125" hidden="1" customWidth="1"/>
    <col min="24" max="24" width="9.77734375" hidden="1" customWidth="1"/>
    <col min="25" max="25" width="7.109375" customWidth="1"/>
    <col min="26" max="26" width="11.21875" hidden="1" customWidth="1"/>
    <col min="27" max="27" width="10.44140625" customWidth="1"/>
    <col min="28" max="28" width="11.6640625" hidden="1" customWidth="1"/>
    <col min="29" max="29" width="10.33203125" hidden="1" customWidth="1"/>
    <col min="30" max="30" width="10.44140625" hidden="1" customWidth="1"/>
    <col min="31" max="31" width="11.6640625" customWidth="1"/>
    <col min="32" max="32" width="9.77734375" customWidth="1"/>
    <col min="33" max="33" width="10.88671875" hidden="1" customWidth="1"/>
  </cols>
  <sheetData>
    <row r="1" spans="1:33" ht="75" customHeight="1">
      <c r="A1" s="1"/>
      <c r="B1" s="98" t="s">
        <v>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2" t="str">
        <f ca="1">"Inscriptos: "&amp;COUNTA(A5:A600)</f>
        <v>Inscriptos: 354</v>
      </c>
      <c r="O1" s="3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4"/>
      <c r="AC1" s="4"/>
      <c r="AD1" s="6"/>
      <c r="AE1" s="6"/>
    </row>
    <row r="2" spans="1:33" ht="39.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8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9" t="s">
        <v>32</v>
      </c>
    </row>
    <row r="3" spans="1:33" ht="13.2" hidden="1">
      <c r="A3" s="10">
        <f ca="1">IFERROR(__xludf.DUMMYFUNCTION("importrange(""https://docs.google.com/spreadsheets/d/17JC4a6mmJJepEIYsjpPEn5KMKxP1zSwbmbb0DJ9GEfo/edit?usp=sharing"",""Rtas!a2:Af600"")"),45513.7932882638)</f>
        <v>45513.793288263798</v>
      </c>
      <c r="B3" s="11" t="str">
        <f ca="1">IFERROR(__xludf.DUMMYFUNCTION("""COMPUTED_VALUE"""),"Rodrigo ")</f>
        <v xml:space="preserve">Rodrigo </v>
      </c>
      <c r="C3" s="11" t="str">
        <f ca="1">IFERROR(__xludf.DUMMYFUNCTION("""COMPUTED_VALUE"""),"Magnano")</f>
        <v>Magnano</v>
      </c>
      <c r="D3" s="11" t="str">
        <f ca="1">IFERROR(__xludf.DUMMYFUNCTION("""COMPUTED_VALUE"""),"CABA")</f>
        <v>CABA</v>
      </c>
      <c r="E3" s="12" t="str">
        <f ca="1">IFERROR(__xludf.DUMMYFUNCTION("""COMPUTED_VALUE"""),"ARG")</f>
        <v>ARG</v>
      </c>
      <c r="F3" s="12">
        <f ca="1">IFERROR(__xludf.DUMMYFUNCTION("""COMPUTED_VALUE"""),40238928)</f>
        <v>40238928</v>
      </c>
      <c r="G3" s="13">
        <f ca="1">IFERROR(__xludf.DUMMYFUNCTION("""COMPUTED_VALUE"""),35513)</f>
        <v>35513</v>
      </c>
      <c r="H3" s="14">
        <f ca="1">IFERROR(__xludf.DUMMYFUNCTION("""COMPUTED_VALUE"""),1169150321)</f>
        <v>1169150321</v>
      </c>
      <c r="I3" s="14"/>
      <c r="J3" s="11" t="str">
        <f ca="1">IFERROR(__xludf.DUMMYFUNCTION("""COMPUTED_VALUE"""),"rodrigomagnano@hotmail.com")</f>
        <v>rodrigomagnano@hotmail.com</v>
      </c>
      <c r="K3" s="11" t="str">
        <f ca="1">IFERROR(__xludf.DUMMYFUNCTION("""COMPUTED_VALUE"""),"Masculino")</f>
        <v>Masculino</v>
      </c>
      <c r="L3" s="15" t="str">
        <f ca="1">IFERROR(__xludf.DUMMYFUNCTION("""COMPUTED_VALUE"""),"YCO")</f>
        <v>YCO</v>
      </c>
      <c r="M3" s="11" t="str">
        <f ca="1">IFERROR(__xludf.DUMMYFUNCTION("""COMPUTED_VALUE"""),"Ilca")</f>
        <v>Ilca</v>
      </c>
      <c r="N3" s="12" t="str">
        <f ca="1">IFERROR(__xludf.DUMMYFUNCTION("""COMPUTED_VALUE"""),"ILCA 7")</f>
        <v>ILCA 7</v>
      </c>
      <c r="O3" s="12"/>
      <c r="P3" s="12">
        <f ca="1">IFERROR(__xludf.DUMMYFUNCTION("""COMPUTED_VALUE"""),164124)</f>
        <v>164124</v>
      </c>
      <c r="Q3" s="11" t="str">
        <f ca="1">IFERROR(__xludf.DUMMYFUNCTION("""COMPUTED_VALUE"""),"Playboy")</f>
        <v>Playboy</v>
      </c>
      <c r="R3" s="11"/>
      <c r="S3" s="11"/>
      <c r="T3" s="11"/>
      <c r="U3" s="11"/>
      <c r="V3" s="11"/>
      <c r="W3" s="11"/>
      <c r="X3" s="16" t="str">
        <f ca="1">IFERROR(__xludf.DUMMYFUNCTION("""COMPUTED_VALUE"""),"HI")</f>
        <v>HI</v>
      </c>
      <c r="Y3" s="16" t="str">
        <f ca="1">IFERROR(__xludf.DUMMYFUNCTION("""COMPUTED_VALUE"""),"Si")</f>
        <v>Si</v>
      </c>
      <c r="Z3" s="12" t="str">
        <f ca="1">IFERROR(__xludf.DUMMYFUNCTION("""COMPUTED_VALUE"""),"Acepto")</f>
        <v>Acepto</v>
      </c>
      <c r="AA3" s="17"/>
      <c r="AB3" s="17"/>
      <c r="AC3" s="6"/>
      <c r="AD3" s="6"/>
      <c r="AE3" s="6"/>
      <c r="AF3" s="12"/>
      <c r="AG3" s="15"/>
    </row>
    <row r="4" spans="1:33" ht="13.2" hidden="1">
      <c r="A4" s="18">
        <f ca="1">IFERROR(__xludf.DUMMYFUNCTION("""COMPUTED_VALUE"""),45514.6858619213)</f>
        <v>45514.685861921302</v>
      </c>
      <c r="B4" s="19" t="str">
        <f ca="1">IFERROR(__xludf.DUMMYFUNCTION("""COMPUTED_VALUE"""),"Monica")</f>
        <v>Monica</v>
      </c>
      <c r="C4" s="19" t="str">
        <f ca="1">IFERROR(__xludf.DUMMYFUNCTION("""COMPUTED_VALUE"""),"Schort")</f>
        <v>Schort</v>
      </c>
      <c r="D4" s="19" t="str">
        <f ca="1">IFERROR(__xludf.DUMMYFUNCTION("""COMPUTED_VALUE"""),"MG")</f>
        <v>MG</v>
      </c>
      <c r="E4" s="20" t="str">
        <f ca="1">IFERROR(__xludf.DUMMYFUNCTION("""COMPUTED_VALUE"""),"ARG")</f>
        <v>ARG</v>
      </c>
      <c r="F4" s="20">
        <f ca="1">IFERROR(__xludf.DUMMYFUNCTION("""COMPUTED_VALUE"""),20755839)</f>
        <v>20755839</v>
      </c>
      <c r="G4" s="21">
        <f ca="1">IFERROR(__xludf.DUMMYFUNCTION("""COMPUTED_VALUE"""),25323)</f>
        <v>25323</v>
      </c>
      <c r="H4" s="20">
        <f ca="1">IFERROR(__xludf.DUMMYFUNCTION("""COMPUTED_VALUE"""),1150494200)</f>
        <v>1150494200</v>
      </c>
      <c r="I4" s="20">
        <f ca="1">IFERROR(__xludf.DUMMYFUNCTION("""COMPUTED_VALUE"""),1156927470)</f>
        <v>1156927470</v>
      </c>
      <c r="J4" s="20" t="str">
        <f ca="1">IFERROR(__xludf.DUMMYFUNCTION("""COMPUTED_VALUE"""),"monicaschort@gmail.com")</f>
        <v>monicaschort@gmail.com</v>
      </c>
      <c r="K4" s="20" t="str">
        <f ca="1">IFERROR(__xludf.DUMMYFUNCTION("""COMPUTED_VALUE"""),"Femenino")</f>
        <v>Femenino</v>
      </c>
      <c r="L4" s="22" t="str">
        <f ca="1">IFERROR(__xludf.DUMMYFUNCTION("""COMPUTED_VALUE"""),"YCO")</f>
        <v>YCO</v>
      </c>
      <c r="M4" s="19" t="str">
        <f ca="1">IFERROR(__xludf.DUMMYFUNCTION("""COMPUTED_VALUE"""),"Femenino, Interior (Optimist), Master (ILCA)")</f>
        <v>Femenino, Interior (Optimist), Master (ILCA)</v>
      </c>
      <c r="N4" s="20" t="str">
        <f ca="1">IFERROR(__xludf.DUMMYFUNCTION("""COMPUTED_VALUE"""),"ILCA 6, SNIPE, GRUMETE")</f>
        <v>ILCA 6, SNIPE, GRUMETE</v>
      </c>
      <c r="O4" s="20"/>
      <c r="P4" s="20">
        <f ca="1">IFERROR(__xludf.DUMMYFUNCTION("""COMPUTED_VALUE"""),400)</f>
        <v>400</v>
      </c>
      <c r="Q4" s="19" t="str">
        <f ca="1">IFERROR(__xludf.DUMMYFUNCTION("""COMPUTED_VALUE"""),"NIRVANA")</f>
        <v>NIRVANA</v>
      </c>
      <c r="R4" s="19" t="str">
        <f ca="1">IFERROR(__xludf.DUMMYFUNCTION("""COMPUTED_VALUE"""),"MATIAS ARENA")</f>
        <v>MATIAS ARENA</v>
      </c>
      <c r="S4" s="19">
        <f ca="1">IFERROR(__xludf.DUMMYFUNCTION("""COMPUTED_VALUE"""),2)</f>
        <v>2</v>
      </c>
      <c r="T4" s="19">
        <f ca="1">IFERROR(__xludf.DUMMYFUNCTION("""COMPUTED_VALUE"""),3)</f>
        <v>3</v>
      </c>
      <c r="U4" s="19">
        <f ca="1">IFERROR(__xludf.DUMMYFUNCTION("""COMPUTED_VALUE"""),4)</f>
        <v>4</v>
      </c>
      <c r="V4" s="19">
        <f ca="1">IFERROR(__xludf.DUMMYFUNCTION("""COMPUTED_VALUE"""),5)</f>
        <v>5</v>
      </c>
      <c r="W4" s="19">
        <f ca="1">IFERROR(__xludf.DUMMYFUNCTION("""COMPUTED_VALUE"""),6)</f>
        <v>6</v>
      </c>
      <c r="X4" s="23">
        <f ca="1">IFERROR(__xludf.DUMMYFUNCTION("""COMPUTED_VALUE"""),2075583900)</f>
        <v>2075583900</v>
      </c>
      <c r="Y4" s="20" t="str">
        <f ca="1">IFERROR(__xludf.DUMMYFUNCTION("""COMPUTED_VALUE"""),"Si")</f>
        <v>Si</v>
      </c>
      <c r="Z4" s="20" t="str">
        <f ca="1">IFERROR(__xludf.DUMMYFUNCTION("""COMPUTED_VALUE"""),"Acepto")</f>
        <v>Acepto</v>
      </c>
      <c r="AA4" s="24"/>
      <c r="AB4" s="24"/>
      <c r="AC4" s="6"/>
      <c r="AD4" s="6"/>
      <c r="AE4" s="6"/>
      <c r="AF4" s="20"/>
      <c r="AG4" s="22"/>
    </row>
    <row r="5" spans="1:33" ht="13.2">
      <c r="A5" s="25">
        <f ca="1">IFERROR(__xludf.DUMMYFUNCTION("""COMPUTED_VALUE"""),45539.8082600347)</f>
        <v>45539.808260034697</v>
      </c>
      <c r="B5" s="11" t="str">
        <f ca="1">IFERROR(__xludf.DUMMYFUNCTION("""COMPUTED_VALUE"""),"Andres")</f>
        <v>Andres</v>
      </c>
      <c r="C5" s="11" t="str">
        <f ca="1">IFERROR(__xludf.DUMMYFUNCTION("""COMPUTED_VALUE"""),"Marcone")</f>
        <v>Marcone</v>
      </c>
      <c r="D5" s="11" t="str">
        <f ca="1">IFERROR(__xludf.DUMMYFUNCTION("""COMPUTED_VALUE"""),"CABA")</f>
        <v>CABA</v>
      </c>
      <c r="E5" s="12" t="str">
        <f ca="1">IFERROR(__xludf.DUMMYFUNCTION("""COMPUTED_VALUE"""),"ARG")</f>
        <v>ARG</v>
      </c>
      <c r="F5" s="12">
        <f ca="1">IFERROR(__xludf.DUMMYFUNCTION("""COMPUTED_VALUE"""),26938199)</f>
        <v>26938199</v>
      </c>
      <c r="G5" s="13">
        <f ca="1">IFERROR(__xludf.DUMMYFUNCTION("""COMPUTED_VALUE"""),28816)</f>
        <v>28816</v>
      </c>
      <c r="H5" s="11">
        <f ca="1">IFERROR(__xludf.DUMMYFUNCTION("""COMPUTED_VALUE"""),50974625)</f>
        <v>50974625</v>
      </c>
      <c r="I5" s="11">
        <f ca="1">IFERROR(__xludf.DUMMYFUNCTION("""COMPUTED_VALUE"""),24621595)</f>
        <v>24621595</v>
      </c>
      <c r="J5" s="11" t="str">
        <f ca="1">IFERROR(__xludf.DUMMYFUNCTION("""COMPUTED_VALUE"""),"marconeandres@hotmail.com")</f>
        <v>marconeandres@hotmail.com</v>
      </c>
      <c r="K5" s="11" t="str">
        <f ca="1">IFERROR(__xludf.DUMMYFUNCTION("""COMPUTED_VALUE"""),"Masculino")</f>
        <v>Masculino</v>
      </c>
      <c r="L5" s="15" t="str">
        <f ca="1">IFERROR(__xludf.DUMMYFUNCTION("""COMPUTED_VALUE"""),"YCA-CNO")</f>
        <v>YCA-CNO</v>
      </c>
      <c r="M5" s="11" t="str">
        <f ca="1">IFERROR(__xludf.DUMMYFUNCTION("""COMPUTED_VALUE"""),"Snipe")</f>
        <v>Snipe</v>
      </c>
      <c r="N5" s="12" t="str">
        <f ca="1">IFERROR(__xludf.DUMMYFUNCTION("""COMPUTED_VALUE"""),"SNIPE")</f>
        <v>SNIPE</v>
      </c>
      <c r="O5" s="12"/>
      <c r="P5" s="12">
        <f ca="1">IFERROR(__xludf.DUMMYFUNCTION("""COMPUTED_VALUE"""),31421)</f>
        <v>31421</v>
      </c>
      <c r="Q5" s="11"/>
      <c r="R5" s="11" t="str">
        <f ca="1">IFERROR(__xludf.DUMMYFUNCTION("""COMPUTED_VALUE"""),"Lucas Luzzi")</f>
        <v>Lucas Luzzi</v>
      </c>
      <c r="S5" s="11"/>
      <c r="T5" s="11"/>
      <c r="U5" s="11"/>
      <c r="V5" s="11"/>
      <c r="W5" s="11"/>
      <c r="X5" s="16"/>
      <c r="Y5" s="12" t="str">
        <f ca="1">IFERROR(__xludf.DUMMYFUNCTION("""COMPUTED_VALUE"""),"No")</f>
        <v>No</v>
      </c>
      <c r="Z5" s="12" t="str">
        <f ca="1">IFERROR(__xludf.DUMMYFUNCTION("""COMPUTED_VALUE"""),"Acepto")</f>
        <v>Acepto</v>
      </c>
      <c r="AA5" s="26" t="str">
        <f ca="1">IFERROR(__xludf.DUMMYFUNCTION("""COMPUTED_VALUE"""),"Terminado")</f>
        <v>Terminado</v>
      </c>
      <c r="AB5" s="26">
        <f ca="1">IFERROR(__xludf.DUMMYFUNCTION("""COMPUTED_VALUE"""),60000)</f>
        <v>60000</v>
      </c>
      <c r="AC5" s="12">
        <f ca="1">IFERROR(__xludf.DUMMYFUNCTION("""COMPUTED_VALUE"""),205445)</f>
        <v>205445</v>
      </c>
      <c r="AD5" s="12" t="str">
        <f ca="1">IFERROR(__xludf.DUMMYFUNCTION("""COMPUTED_VALUE"""),"TRF 04-09")</f>
        <v>TRF 04-09</v>
      </c>
      <c r="AE5" s="12"/>
      <c r="AF5" s="20"/>
      <c r="AG5" s="22"/>
    </row>
    <row r="6" spans="1:33" ht="13.2">
      <c r="A6" s="18">
        <f ca="1">IFERROR(__xludf.DUMMYFUNCTION("""COMPUTED_VALUE"""),45536.8449853819)</f>
        <v>45536.844985381897</v>
      </c>
      <c r="B6" s="19" t="str">
        <f ca="1">IFERROR(__xludf.DUMMYFUNCTION("""COMPUTED_VALUE"""),"Alejo")</f>
        <v>Alejo</v>
      </c>
      <c r="C6" s="19" t="str">
        <f ca="1">IFERROR(__xludf.DUMMYFUNCTION("""COMPUTED_VALUE"""),"Acosta")</f>
        <v>Acosta</v>
      </c>
      <c r="D6" s="19" t="str">
        <f ca="1">IFERROR(__xludf.DUMMYFUNCTION("""COMPUTED_VALUE"""),"San Isidro")</f>
        <v>San Isidro</v>
      </c>
      <c r="E6" s="20" t="str">
        <f ca="1">IFERROR(__xludf.DUMMYFUNCTION("""COMPUTED_VALUE"""),"ARG")</f>
        <v>ARG</v>
      </c>
      <c r="F6" s="20">
        <f ca="1">IFERROR(__xludf.DUMMYFUNCTION("""COMPUTED_VALUE"""),24237005)</f>
        <v>24237005</v>
      </c>
      <c r="G6" s="21">
        <f ca="1">IFERROR(__xludf.DUMMYFUNCTION("""COMPUTED_VALUE"""),27307)</f>
        <v>27307</v>
      </c>
      <c r="H6" s="20">
        <f ca="1">IFERROR(__xludf.DUMMYFUNCTION("""COMPUTED_VALUE"""),1154676316)</f>
        <v>1154676316</v>
      </c>
      <c r="I6" s="20"/>
      <c r="J6" s="20" t="str">
        <f ca="1">IFERROR(__xludf.DUMMYFUNCTION("""COMPUTED_VALUE"""),"alejoacos@gmail.com")</f>
        <v>alejoacos@gmail.com</v>
      </c>
      <c r="K6" s="20" t="str">
        <f ca="1">IFERROR(__xludf.DUMMYFUNCTION("""COMPUTED_VALUE"""),"Masculino")</f>
        <v>Masculino</v>
      </c>
      <c r="L6" s="22" t="str">
        <f ca="1">IFERROR(__xludf.DUMMYFUNCTION("""COMPUTED_VALUE"""),"YCO")</f>
        <v>YCO</v>
      </c>
      <c r="M6" s="19" t="str">
        <f ca="1">IFERROR(__xludf.DUMMYFUNCTION("""COMPUTED_VALUE"""),"Master (ILCA)")</f>
        <v>Master (ILCA)</v>
      </c>
      <c r="N6" s="20" t="str">
        <f ca="1">IFERROR(__xludf.DUMMYFUNCTION("""COMPUTED_VALUE"""),"ILCA 7")</f>
        <v>ILCA 7</v>
      </c>
      <c r="O6" s="20"/>
      <c r="P6" s="20">
        <f ca="1">IFERROR(__xludf.DUMMYFUNCTION("""COMPUTED_VALUE"""),3)</f>
        <v>3</v>
      </c>
      <c r="Q6" s="19"/>
      <c r="R6" s="19"/>
      <c r="S6" s="19"/>
      <c r="T6" s="19"/>
      <c r="U6" s="19"/>
      <c r="V6" s="19"/>
      <c r="W6" s="19"/>
      <c r="X6" s="23"/>
      <c r="Y6" s="20" t="str">
        <f ca="1">IFERROR(__xludf.DUMMYFUNCTION("""COMPUTED_VALUE"""),"Si")</f>
        <v>Si</v>
      </c>
      <c r="Z6" s="20" t="str">
        <f ca="1">IFERROR(__xludf.DUMMYFUNCTION("""COMPUTED_VALUE"""),"Acepto")</f>
        <v>Acepto</v>
      </c>
      <c r="AA6" s="17" t="str">
        <f ca="1">IFERROR(__xludf.DUMMYFUNCTION("""COMPUTED_VALUE"""),"Pendiente")</f>
        <v>Pendiente</v>
      </c>
      <c r="AB6" s="17"/>
      <c r="AC6" s="20"/>
      <c r="AD6" s="20"/>
      <c r="AE6" s="20"/>
      <c r="AF6" s="20"/>
      <c r="AG6" s="22"/>
    </row>
    <row r="7" spans="1:33" ht="13.2">
      <c r="A7" s="27">
        <f ca="1">IFERROR(__xludf.DUMMYFUNCTION("""COMPUTED_VALUE"""),45538.8905321064)</f>
        <v>45538.890532106401</v>
      </c>
      <c r="B7" s="11" t="str">
        <f ca="1">IFERROR(__xludf.DUMMYFUNCTION("""COMPUTED_VALUE"""),"Ines ")</f>
        <v xml:space="preserve">Ines </v>
      </c>
      <c r="C7" s="11" t="str">
        <f ca="1">IFERROR(__xludf.DUMMYFUNCTION("""COMPUTED_VALUE"""),"Adlercreutz ")</f>
        <v xml:space="preserve">Adlercreutz </v>
      </c>
      <c r="D7" s="11" t="str">
        <f ca="1">IFERROR(__xludf.DUMMYFUNCTION("""COMPUTED_VALUE"""),"CABA")</f>
        <v>CABA</v>
      </c>
      <c r="E7" s="12" t="str">
        <f ca="1">IFERROR(__xludf.DUMMYFUNCTION("""COMPUTED_VALUE"""),"ARG")</f>
        <v>ARG</v>
      </c>
      <c r="F7" s="12">
        <f ca="1">IFERROR(__xludf.DUMMYFUNCTION("""COMPUTED_VALUE"""),52454232)</f>
        <v>52454232</v>
      </c>
      <c r="G7" s="13">
        <f ca="1">IFERROR(__xludf.DUMMYFUNCTION("""COMPUTED_VALUE"""),41059)</f>
        <v>41059</v>
      </c>
      <c r="H7" s="14">
        <f ca="1">IFERROR(__xludf.DUMMYFUNCTION("""COMPUTED_VALUE"""),1130054450)</f>
        <v>1130054450</v>
      </c>
      <c r="I7" s="14">
        <f ca="1">IFERROR(__xludf.DUMMYFUNCTION("""COMPUTED_VALUE"""),1144078857)</f>
        <v>1144078857</v>
      </c>
      <c r="J7" s="11" t="str">
        <f ca="1">IFERROR(__xludf.DUMMYFUNCTION("""COMPUTED_VALUE"""),"martin@adlercreutz.org")</f>
        <v>martin@adlercreutz.org</v>
      </c>
      <c r="K7" s="11" t="str">
        <f ca="1">IFERROR(__xludf.DUMMYFUNCTION("""COMPUTED_VALUE"""),"Femenino")</f>
        <v>Femenino</v>
      </c>
      <c r="L7" s="15" t="str">
        <f ca="1">IFERROR(__xludf.DUMMYFUNCTION("""COMPUTED_VALUE"""),"CUBA")</f>
        <v>CUBA</v>
      </c>
      <c r="M7" s="11" t="str">
        <f ca="1">IFERROR(__xludf.DUMMYFUNCTION("""COMPUTED_VALUE"""),"Femenino, Sub12")</f>
        <v>Femenino, Sub12</v>
      </c>
      <c r="N7" s="12" t="str">
        <f ca="1">IFERROR(__xludf.DUMMYFUNCTION("""COMPUTED_VALUE"""),"OPTIMIST TIMONELES")</f>
        <v>OPTIMIST TIMONELES</v>
      </c>
      <c r="O7" s="12"/>
      <c r="P7" s="12">
        <f ca="1">IFERROR(__xludf.DUMMYFUNCTION("""COMPUTED_VALUE"""),3736)</f>
        <v>3736</v>
      </c>
      <c r="Q7" s="11"/>
      <c r="R7" s="11"/>
      <c r="S7" s="11"/>
      <c r="T7" s="11"/>
      <c r="U7" s="11"/>
      <c r="V7" s="11"/>
      <c r="W7" s="11"/>
      <c r="X7" s="16" t="str">
        <f ca="1">IFERROR(__xludf.DUMMYFUNCTION("""COMPUTED_VALUE"""),"Swiss Medical ")</f>
        <v xml:space="preserve">Swiss Medical </v>
      </c>
      <c r="Y7" s="12" t="str">
        <f ca="1">IFERROR(__xludf.DUMMYFUNCTION("""COMPUTED_VALUE"""),"No")</f>
        <v>No</v>
      </c>
      <c r="Z7" s="12" t="str">
        <f ca="1">IFERROR(__xludf.DUMMYFUNCTION("""COMPUTED_VALUE"""),"Acepto")</f>
        <v>Acepto</v>
      </c>
      <c r="AA7" s="17" t="str">
        <f ca="1">IFERROR(__xludf.DUMMYFUNCTION("""COMPUTED_VALUE"""),"Pendiente")</f>
        <v>Pendiente</v>
      </c>
      <c r="AB7" s="17"/>
      <c r="AC7" s="12"/>
      <c r="AD7" s="12"/>
      <c r="AE7" s="12"/>
      <c r="AF7" s="12"/>
      <c r="AG7" s="15"/>
    </row>
    <row r="8" spans="1:33" ht="13.2">
      <c r="A8" s="27">
        <f ca="1">IFERROR(__xludf.DUMMYFUNCTION("""COMPUTED_VALUE"""),45530.5040846875)</f>
        <v>45530.504084687498</v>
      </c>
      <c r="B8" s="11" t="str">
        <f ca="1">IFERROR(__xludf.DUMMYFUNCTION("""COMPUTED_VALUE"""),"Benjamín")</f>
        <v>Benjamín</v>
      </c>
      <c r="C8" s="11" t="str">
        <f ca="1">IFERROR(__xludf.DUMMYFUNCTION("""COMPUTED_VALUE"""),"Albornoz")</f>
        <v>Albornoz</v>
      </c>
      <c r="D8" s="11" t="str">
        <f ca="1">IFERROR(__xludf.DUMMYFUNCTION("""COMPUTED_VALUE"""),"CABA")</f>
        <v>CABA</v>
      </c>
      <c r="E8" s="12" t="str">
        <f ca="1">IFERROR(__xludf.DUMMYFUNCTION("""COMPUTED_VALUE"""),"ARG")</f>
        <v>ARG</v>
      </c>
      <c r="F8" s="12">
        <f ca="1">IFERROR(__xludf.DUMMYFUNCTION("""COMPUTED_VALUE"""),54184560)</f>
        <v>54184560</v>
      </c>
      <c r="G8" s="28">
        <f ca="1">IFERROR(__xludf.DUMMYFUNCTION("""COMPUTED_VALUE"""),41851)</f>
        <v>41851</v>
      </c>
      <c r="H8" s="12">
        <f ca="1">IFERROR(__xludf.DUMMYFUNCTION("""COMPUTED_VALUE"""),1167518925)</f>
        <v>1167518925</v>
      </c>
      <c r="I8" s="12">
        <f ca="1">IFERROR(__xludf.DUMMYFUNCTION("""COMPUTED_VALUE"""),1167518925)</f>
        <v>1167518925</v>
      </c>
      <c r="J8" s="12" t="str">
        <f ca="1">IFERROR(__xludf.DUMMYFUNCTION("""COMPUTED_VALUE"""),"jalbornoz@derecho.uba.ar")</f>
        <v>jalbornoz@derecho.uba.ar</v>
      </c>
      <c r="K8" s="12" t="str">
        <f ca="1">IFERROR(__xludf.DUMMYFUNCTION("""COMPUTED_VALUE"""),"Masculino")</f>
        <v>Masculino</v>
      </c>
      <c r="L8" s="15" t="str">
        <f ca="1">IFERROR(__xludf.DUMMYFUNCTION("""COMPUTED_VALUE"""),"CGLNM")</f>
        <v>CGLNM</v>
      </c>
      <c r="M8" s="11" t="str">
        <f ca="1">IFERROR(__xludf.DUMMYFUNCTION("""COMPUTED_VALUE"""),"SUB 12")</f>
        <v>SUB 12</v>
      </c>
      <c r="N8" s="12" t="str">
        <f ca="1">IFERROR(__xludf.DUMMYFUNCTION("""COMPUTED_VALUE"""),"OPTIMIST PRINCIPIANTES")</f>
        <v>OPTIMIST PRINCIPIANTES</v>
      </c>
      <c r="O8" s="12"/>
      <c r="P8" s="12">
        <f ca="1">IFERROR(__xludf.DUMMYFUNCTION("""COMPUTED_VALUE"""),3657)</f>
        <v>3657</v>
      </c>
      <c r="Q8" s="12" t="str">
        <f ca="1">IFERROR(__xludf.DUMMYFUNCTION("""COMPUTED_VALUE"""),"Popeye")</f>
        <v>Popeye</v>
      </c>
      <c r="R8" s="12"/>
      <c r="S8" s="12"/>
      <c r="T8" s="12"/>
      <c r="U8" s="12"/>
      <c r="V8" s="11"/>
      <c r="W8" s="11"/>
      <c r="X8" s="16" t="str">
        <f ca="1">IFERROR(__xludf.DUMMYFUNCTION("""COMPUTED_VALUE"""),"Poder Judicial 46400/21")</f>
        <v>Poder Judicial 46400/21</v>
      </c>
      <c r="Y8" s="12" t="str">
        <f ca="1">IFERROR(__xludf.DUMMYFUNCTION("""COMPUTED_VALUE"""),"No")</f>
        <v>No</v>
      </c>
      <c r="Z8" s="12" t="str">
        <f ca="1">IFERROR(__xludf.DUMMYFUNCTION("""COMPUTED_VALUE"""),"Acepto")</f>
        <v>Acepto</v>
      </c>
      <c r="AA8" s="24" t="str">
        <f ca="1">IFERROR(__xludf.DUMMYFUNCTION("""COMPUTED_VALUE"""),"Terminado")</f>
        <v>Terminado</v>
      </c>
      <c r="AB8" s="24">
        <f ca="1">IFERROR(__xludf.DUMMYFUNCTION("""COMPUTED_VALUE"""),60000)</f>
        <v>60000</v>
      </c>
      <c r="AC8" s="12">
        <f ca="1">IFERROR(__xludf.DUMMYFUNCTION("""COMPUTED_VALUE"""),205077)</f>
        <v>205077</v>
      </c>
      <c r="AD8" s="12" t="str">
        <f ca="1">IFERROR(__xludf.DUMMYFUNCTION("""COMPUTED_VALUE"""),"TRF29-08")</f>
        <v>TRF29-08</v>
      </c>
      <c r="AE8" s="12"/>
      <c r="AF8" s="12"/>
      <c r="AG8" s="15"/>
    </row>
    <row r="9" spans="1:33" ht="13.2">
      <c r="A9" s="29">
        <f ca="1">IFERROR(__xludf.DUMMYFUNCTION("""COMPUTED_VALUE"""),45533.7685954513)</f>
        <v>45533.7685954513</v>
      </c>
      <c r="B9" s="19" t="str">
        <f ca="1">IFERROR(__xludf.DUMMYFUNCTION("""COMPUTED_VALUE"""),"Felicitas ")</f>
        <v xml:space="preserve">Felicitas </v>
      </c>
      <c r="C9" s="19" t="str">
        <f ca="1">IFERROR(__xludf.DUMMYFUNCTION("""COMPUTED_VALUE"""),"Alcantara")</f>
        <v>Alcantara</v>
      </c>
      <c r="D9" s="19" t="str">
        <f ca="1">IFERROR(__xludf.DUMMYFUNCTION("""COMPUTED_VALUE"""),"Benavidez")</f>
        <v>Benavidez</v>
      </c>
      <c r="E9" s="20" t="str">
        <f ca="1">IFERROR(__xludf.DUMMYFUNCTION("""COMPUTED_VALUE"""),"ARG")</f>
        <v>ARG</v>
      </c>
      <c r="F9" s="20">
        <f ca="1">IFERROR(__xludf.DUMMYFUNCTION("""COMPUTED_VALUE"""),53894761)</f>
        <v>53894761</v>
      </c>
      <c r="G9" s="21">
        <f ca="1">IFERROR(__xludf.DUMMYFUNCTION("""COMPUTED_VALUE"""),41744)</f>
        <v>41744</v>
      </c>
      <c r="H9" s="20">
        <f ca="1">IFERROR(__xludf.DUMMYFUNCTION("""COMPUTED_VALUE"""),1167660999)</f>
        <v>1167660999</v>
      </c>
      <c r="I9" s="20">
        <f ca="1">IFERROR(__xludf.DUMMYFUNCTION("""COMPUTED_VALUE"""),1167660999)</f>
        <v>1167660999</v>
      </c>
      <c r="J9" s="20" t="str">
        <f ca="1">IFERROR(__xludf.DUMMYFUNCTION("""COMPUTED_VALUE"""),"Lucil4@hotmail.com")</f>
        <v>Lucil4@hotmail.com</v>
      </c>
      <c r="K9" s="20" t="str">
        <f ca="1">IFERROR(__xludf.DUMMYFUNCTION("""COMPUTED_VALUE"""),"Femenino")</f>
        <v>Femenino</v>
      </c>
      <c r="L9" s="22" t="str">
        <f ca="1">IFERROR(__xludf.DUMMYFUNCTION("""COMPUTED_VALUE"""),"YCA")</f>
        <v>YCA</v>
      </c>
      <c r="M9" s="19" t="str">
        <f ca="1">IFERROR(__xludf.DUMMYFUNCTION("""COMPUTED_VALUE"""),"Femenino")</f>
        <v>Femenino</v>
      </c>
      <c r="N9" s="20" t="str">
        <f ca="1">IFERROR(__xludf.DUMMYFUNCTION("""COMPUTED_VALUE"""),"OPTIMIST PRINCIPIANTES")</f>
        <v>OPTIMIST PRINCIPIANTES</v>
      </c>
      <c r="O9" s="20"/>
      <c r="P9" s="20">
        <f ca="1">IFERROR(__xludf.DUMMYFUNCTION("""COMPUTED_VALUE"""),3553)</f>
        <v>3553</v>
      </c>
      <c r="Q9" s="19"/>
      <c r="R9" s="19"/>
      <c r="S9" s="19"/>
      <c r="T9" s="19"/>
      <c r="U9" s="19"/>
      <c r="V9" s="19"/>
      <c r="W9" s="19"/>
      <c r="X9" s="23" t="str">
        <f ca="1">IFERROR(__xludf.DUMMYFUNCTION("""COMPUTED_VALUE"""),"OSDE")</f>
        <v>OSDE</v>
      </c>
      <c r="Y9" s="20" t="str">
        <f ca="1">IFERROR(__xludf.DUMMYFUNCTION("""COMPUTED_VALUE"""),"No")</f>
        <v>No</v>
      </c>
      <c r="Z9" s="20" t="str">
        <f ca="1">IFERROR(__xludf.DUMMYFUNCTION("""COMPUTED_VALUE"""),"Acepto")</f>
        <v>Acepto</v>
      </c>
      <c r="AA9" s="17" t="str">
        <f ca="1">IFERROR(__xludf.DUMMYFUNCTION("""COMPUTED_VALUE"""),"Pendiente")</f>
        <v>Pendiente</v>
      </c>
      <c r="AB9" s="17"/>
      <c r="AC9" s="20"/>
      <c r="AD9" s="20"/>
      <c r="AE9" s="20"/>
      <c r="AF9" s="20"/>
      <c r="AG9" s="22"/>
    </row>
    <row r="10" spans="1:33" ht="13.2">
      <c r="A10" s="18">
        <f ca="1">IFERROR(__xludf.DUMMYFUNCTION("""COMPUTED_VALUE"""),45531.6897261805)</f>
        <v>45531.689726180499</v>
      </c>
      <c r="B10" s="19" t="str">
        <f ca="1">IFERROR(__xludf.DUMMYFUNCTION("""COMPUTED_VALUE"""),"Miguel Ignacio")</f>
        <v>Miguel Ignacio</v>
      </c>
      <c r="C10" s="19" t="str">
        <f ca="1">IFERROR(__xludf.DUMMYFUNCTION("""COMPUTED_VALUE"""),"Aldatz")</f>
        <v>Aldatz</v>
      </c>
      <c r="D10" s="19" t="str">
        <f ca="1">IFERROR(__xludf.DUMMYFUNCTION("""COMPUTED_VALUE"""),"Avellaneda")</f>
        <v>Avellaneda</v>
      </c>
      <c r="E10" s="20" t="str">
        <f ca="1">IFERROR(__xludf.DUMMYFUNCTION("""COMPUTED_VALUE"""),"ARG")</f>
        <v>ARG</v>
      </c>
      <c r="F10" s="20">
        <f ca="1">IFERROR(__xludf.DUMMYFUNCTION("""COMPUTED_VALUE"""),54187126)</f>
        <v>54187126</v>
      </c>
      <c r="G10" s="21">
        <f ca="1">IFERROR(__xludf.DUMMYFUNCTION("""COMPUTED_VALUE"""),41876)</f>
        <v>41876</v>
      </c>
      <c r="H10" s="20">
        <f ca="1">IFERROR(__xludf.DUMMYFUNCTION("""COMPUTED_VALUE"""),1150018050)</f>
        <v>1150018050</v>
      </c>
      <c r="I10" s="20">
        <f ca="1">IFERROR(__xludf.DUMMYFUNCTION("""COMPUTED_VALUE"""),1150018050)</f>
        <v>1150018050</v>
      </c>
      <c r="J10" s="20" t="str">
        <f ca="1">IFERROR(__xludf.DUMMYFUNCTION("""COMPUTED_VALUE"""),"adribarbera@gmail.com")</f>
        <v>adribarbera@gmail.com</v>
      </c>
      <c r="K10" s="20" t="str">
        <f ca="1">IFERROR(__xludf.DUMMYFUNCTION("""COMPUTED_VALUE"""),"Masculino")</f>
        <v>Masculino</v>
      </c>
      <c r="L10" s="22" t="str">
        <f ca="1">IFERROR(__xludf.DUMMYFUNCTION("""COMPUTED_VALUE"""),"CGLNM")</f>
        <v>CGLNM</v>
      </c>
      <c r="M10" s="19" t="str">
        <f ca="1">IFERROR(__xludf.DUMMYFUNCTION("""COMPUTED_VALUE"""),"Sub 12")</f>
        <v>Sub 12</v>
      </c>
      <c r="N10" s="20" t="str">
        <f ca="1">IFERROR(__xludf.DUMMYFUNCTION("""COMPUTED_VALUE"""),"OPTIMIST PRINCIPIANTES")</f>
        <v>OPTIMIST PRINCIPIANTES</v>
      </c>
      <c r="O10" s="20"/>
      <c r="P10" s="20">
        <f ca="1">IFERROR(__xludf.DUMMYFUNCTION("""COMPUTED_VALUE"""),3468)</f>
        <v>3468</v>
      </c>
      <c r="Q10" s="19" t="str">
        <f ca="1">IFERROR(__xludf.DUMMYFUNCTION("""COMPUTED_VALUE"""),"Kiki jr")</f>
        <v>Kiki jr</v>
      </c>
      <c r="R10" s="19"/>
      <c r="S10" s="19"/>
      <c r="T10" s="19"/>
      <c r="U10" s="19"/>
      <c r="V10" s="19"/>
      <c r="W10" s="19"/>
      <c r="X10" s="23" t="str">
        <f ca="1">IFERROR(__xludf.DUMMYFUNCTION("""COMPUTED_VALUE"""),"OSDE")</f>
        <v>OSDE</v>
      </c>
      <c r="Y10" s="20" t="str">
        <f ca="1">IFERROR(__xludf.DUMMYFUNCTION("""COMPUTED_VALUE"""),"Si")</f>
        <v>Si</v>
      </c>
      <c r="Z10" s="20" t="str">
        <f ca="1">IFERROR(__xludf.DUMMYFUNCTION("""COMPUTED_VALUE"""),"Acepto")</f>
        <v>Acepto</v>
      </c>
      <c r="AA10" s="24" t="str">
        <f ca="1">IFERROR(__xludf.DUMMYFUNCTION("""COMPUTED_VALUE"""),"Terminado")</f>
        <v>Terminado</v>
      </c>
      <c r="AB10" s="24">
        <f ca="1">IFERROR(__xludf.DUMMYFUNCTION("""COMPUTED_VALUE"""),50000)</f>
        <v>50000</v>
      </c>
      <c r="AC10" s="20">
        <f ca="1">IFERROR(__xludf.DUMMYFUNCTION("""COMPUTED_VALUE"""),205349)</f>
        <v>205349</v>
      </c>
      <c r="AD10" s="20" t="str">
        <f ca="1">IFERROR(__xludf.DUMMYFUNCTION("""COMPUTED_VALUE"""),"Tarj 01-09")</f>
        <v>Tarj 01-09</v>
      </c>
      <c r="AE10" s="20"/>
      <c r="AF10" s="20"/>
      <c r="AG10" s="22"/>
    </row>
    <row r="11" spans="1:33" ht="13.2">
      <c r="A11" s="27">
        <f ca="1">IFERROR(__xludf.DUMMYFUNCTION("""COMPUTED_VALUE"""),45531.8355027777)</f>
        <v>45531.8355027777</v>
      </c>
      <c r="B11" s="11" t="str">
        <f ca="1">IFERROR(__xludf.DUMMYFUNCTION("""COMPUTED_VALUE"""),"Gonzalo")</f>
        <v>Gonzalo</v>
      </c>
      <c r="C11" s="11" t="str">
        <f ca="1">IFERROR(__xludf.DUMMYFUNCTION("""COMPUTED_VALUE"""),"Aldaya")</f>
        <v>Aldaya</v>
      </c>
      <c r="D11" s="11" t="str">
        <f ca="1">IFERROR(__xludf.DUMMYFUNCTION("""COMPUTED_VALUE"""),"Parque Leloir")</f>
        <v>Parque Leloir</v>
      </c>
      <c r="E11" s="12" t="str">
        <f ca="1">IFERROR(__xludf.DUMMYFUNCTION("""COMPUTED_VALUE"""),"ARG")</f>
        <v>ARG</v>
      </c>
      <c r="F11" s="12">
        <f ca="1">IFERROR(__xludf.DUMMYFUNCTION("""COMPUTED_VALUE"""),50703202)</f>
        <v>50703202</v>
      </c>
      <c r="G11" s="28">
        <f ca="1">IFERROR(__xludf.DUMMYFUNCTION("""COMPUTED_VALUE"""),40486)</f>
        <v>40486</v>
      </c>
      <c r="H11" s="12">
        <f ca="1">IFERROR(__xludf.DUMMYFUNCTION("""COMPUTED_VALUE"""),1150478199)</f>
        <v>1150478199</v>
      </c>
      <c r="I11" s="12">
        <f ca="1">IFERROR(__xludf.DUMMYFUNCTION("""COMPUTED_VALUE"""),1144191617)</f>
        <v>1144191617</v>
      </c>
      <c r="J11" s="12" t="str">
        <f ca="1">IFERROR(__xludf.DUMMYFUNCTION("""COMPUTED_VALUE"""),"gealdaya@gmail.com")</f>
        <v>gealdaya@gmail.com</v>
      </c>
      <c r="K11" s="12" t="str">
        <f ca="1">IFERROR(__xludf.DUMMYFUNCTION("""COMPUTED_VALUE"""),"Masculino")</f>
        <v>Masculino</v>
      </c>
      <c r="L11" s="15" t="str">
        <f ca="1">IFERROR(__xludf.DUMMYFUNCTION("""COMPUTED_VALUE"""),"YCO")</f>
        <v>YCO</v>
      </c>
      <c r="M11" s="11"/>
      <c r="N11" s="12" t="str">
        <f ca="1">IFERROR(__xludf.DUMMYFUNCTION("""COMPUTED_VALUE"""),"OPTIMIST TIMONELES")</f>
        <v>OPTIMIST TIMONELES</v>
      </c>
      <c r="O11" s="12"/>
      <c r="P11" s="12">
        <f ca="1">IFERROR(__xludf.DUMMYFUNCTION("""COMPUTED_VALUE"""),3808)</f>
        <v>3808</v>
      </c>
      <c r="Q11" s="12"/>
      <c r="R11" s="12"/>
      <c r="S11" s="12"/>
      <c r="T11" s="12"/>
      <c r="U11" s="12"/>
      <c r="V11" s="11"/>
      <c r="W11" s="11"/>
      <c r="X11" s="16" t="str">
        <f ca="1">IFERROR(__xludf.DUMMYFUNCTION("""COMPUTED_VALUE"""),"SwissMedical")</f>
        <v>SwissMedical</v>
      </c>
      <c r="Y11" s="12" t="str">
        <f ca="1">IFERROR(__xludf.DUMMYFUNCTION("""COMPUTED_VALUE"""),"Si")</f>
        <v>Si</v>
      </c>
      <c r="Z11" s="12" t="str">
        <f ca="1">IFERROR(__xludf.DUMMYFUNCTION("""COMPUTED_VALUE"""),"Acepto")</f>
        <v>Acepto</v>
      </c>
      <c r="AA11" s="24" t="str">
        <f ca="1">IFERROR(__xludf.DUMMYFUNCTION("""COMPUTED_VALUE"""),"Terminado")</f>
        <v>Terminado</v>
      </c>
      <c r="AB11" s="24">
        <f ca="1">IFERROR(__xludf.DUMMYFUNCTION("""COMPUTED_VALUE"""),50000)</f>
        <v>50000</v>
      </c>
      <c r="AC11" s="12">
        <f ca="1">IFERROR(__xludf.DUMMYFUNCTION("""COMPUTED_VALUE"""),205063)</f>
        <v>205063</v>
      </c>
      <c r="AD11" s="12" t="str">
        <f ca="1">IFERROR(__xludf.DUMMYFUNCTION("""COMPUTED_VALUE"""),"TRF 27-08")</f>
        <v>TRF 27-08</v>
      </c>
      <c r="AE11" s="12"/>
      <c r="AF11" s="12"/>
      <c r="AG11" s="15"/>
    </row>
    <row r="12" spans="1:33" ht="13.2">
      <c r="A12" s="18">
        <f ca="1">IFERROR(__xludf.DUMMYFUNCTION("""COMPUTED_VALUE"""),45525.6599966087)</f>
        <v>45525.659996608701</v>
      </c>
      <c r="B12" s="19" t="str">
        <f ca="1">IFERROR(__xludf.DUMMYFUNCTION("""COMPUTED_VALUE"""),"Lisandro ")</f>
        <v xml:space="preserve">Lisandro </v>
      </c>
      <c r="C12" s="19" t="str">
        <f ca="1">IFERROR(__xludf.DUMMYFUNCTION("""COMPUTED_VALUE"""),"Alfonsín ")</f>
        <v xml:space="preserve">Alfonsín </v>
      </c>
      <c r="D12" s="19" t="str">
        <f ca="1">IFERROR(__xludf.DUMMYFUNCTION("""COMPUTED_VALUE"""),"Chascomús ")</f>
        <v xml:space="preserve">Chascomús </v>
      </c>
      <c r="E12" s="20" t="str">
        <f ca="1">IFERROR(__xludf.DUMMYFUNCTION("""COMPUTED_VALUE"""),"ARG")</f>
        <v>ARG</v>
      </c>
      <c r="F12" s="20">
        <f ca="1">IFERROR(__xludf.DUMMYFUNCTION("""COMPUTED_VALUE"""),23005546)</f>
        <v>23005546</v>
      </c>
      <c r="G12" s="21">
        <f ca="1">IFERROR(__xludf.DUMMYFUNCTION("""COMPUTED_VALUE"""),26794)</f>
        <v>26794</v>
      </c>
      <c r="H12" s="20">
        <f ca="1">IFERROR(__xludf.DUMMYFUNCTION("""COMPUTED_VALUE"""),2241603590)</f>
        <v>2241603590</v>
      </c>
      <c r="I12" s="20"/>
      <c r="J12" s="20" t="str">
        <f ca="1">IFERROR(__xludf.DUMMYFUNCTION("""COMPUTED_VALUE"""),"leealfonsin@gmail.com")</f>
        <v>leealfonsin@gmail.com</v>
      </c>
      <c r="K12" s="20" t="str">
        <f ca="1">IFERROR(__xludf.DUMMYFUNCTION("""COMPUTED_VALUE"""),"Masculino")</f>
        <v>Masculino</v>
      </c>
      <c r="L12" s="22" t="str">
        <f ca="1">IFERROR(__xludf.DUMMYFUNCTION("""COMPUTED_VALUE"""),"CRCh")</f>
        <v>CRCh</v>
      </c>
      <c r="M12" s="19"/>
      <c r="N12" s="20" t="str">
        <f ca="1">IFERROR(__xludf.DUMMYFUNCTION("""COMPUTED_VALUE"""),"PAMPERO")</f>
        <v>PAMPERO</v>
      </c>
      <c r="O12" s="20">
        <f ca="1">IFERROR(__xludf.DUMMYFUNCTION("""COMPUTED_VALUE"""),8)</f>
        <v>8</v>
      </c>
      <c r="P12" s="20">
        <f ca="1">IFERROR(__xludf.DUMMYFUNCTION("""COMPUTED_VALUE"""),8)</f>
        <v>8</v>
      </c>
      <c r="Q12" s="19" t="str">
        <f ca="1">IFERROR(__xludf.DUMMYFUNCTION("""COMPUTED_VALUE"""),"Chopper ")</f>
        <v xml:space="preserve">Chopper </v>
      </c>
      <c r="R12" s="19" t="str">
        <f ca="1">IFERROR(__xludf.DUMMYFUNCTION("""COMPUTED_VALUE"""),"Catalina Alfonsín ")</f>
        <v xml:space="preserve">Catalina Alfonsín </v>
      </c>
      <c r="S12" s="19"/>
      <c r="T12" s="19"/>
      <c r="U12" s="19"/>
      <c r="V12" s="19"/>
      <c r="W12" s="19"/>
      <c r="X12" s="23"/>
      <c r="Y12" s="20" t="str">
        <f ca="1">IFERROR(__xludf.DUMMYFUNCTION("""COMPUTED_VALUE"""),"Si")</f>
        <v>Si</v>
      </c>
      <c r="Z12" s="20" t="str">
        <f ca="1">IFERROR(__xludf.DUMMYFUNCTION("""COMPUTED_VALUE"""),"Acepto")</f>
        <v>Acepto</v>
      </c>
      <c r="AA12" s="17" t="str">
        <f ca="1">IFERROR(__xludf.DUMMYFUNCTION("""COMPUTED_VALUE"""),"Terminado")</f>
        <v>Terminado</v>
      </c>
      <c r="AB12" s="17">
        <f ca="1">IFERROR(__xludf.DUMMYFUNCTION("""COMPUTED_VALUE"""),60000)</f>
        <v>60000</v>
      </c>
      <c r="AC12" s="20">
        <f ca="1">IFERROR(__xludf.DUMMYFUNCTION("""COMPUTED_VALUE"""),205022)</f>
        <v>205022</v>
      </c>
      <c r="AD12" s="20" t="str">
        <f ca="1">IFERROR(__xludf.DUMMYFUNCTION("""COMPUTED_VALUE"""),"TRF 21-08")</f>
        <v>TRF 21-08</v>
      </c>
      <c r="AE12" s="20"/>
      <c r="AF12" s="20"/>
      <c r="AG12" s="22"/>
    </row>
    <row r="13" spans="1:33" ht="13.2">
      <c r="A13" s="27">
        <f ca="1">IFERROR(__xludf.DUMMYFUNCTION("""COMPUTED_VALUE"""),45535.5110211574)</f>
        <v>45535.511021157399</v>
      </c>
      <c r="B13" s="11" t="str">
        <f ca="1">IFERROR(__xludf.DUMMYFUNCTION("""COMPUTED_VALUE"""),"Julio")</f>
        <v>Julio</v>
      </c>
      <c r="C13" s="11" t="str">
        <f ca="1">IFERROR(__xludf.DUMMYFUNCTION("""COMPUTED_VALUE"""),"Alsogaray")</f>
        <v>Alsogaray</v>
      </c>
      <c r="D13" s="11" t="str">
        <f ca="1">IFERROR(__xludf.DUMMYFUNCTION("""COMPUTED_VALUE"""),"San pedro")</f>
        <v>San pedro</v>
      </c>
      <c r="E13" s="12" t="str">
        <f ca="1">IFERROR(__xludf.DUMMYFUNCTION("""COMPUTED_VALUE"""),"ARG")</f>
        <v>ARG</v>
      </c>
      <c r="F13" s="12">
        <f ca="1">IFERROR(__xludf.DUMMYFUNCTION("""COMPUTED_VALUE"""),44365865)</f>
        <v>44365865</v>
      </c>
      <c r="G13" s="28">
        <f ca="1">IFERROR(__xludf.DUMMYFUNCTION("""COMPUTED_VALUE"""),29322)</f>
        <v>29322</v>
      </c>
      <c r="H13" s="12">
        <f ca="1">IFERROR(__xludf.DUMMYFUNCTION("""COMPUTED_VALUE"""),3329547476)</f>
        <v>3329547476</v>
      </c>
      <c r="I13" s="30">
        <f ca="1">IFERROR(__xludf.DUMMYFUNCTION("""COMPUTED_VALUE"""),3329547476)</f>
        <v>3329547476</v>
      </c>
      <c r="J13" s="12" t="str">
        <f ca="1">IFERROR(__xludf.DUMMYFUNCTION("""COMPUTED_VALUE"""),"malenasciarra@gmail.com")</f>
        <v>malenasciarra@gmail.com</v>
      </c>
      <c r="K13" s="12" t="str">
        <f ca="1">IFERROR(__xludf.DUMMYFUNCTION("""COMPUTED_VALUE"""),"Femenino")</f>
        <v>Femenino</v>
      </c>
      <c r="L13" s="15" t="str">
        <f ca="1">IFERROR(__xludf.DUMMYFUNCTION("""COMPUTED_VALUE"""),"CNSP")</f>
        <v>CNSP</v>
      </c>
      <c r="M13" s="11" t="str">
        <f ca="1">IFERROR(__xludf.DUMMYFUNCTION("""COMPUTED_VALUE"""),"Mixto")</f>
        <v>Mixto</v>
      </c>
      <c r="N13" s="12" t="str">
        <f ca="1">IFERROR(__xludf.DUMMYFUNCTION("""COMPUTED_VALUE"""),"SNIPE")</f>
        <v>SNIPE</v>
      </c>
      <c r="O13" s="12"/>
      <c r="P13" s="12">
        <f ca="1">IFERROR(__xludf.DUMMYFUNCTION("""COMPUTED_VALUE"""),31792)</f>
        <v>31792</v>
      </c>
      <c r="Q13" s="12" t="str">
        <f ca="1">IFERROR(__xludf.DUMMYFUNCTION("""COMPUTED_VALUE"""),"Pesadilla")</f>
        <v>Pesadilla</v>
      </c>
      <c r="R13" s="12" t="str">
        <f ca="1">IFERROR(__xludf.DUMMYFUNCTION("""COMPUTED_VALUE"""),"Malena Sciarra")</f>
        <v>Malena Sciarra</v>
      </c>
      <c r="S13" s="12"/>
      <c r="T13" s="12"/>
      <c r="U13" s="12"/>
      <c r="V13" s="11"/>
      <c r="W13" s="11"/>
      <c r="X13" s="16" t="str">
        <f ca="1">IFERROR(__xludf.DUMMYFUNCTION("""COMPUTED_VALUE"""),".")</f>
        <v>.</v>
      </c>
      <c r="Y13" s="12" t="str">
        <f ca="1">IFERROR(__xludf.DUMMYFUNCTION("""COMPUTED_VALUE"""),"Si")</f>
        <v>Si</v>
      </c>
      <c r="Z13" s="12" t="str">
        <f ca="1">IFERROR(__xludf.DUMMYFUNCTION("""COMPUTED_VALUE"""),"Acepto")</f>
        <v>Acepto</v>
      </c>
      <c r="AA13" s="24" t="str">
        <f ca="1">IFERROR(__xludf.DUMMYFUNCTION("""COMPUTED_VALUE"""),"Terminado")</f>
        <v>Terminado</v>
      </c>
      <c r="AB13" s="24">
        <f ca="1">IFERROR(__xludf.DUMMYFUNCTION("""COMPUTED_VALUE"""),51000)</f>
        <v>51000</v>
      </c>
      <c r="AC13" s="12">
        <f ca="1">IFERROR(__xludf.DUMMYFUNCTION("""COMPUTED_VALUE"""),205160)</f>
        <v>205160</v>
      </c>
      <c r="AD13" s="12" t="str">
        <f ca="1">IFERROR(__xludf.DUMMYFUNCTION("""COMPUTED_VALUE"""),"Tarj 31-08")</f>
        <v>Tarj 31-08</v>
      </c>
      <c r="AE13" s="12"/>
      <c r="AF13" s="12"/>
      <c r="AG13" s="15"/>
    </row>
    <row r="14" spans="1:33" ht="13.2">
      <c r="A14" s="18">
        <f ca="1">IFERROR(__xludf.DUMMYFUNCTION("""COMPUTED_VALUE"""),45533.9759424305)</f>
        <v>45533.975942430501</v>
      </c>
      <c r="B14" s="19" t="str">
        <f ca="1">IFERROR(__xludf.DUMMYFUNCTION("""COMPUTED_VALUE"""),"Pedro")</f>
        <v>Pedro</v>
      </c>
      <c r="C14" s="19" t="str">
        <f ca="1">IFERROR(__xludf.DUMMYFUNCTION("""COMPUTED_VALUE"""),"Álvarez Gallesio ")</f>
        <v xml:space="preserve">Álvarez Gallesio </v>
      </c>
      <c r="D14" s="19" t="str">
        <f ca="1">IFERROR(__xludf.DUMMYFUNCTION("""COMPUTED_VALUE"""),"Buenos Aires ")</f>
        <v xml:space="preserve">Buenos Aires </v>
      </c>
      <c r="E14" s="20" t="str">
        <f ca="1">IFERROR(__xludf.DUMMYFUNCTION("""COMPUTED_VALUE"""),"ARG")</f>
        <v>ARG</v>
      </c>
      <c r="F14" s="20">
        <f ca="1">IFERROR(__xludf.DUMMYFUNCTION("""COMPUTED_VALUE"""),43243582)</f>
        <v>43243582</v>
      </c>
      <c r="G14" s="31">
        <f ca="1">IFERROR(__xludf.DUMMYFUNCTION("""COMPUTED_VALUE"""),36959)</f>
        <v>36959</v>
      </c>
      <c r="H14" s="32">
        <f ca="1">IFERROR(__xludf.DUMMYFUNCTION("""COMPUTED_VALUE"""),1562549151)</f>
        <v>1562549151</v>
      </c>
      <c r="I14" s="19">
        <f ca="1">IFERROR(__xludf.DUMMYFUNCTION("""COMPUTED_VALUE"""),1556391617)</f>
        <v>1556391617</v>
      </c>
      <c r="J14" s="19" t="str">
        <f ca="1">IFERROR(__xludf.DUMMYFUNCTION("""COMPUTED_VALUE"""),"pepiag2922@gmail.com")</f>
        <v>pepiag2922@gmail.com</v>
      </c>
      <c r="K14" s="19" t="str">
        <f ca="1">IFERROR(__xludf.DUMMYFUNCTION("""COMPUTED_VALUE"""),"Masculino")</f>
        <v>Masculino</v>
      </c>
      <c r="L14" s="22" t="str">
        <f ca="1">IFERROR(__xludf.DUMMYFUNCTION("""COMPUTED_VALUE"""),"YCA")</f>
        <v>YCA</v>
      </c>
      <c r="M14" s="19"/>
      <c r="N14" s="20" t="str">
        <f ca="1">IFERROR(__xludf.DUMMYFUNCTION("""COMPUTED_VALUE"""),"ILCA 6")</f>
        <v>ILCA 6</v>
      </c>
      <c r="O14" s="20"/>
      <c r="P14" s="20">
        <f ca="1">IFERROR(__xludf.DUMMYFUNCTION("""COMPUTED_VALUE"""),182710)</f>
        <v>182710</v>
      </c>
      <c r="Q14" s="19"/>
      <c r="R14" s="33"/>
      <c r="S14" s="19"/>
      <c r="T14" s="19"/>
      <c r="U14" s="19"/>
      <c r="V14" s="19"/>
      <c r="W14" s="19"/>
      <c r="X14" s="23"/>
      <c r="Y14" s="20" t="str">
        <f ca="1">IFERROR(__xludf.DUMMYFUNCTION("""COMPUTED_VALUE"""),"No")</f>
        <v>No</v>
      </c>
      <c r="Z14" s="20" t="str">
        <f ca="1">IFERROR(__xludf.DUMMYFUNCTION("""COMPUTED_VALUE"""),"Acepto")</f>
        <v>Acepto</v>
      </c>
      <c r="AA14" s="17" t="str">
        <f ca="1">IFERROR(__xludf.DUMMYFUNCTION("""COMPUTED_VALUE"""),"Pendiente")</f>
        <v>Pendiente</v>
      </c>
      <c r="AB14" s="17"/>
      <c r="AC14" s="20"/>
      <c r="AD14" s="20"/>
      <c r="AE14" s="20"/>
      <c r="AF14" s="20"/>
      <c r="AG14" s="22"/>
    </row>
    <row r="15" spans="1:33" ht="13.2">
      <c r="A15" s="18">
        <f ca="1">IFERROR(__xludf.DUMMYFUNCTION("""COMPUTED_VALUE"""),45532.7387486921)</f>
        <v>45532.7387486921</v>
      </c>
      <c r="B15" s="19" t="str">
        <f ca="1">IFERROR(__xludf.DUMMYFUNCTION("""COMPUTED_VALUE"""),"Gianni")</f>
        <v>Gianni</v>
      </c>
      <c r="C15" s="19" t="str">
        <f ca="1">IFERROR(__xludf.DUMMYFUNCTION("""COMPUTED_VALUE"""),"Andrés ")</f>
        <v xml:space="preserve">Andrés </v>
      </c>
      <c r="D15" s="19" t="str">
        <f ca="1">IFERROR(__xludf.DUMMYFUNCTION("""COMPUTED_VALUE"""),"Rosario")</f>
        <v>Rosario</v>
      </c>
      <c r="E15" s="20" t="str">
        <f ca="1">IFERROR(__xludf.DUMMYFUNCTION("""COMPUTED_VALUE"""),"ARG")</f>
        <v>ARG</v>
      </c>
      <c r="F15" s="20">
        <f ca="1">IFERROR(__xludf.DUMMYFUNCTION("""COMPUTED_VALUE"""),53623848)</f>
        <v>53623848</v>
      </c>
      <c r="G15" s="31">
        <f ca="1">IFERROR(__xludf.DUMMYFUNCTION("""COMPUTED_VALUE"""),41590)</f>
        <v>41590</v>
      </c>
      <c r="H15" s="19">
        <f ca="1">IFERROR(__xludf.DUMMYFUNCTION("""COMPUTED_VALUE"""),3413819921)</f>
        <v>3413819921</v>
      </c>
      <c r="I15" s="19">
        <f ca="1">IFERROR(__xludf.DUMMYFUNCTION("""COMPUTED_VALUE"""),3413819921)</f>
        <v>3413819921</v>
      </c>
      <c r="J15" s="19" t="str">
        <f ca="1">IFERROR(__xludf.DUMMYFUNCTION("""COMPUTED_VALUE"""),"Ventas2096@gmail.com")</f>
        <v>Ventas2096@gmail.com</v>
      </c>
      <c r="K15" s="19" t="str">
        <f ca="1">IFERROR(__xludf.DUMMYFUNCTION("""COMPUTED_VALUE"""),"Masculino")</f>
        <v>Masculino</v>
      </c>
      <c r="L15" s="22" t="str">
        <f ca="1">IFERROR(__xludf.DUMMYFUNCTION("""COMPUTED_VALUE"""),"CVR")</f>
        <v>CVR</v>
      </c>
      <c r="M15" s="19" t="str">
        <f ca="1">IFERROR(__xludf.DUMMYFUNCTION("""COMPUTED_VALUE"""),"Interior (Optimist)")</f>
        <v>Interior (Optimist)</v>
      </c>
      <c r="N15" s="20" t="str">
        <f ca="1">IFERROR(__xludf.DUMMYFUNCTION("""COMPUTED_VALUE"""),"OPTIMIST PRINCIPIANTES")</f>
        <v>OPTIMIST PRINCIPIANTES</v>
      </c>
      <c r="O15" s="20"/>
      <c r="P15" s="20">
        <f ca="1">IFERROR(__xludf.DUMMYFUNCTION("""COMPUTED_VALUE"""),3558)</f>
        <v>3558</v>
      </c>
      <c r="Q15" s="19" t="str">
        <f ca="1">IFERROR(__xludf.DUMMYFUNCTION("""COMPUTED_VALUE"""),"Merlin")</f>
        <v>Merlin</v>
      </c>
      <c r="R15" s="19"/>
      <c r="S15" s="19"/>
      <c r="T15" s="19"/>
      <c r="U15" s="19"/>
      <c r="V15" s="19"/>
      <c r="W15" s="19"/>
      <c r="X15" s="23" t="str">
        <f ca="1">IFERROR(__xludf.DUMMYFUNCTION("""COMPUTED_VALUE"""),"Medifé/3-06645444-01/000")</f>
        <v>Medifé/3-06645444-01/000</v>
      </c>
      <c r="Y15" s="20" t="str">
        <f ca="1">IFERROR(__xludf.DUMMYFUNCTION("""COMPUTED_VALUE"""),"No")</f>
        <v>No</v>
      </c>
      <c r="Z15" s="20" t="str">
        <f ca="1">IFERROR(__xludf.DUMMYFUNCTION("""COMPUTED_VALUE"""),"Acepto")</f>
        <v>Acepto</v>
      </c>
      <c r="AA15" s="17" t="str">
        <f ca="1">IFERROR(__xludf.DUMMYFUNCTION("""COMPUTED_VALUE"""),"Terminado")</f>
        <v>Terminado</v>
      </c>
      <c r="AB15" s="17">
        <f ca="1">IFERROR(__xludf.DUMMYFUNCTION("""COMPUTED_VALUE"""),60000)</f>
        <v>60000</v>
      </c>
      <c r="AC15" s="20">
        <f ca="1">IFERROR(__xludf.DUMMYFUNCTION("""COMPUTED_VALUE"""),205461)</f>
        <v>205461</v>
      </c>
      <c r="AD15" s="20" t="str">
        <f ca="1">IFERROR(__xludf.DUMMYFUNCTION("""COMPUTED_VALUE"""),"TRF 28-08")</f>
        <v>TRF 28-08</v>
      </c>
      <c r="AE15" s="20"/>
      <c r="AF15" s="20"/>
      <c r="AG15" s="22"/>
    </row>
    <row r="16" spans="1:33" ht="13.2">
      <c r="A16" s="27">
        <f ca="1">IFERROR(__xludf.DUMMYFUNCTION("""COMPUTED_VALUE"""),45535.5247832407)</f>
        <v>45535.524783240697</v>
      </c>
      <c r="B16" s="11" t="str">
        <f ca="1">IFERROR(__xludf.DUMMYFUNCTION("""COMPUTED_VALUE"""),"Manuel ")</f>
        <v xml:space="preserve">Manuel </v>
      </c>
      <c r="C16" s="11" t="str">
        <f ca="1">IFERROR(__xludf.DUMMYFUNCTION("""COMPUTED_VALUE"""),"Antoni")</f>
        <v>Antoni</v>
      </c>
      <c r="D16" s="11" t="str">
        <f ca="1">IFERROR(__xludf.DUMMYFUNCTION("""COMPUTED_VALUE"""),"San isidro")</f>
        <v>San isidro</v>
      </c>
      <c r="E16" s="12" t="str">
        <f ca="1">IFERROR(__xludf.DUMMYFUNCTION("""COMPUTED_VALUE"""),"ARG")</f>
        <v>ARG</v>
      </c>
      <c r="F16" s="12">
        <f ca="1">IFERROR(__xludf.DUMMYFUNCTION("""COMPUTED_VALUE"""),53761156)</f>
        <v>53761156</v>
      </c>
      <c r="G16" s="28">
        <f ca="1">IFERROR(__xludf.DUMMYFUNCTION("""COMPUTED_VALUE"""),41661)</f>
        <v>41661</v>
      </c>
      <c r="H16" s="12">
        <f ca="1">IFERROR(__xludf.DUMMYFUNCTION("""COMPUTED_VALUE"""),1144921544)</f>
        <v>1144921544</v>
      </c>
      <c r="I16" s="12">
        <f ca="1">IFERROR(__xludf.DUMMYFUNCTION("""COMPUTED_VALUE"""),1144921544)</f>
        <v>1144921544</v>
      </c>
      <c r="J16" s="12" t="str">
        <f ca="1">IFERROR(__xludf.DUMMYFUNCTION("""COMPUTED_VALUE"""),"noelvaca@gmail.com")</f>
        <v>noelvaca@gmail.com</v>
      </c>
      <c r="K16" s="12" t="str">
        <f ca="1">IFERROR(__xludf.DUMMYFUNCTION("""COMPUTED_VALUE"""),"Masculino")</f>
        <v>Masculino</v>
      </c>
      <c r="L16" s="15" t="str">
        <f ca="1">IFERROR(__xludf.DUMMYFUNCTION("""COMPUTED_VALUE"""),"CUBA")</f>
        <v>CUBA</v>
      </c>
      <c r="M16" s="11"/>
      <c r="N16" s="12" t="str">
        <f ca="1">IFERROR(__xludf.DUMMYFUNCTION("""COMPUTED_VALUE"""),"OPTIMIST PRINCIPIANTES")</f>
        <v>OPTIMIST PRINCIPIANTES</v>
      </c>
      <c r="O16" s="12"/>
      <c r="P16" s="12">
        <f ca="1">IFERROR(__xludf.DUMMYFUNCTION("""COMPUTED_VALUE"""),3868)</f>
        <v>3868</v>
      </c>
      <c r="Q16" s="12"/>
      <c r="R16" s="12"/>
      <c r="S16" s="12"/>
      <c r="T16" s="12"/>
      <c r="U16" s="12"/>
      <c r="V16" s="11"/>
      <c r="W16" s="11"/>
      <c r="X16" s="16" t="str">
        <f ca="1">IFERROR(__xludf.DUMMYFUNCTION("""COMPUTED_VALUE"""),"OSDE 61352163205")</f>
        <v>OSDE 61352163205</v>
      </c>
      <c r="Y16" s="12" t="str">
        <f ca="1">IFERROR(__xludf.DUMMYFUNCTION("""COMPUTED_VALUE"""),"No")</f>
        <v>No</v>
      </c>
      <c r="Z16" s="12" t="str">
        <f ca="1">IFERROR(__xludf.DUMMYFUNCTION("""COMPUTED_VALUE"""),"Acepto")</f>
        <v>Acepto</v>
      </c>
      <c r="AA16" s="24" t="str">
        <f ca="1">IFERROR(__xludf.DUMMYFUNCTION("""COMPUTED_VALUE"""),"Terminado")</f>
        <v>Terminado</v>
      </c>
      <c r="AB16" s="24">
        <f ca="1">IFERROR(__xludf.DUMMYFUNCTION("""COMPUTED_VALUE"""),60000)</f>
        <v>60000</v>
      </c>
      <c r="AC16" s="12">
        <f ca="1">IFERROR(__xludf.DUMMYFUNCTION("""COMPUTED_VALUE"""),205150)</f>
        <v>205150</v>
      </c>
      <c r="AD16" s="12" t="str">
        <f ca="1">IFERROR(__xludf.DUMMYFUNCTION("""COMPUTED_VALUE"""),"TRF 31-08")</f>
        <v>TRF 31-08</v>
      </c>
      <c r="AE16" s="12"/>
      <c r="AF16" s="12"/>
      <c r="AG16" s="15"/>
    </row>
    <row r="17" spans="1:33" ht="13.2">
      <c r="A17" s="27">
        <f ca="1">IFERROR(__xludf.DUMMYFUNCTION("""COMPUTED_VALUE"""),45526.7962631365)</f>
        <v>45526.796263136501</v>
      </c>
      <c r="B17" s="11" t="str">
        <f ca="1">IFERROR(__xludf.DUMMYFUNCTION("""COMPUTED_VALUE"""),"Mariano ")</f>
        <v xml:space="preserve">Mariano </v>
      </c>
      <c r="C17" s="11" t="str">
        <f ca="1">IFERROR(__xludf.DUMMYFUNCTION("""COMPUTED_VALUE"""),"Antonini ")</f>
        <v xml:space="preserve">Antonini </v>
      </c>
      <c r="D17" s="11" t="str">
        <f ca="1">IFERROR(__xludf.DUMMYFUNCTION("""COMPUTED_VALUE"""),"Buenos Aires")</f>
        <v>Buenos Aires</v>
      </c>
      <c r="E17" s="12" t="str">
        <f ca="1">IFERROR(__xludf.DUMMYFUNCTION("""COMPUTED_VALUE"""),"ARG")</f>
        <v>ARG</v>
      </c>
      <c r="F17" s="12">
        <f ca="1">IFERROR(__xludf.DUMMYFUNCTION("""COMPUTED_VALUE"""),23941586)</f>
        <v>23941586</v>
      </c>
      <c r="G17" s="13">
        <f ca="1">IFERROR(__xludf.DUMMYFUNCTION("""COMPUTED_VALUE"""),27333)</f>
        <v>27333</v>
      </c>
      <c r="H17" s="14">
        <f ca="1">IFERROR(__xludf.DUMMYFUNCTION("""COMPUTED_VALUE"""),1552591434)</f>
        <v>1552591434</v>
      </c>
      <c r="I17" s="34"/>
      <c r="J17" s="11" t="str">
        <f ca="1">IFERROR(__xludf.DUMMYFUNCTION("""COMPUTED_VALUE"""),"marianoantonini@hotmail.com")</f>
        <v>marianoantonini@hotmail.com</v>
      </c>
      <c r="K17" s="11" t="str">
        <f ca="1">IFERROR(__xludf.DUMMYFUNCTION("""COMPUTED_VALUE"""),"Masculino")</f>
        <v>Masculino</v>
      </c>
      <c r="L17" s="15" t="str">
        <f ca="1">IFERROR(__xludf.DUMMYFUNCTION("""COMPUTED_VALUE"""),"YCCN")</f>
        <v>YCCN</v>
      </c>
      <c r="M17" s="11" t="str">
        <f ca="1">IFERROR(__xludf.DUMMYFUNCTION("""COMPUTED_VALUE"""),"Master (pampero)")</f>
        <v>Master (pampero)</v>
      </c>
      <c r="N17" s="12" t="str">
        <f ca="1">IFERROR(__xludf.DUMMYFUNCTION("""COMPUTED_VALUE"""),"PAMPERO")</f>
        <v>PAMPERO</v>
      </c>
      <c r="O17" s="12"/>
      <c r="P17" s="12">
        <f ca="1">IFERROR(__xludf.DUMMYFUNCTION("""COMPUTED_VALUE"""),300)</f>
        <v>300</v>
      </c>
      <c r="Q17" s="11" t="str">
        <f ca="1">IFERROR(__xludf.DUMMYFUNCTION("""COMPUTED_VALUE"""),"OSKORRI")</f>
        <v>OSKORRI</v>
      </c>
      <c r="R17" s="11" t="str">
        <f ca="1">IFERROR(__xludf.DUMMYFUNCTION("""COMPUTED_VALUE"""),"Mariano Antonini ")</f>
        <v xml:space="preserve">Mariano Antonini </v>
      </c>
      <c r="S17" s="11" t="str">
        <f ca="1">IFERROR(__xludf.DUMMYFUNCTION("""COMPUTED_VALUE"""),"Alain Pasquier")</f>
        <v>Alain Pasquier</v>
      </c>
      <c r="T17" s="11"/>
      <c r="U17" s="11"/>
      <c r="V17" s="11"/>
      <c r="W17" s="11"/>
      <c r="X17" s="16" t="str">
        <f ca="1">IFERROR(__xludf.DUMMYFUNCTION("""COMPUTED_VALUE"""),"Swiss Medical")</f>
        <v>Swiss Medical</v>
      </c>
      <c r="Y17" s="12" t="str">
        <f ca="1">IFERROR(__xludf.DUMMYFUNCTION("""COMPUTED_VALUE"""),"No")</f>
        <v>No</v>
      </c>
      <c r="Z17" s="12" t="str">
        <f ca="1">IFERROR(__xludf.DUMMYFUNCTION("""COMPUTED_VALUE"""),"Acepto")</f>
        <v>Acepto</v>
      </c>
      <c r="AA17" s="17" t="str">
        <f ca="1">IFERROR(__xludf.DUMMYFUNCTION("""COMPUTED_VALUE"""),"Terminado")</f>
        <v>Terminado</v>
      </c>
      <c r="AB17" s="17">
        <f ca="1">IFERROR(__xludf.DUMMYFUNCTION("""COMPUTED_VALUE"""),60000)</f>
        <v>60000</v>
      </c>
      <c r="AC17" s="12">
        <f ca="1">IFERROR(__xludf.DUMMYFUNCTION("""COMPUTED_VALUE"""),205042)</f>
        <v>205042</v>
      </c>
      <c r="AD17" s="12" t="str">
        <f ca="1">IFERROR(__xludf.DUMMYFUNCTION("""COMPUTED_VALUE"""),"TRF 22-08")</f>
        <v>TRF 22-08</v>
      </c>
      <c r="AE17" s="12"/>
      <c r="AF17" s="12" t="str">
        <f ca="1">IFERROR(__xludf.DUMMYFUNCTION("""COMPUTED_VALUE"""),"SI")</f>
        <v>SI</v>
      </c>
      <c r="AG17" s="15"/>
    </row>
    <row r="18" spans="1:33" ht="13.2">
      <c r="A18" s="27">
        <f ca="1">IFERROR(__xludf.DUMMYFUNCTION("""COMPUTED_VALUE"""),45539.7366687384)</f>
        <v>45539.736668738398</v>
      </c>
      <c r="B18" s="11" t="str">
        <f ca="1">IFERROR(__xludf.DUMMYFUNCTION("""COMPUTED_VALUE"""),"NOMBRE")</f>
        <v>NOMBRE</v>
      </c>
      <c r="C18" s="11" t="str">
        <f ca="1">IFERROR(__xludf.DUMMYFUNCTION("""COMPUTED_VALUE"""),"APELLIDO")</f>
        <v>APELLIDO</v>
      </c>
      <c r="D18" s="11" t="str">
        <f ca="1">IFERROR(__xludf.DUMMYFUNCTION("""COMPUTED_VALUE"""),"OLIVOS")</f>
        <v>OLIVOS</v>
      </c>
      <c r="E18" s="12" t="str">
        <f ca="1">IFERROR(__xludf.DUMMYFUNCTION("""COMPUTED_VALUE"""),"ARG")</f>
        <v>ARG</v>
      </c>
      <c r="F18" s="12">
        <f ca="1">IFERROR(__xludf.DUMMYFUNCTION("""COMPUTED_VALUE"""),11111111)</f>
        <v>11111111</v>
      </c>
      <c r="G18" s="28">
        <f ca="1">IFERROR(__xludf.DUMMYFUNCTION("""COMPUTED_VALUE"""),25323)</f>
        <v>25323</v>
      </c>
      <c r="H18" s="12">
        <f ca="1">IFERROR(__xludf.DUMMYFUNCTION("""COMPUTED_VALUE"""),1122226666)</f>
        <v>1122226666</v>
      </c>
      <c r="I18" s="30">
        <f ca="1">IFERROR(__xludf.DUMMYFUNCTION("""COMPUTED_VALUE"""),1166668888)</f>
        <v>1166668888</v>
      </c>
      <c r="J18" s="12" t="str">
        <f ca="1">IFERROR(__xludf.DUMMYFUNCTION("""COMPUTED_VALUE"""),"MAIL@OTRO.COM")</f>
        <v>MAIL@OTRO.COM</v>
      </c>
      <c r="K18" s="12" t="str">
        <f ca="1">IFERROR(__xludf.DUMMYFUNCTION("""COMPUTED_VALUE"""),"Femenino")</f>
        <v>Femenino</v>
      </c>
      <c r="L18" s="15" t="str">
        <f ca="1">IFERROR(__xludf.DUMMYFUNCTION("""COMPUTED_VALUE"""),"YCO")</f>
        <v>YCO</v>
      </c>
      <c r="M18" s="11" t="str">
        <f ca="1">IFERROR(__xludf.DUMMYFUNCTION("""COMPUTED_VALUE"""),"PRUEBA CATE")</f>
        <v>PRUEBA CATE</v>
      </c>
      <c r="N18" s="12">
        <f ca="1">IFERROR(__xludf.DUMMYFUNCTION("""COMPUTED_VALUE"""),420)</f>
        <v>420</v>
      </c>
      <c r="O18" s="12">
        <f ca="1">IFERROR(__xludf.DUMMYFUNCTION("""COMPUTED_VALUE"""),6)</f>
        <v>6</v>
      </c>
      <c r="P18" s="12">
        <f ca="1">IFERROR(__xludf.DUMMYFUNCTION("""COMPUTED_VALUE"""),1111)</f>
        <v>1111</v>
      </c>
      <c r="Q18" s="12" t="str">
        <f ca="1">IFERROR(__xludf.DUMMYFUNCTION("""COMPUTED_VALUE"""),"UNO")</f>
        <v>UNO</v>
      </c>
      <c r="R18" s="12" t="str">
        <f ca="1">IFERROR(__xludf.DUMMYFUNCTION("""COMPUTED_VALUE"""),"UNO")</f>
        <v>UNO</v>
      </c>
      <c r="S18" s="12" t="str">
        <f ca="1">IFERROR(__xludf.DUMMYFUNCTION("""COMPUTED_VALUE"""),"DOS")</f>
        <v>DOS</v>
      </c>
      <c r="T18" s="12" t="str">
        <f ca="1">IFERROR(__xludf.DUMMYFUNCTION("""COMPUTED_VALUE"""),"TRTES")</f>
        <v>TRTES</v>
      </c>
      <c r="U18" s="12" t="str">
        <f ca="1">IFERROR(__xludf.DUMMYFUNCTION("""COMPUTED_VALUE"""),"CUATO")</f>
        <v>CUATO</v>
      </c>
      <c r="V18" s="11" t="str">
        <f ca="1">IFERROR(__xludf.DUMMYFUNCTION("""COMPUTED_VALUE"""),"FIVE")</f>
        <v>FIVE</v>
      </c>
      <c r="W18" s="11" t="str">
        <f ca="1">IFERROR(__xludf.DUMMYFUNCTION("""COMPUTED_VALUE"""),"SIX")</f>
        <v>SIX</v>
      </c>
      <c r="X18" s="16">
        <f ca="1">IFERROR(__xludf.DUMMYFUNCTION("""COMPUTED_VALUE"""),22)</f>
        <v>22</v>
      </c>
      <c r="Y18" s="12" t="str">
        <f ca="1">IFERROR(__xludf.DUMMYFUNCTION("""COMPUTED_VALUE"""),"Si")</f>
        <v>Si</v>
      </c>
      <c r="Z18" s="12" t="str">
        <f ca="1">IFERROR(__xludf.DUMMYFUNCTION("""COMPUTED_VALUE"""),"Acepto")</f>
        <v>Acepto</v>
      </c>
      <c r="AA18" s="24" t="str">
        <f ca="1">IFERROR(__xludf.DUMMYFUNCTION("""COMPUTED_VALUE"""),"Pendiente")</f>
        <v>Pendiente</v>
      </c>
      <c r="AB18" s="24"/>
      <c r="AC18" s="12"/>
      <c r="AD18" s="12"/>
      <c r="AE18" s="12"/>
      <c r="AF18" s="12"/>
      <c r="AG18" s="15"/>
    </row>
    <row r="19" spans="1:33" ht="13.2">
      <c r="A19" s="35">
        <f ca="1">IFERROR(__xludf.DUMMYFUNCTION("""COMPUTED_VALUE"""),45539.7857500463)</f>
        <v>45539.7857500463</v>
      </c>
      <c r="B19" s="36" t="str">
        <f ca="1">IFERROR(__xludf.DUMMYFUNCTION("""COMPUTED_VALUE"""),"Allegra Juliana")</f>
        <v>Allegra Juliana</v>
      </c>
      <c r="C19" s="36" t="str">
        <f ca="1">IFERROR(__xludf.DUMMYFUNCTION("""COMPUTED_VALUE"""),"Aranda")</f>
        <v>Aranda</v>
      </c>
      <c r="D19" s="36" t="str">
        <f ca="1">IFERROR(__xludf.DUMMYFUNCTION("""COMPUTED_VALUE"""),"Parana")</f>
        <v>Parana</v>
      </c>
      <c r="E19" s="6" t="str">
        <f ca="1">IFERROR(__xludf.DUMMYFUNCTION("""COMPUTED_VALUE"""),"ARG")</f>
        <v>ARG</v>
      </c>
      <c r="F19" s="6">
        <f ca="1">IFERROR(__xludf.DUMMYFUNCTION("""COMPUTED_VALUE"""),53477120)</f>
        <v>53477120</v>
      </c>
      <c r="G19" s="37">
        <f ca="1">IFERROR(__xludf.DUMMYFUNCTION("""COMPUTED_VALUE"""),41519)</f>
        <v>41519</v>
      </c>
      <c r="H19" s="38">
        <f ca="1">IFERROR(__xludf.DUMMYFUNCTION("""COMPUTED_VALUE"""),3434468375)</f>
        <v>3434468375</v>
      </c>
      <c r="I19" s="39">
        <f ca="1">IFERROR(__xludf.DUMMYFUNCTION("""COMPUTED_VALUE"""),3434468375)</f>
        <v>3434468375</v>
      </c>
      <c r="J19" s="38" t="str">
        <f ca="1">IFERROR(__xludf.DUMMYFUNCTION("""COMPUTED_VALUE"""),"Arandarodolfo090@gmail.com")</f>
        <v>Arandarodolfo090@gmail.com</v>
      </c>
      <c r="K19" s="38" t="str">
        <f ca="1">IFERROR(__xludf.DUMMYFUNCTION("""COMPUTED_VALUE"""),"Femenino")</f>
        <v>Femenino</v>
      </c>
      <c r="L19" s="36" t="str">
        <f ca="1">IFERROR(__xludf.DUMMYFUNCTION("""COMPUTED_VALUE"""),"CVR")</f>
        <v>CVR</v>
      </c>
      <c r="M19" s="38" t="str">
        <f ca="1">IFERROR(__xludf.DUMMYFUNCTION("""COMPUTED_VALUE"""),"Femenino, Interior (Optimist)")</f>
        <v>Femenino, Interior (Optimist)</v>
      </c>
      <c r="N19" s="6" t="str">
        <f ca="1">IFERROR(__xludf.DUMMYFUNCTION("""COMPUTED_VALUE"""),"OPTIMIST PRINCIPIANTES")</f>
        <v>OPTIMIST PRINCIPIANTES</v>
      </c>
      <c r="O19" s="6"/>
      <c r="P19" s="6">
        <f ca="1">IFERROR(__xludf.DUMMYFUNCTION("""COMPUTED_VALUE"""),4055)</f>
        <v>4055</v>
      </c>
      <c r="Q19" s="38"/>
      <c r="R19" s="38" t="str">
        <f ca="1">IFERROR(__xludf.DUMMYFUNCTION("""COMPUTED_VALUE"""),"Allegra Juliana Aranda")</f>
        <v>Allegra Juliana Aranda</v>
      </c>
      <c r="S19" s="38"/>
      <c r="T19" s="38"/>
      <c r="U19" s="38"/>
      <c r="V19" s="38"/>
      <c r="W19" s="38"/>
      <c r="X19" s="40">
        <f ca="1">IFERROR(__xludf.DUMMYFUNCTION("""COMPUTED_VALUE"""),67943)</f>
        <v>67943</v>
      </c>
      <c r="Y19" s="6" t="str">
        <f ca="1">IFERROR(__xludf.DUMMYFUNCTION("""COMPUTED_VALUE"""),"Si")</f>
        <v>Si</v>
      </c>
      <c r="Z19" s="6" t="str">
        <f ca="1">IFERROR(__xludf.DUMMYFUNCTION("""COMPUTED_VALUE"""),"Acepto")</f>
        <v>Acepto</v>
      </c>
      <c r="AA19" s="41" t="str">
        <f ca="1">IFERROR(__xludf.DUMMYFUNCTION("""COMPUTED_VALUE"""),"Terminado")</f>
        <v>Terminado</v>
      </c>
      <c r="AB19" s="41">
        <f ca="1">IFERROR(__xludf.DUMMYFUNCTION("""COMPUTED_VALUE"""),42500)</f>
        <v>42500</v>
      </c>
      <c r="AC19" s="6">
        <f ca="1">IFERROR(__xludf.DUMMYFUNCTION("""COMPUTED_VALUE"""),205487)</f>
        <v>205487</v>
      </c>
      <c r="AD19" s="6" t="str">
        <f ca="1">IFERROR(__xludf.DUMMYFUNCTION("""COMPUTED_VALUE"""),"TRF 05-09")</f>
        <v>TRF 05-09</v>
      </c>
      <c r="AE19" s="6"/>
      <c r="AF19" s="6"/>
      <c r="AG19" s="36"/>
    </row>
    <row r="20" spans="1:33" ht="13.2">
      <c r="A20" s="27">
        <f ca="1">IFERROR(__xludf.DUMMYFUNCTION("""COMPUTED_VALUE"""),45525.8532615393)</f>
        <v>45525.853261539298</v>
      </c>
      <c r="B20" s="11" t="str">
        <f ca="1">IFERROR(__xludf.DUMMYFUNCTION("""COMPUTED_VALUE"""),"Mónica Pilar ")</f>
        <v xml:space="preserve">Mónica Pilar </v>
      </c>
      <c r="C20" s="11" t="str">
        <f ca="1">IFERROR(__xludf.DUMMYFUNCTION("""COMPUTED_VALUE"""),"Arjona ")</f>
        <v xml:space="preserve">Arjona </v>
      </c>
      <c r="D20" s="11" t="str">
        <f ca="1">IFERROR(__xludf.DUMMYFUNCTION("""COMPUTED_VALUE"""),"Viedma- Rio Negro")</f>
        <v>Viedma- Rio Negro</v>
      </c>
      <c r="E20" s="12" t="str">
        <f ca="1">IFERROR(__xludf.DUMMYFUNCTION("""COMPUTED_VALUE"""),"ARG")</f>
        <v>ARG</v>
      </c>
      <c r="F20" s="12">
        <f ca="1">IFERROR(__xludf.DUMMYFUNCTION("""COMPUTED_VALUE"""),24080951)</f>
        <v>24080951</v>
      </c>
      <c r="G20" s="13">
        <f ca="1">IFERROR(__xludf.DUMMYFUNCTION("""COMPUTED_VALUE"""),27308)</f>
        <v>27308</v>
      </c>
      <c r="H20" s="14">
        <f ca="1">IFERROR(__xludf.DUMMYFUNCTION("""COMPUTED_VALUE"""),2920366704)</f>
        <v>2920366704</v>
      </c>
      <c r="I20" s="14">
        <f ca="1">IFERROR(__xludf.DUMMYFUNCTION("""COMPUTED_VALUE"""),2920568254)</f>
        <v>2920568254</v>
      </c>
      <c r="J20" s="11" t="str">
        <f ca="1">IFERROR(__xludf.DUMMYFUNCTION("""COMPUTED_VALUE"""),"monicapilar1@hotmail.com")</f>
        <v>monicapilar1@hotmail.com</v>
      </c>
      <c r="K20" s="11" t="str">
        <f ca="1">IFERROR(__xludf.DUMMYFUNCTION("""COMPUTED_VALUE"""),"Femenino")</f>
        <v>Femenino</v>
      </c>
      <c r="L20" s="15" t="str">
        <f ca="1">IFERROR(__xludf.DUMMYFUNCTION("""COMPUTED_VALUE"""),"Club Náutico la Ribera ")</f>
        <v xml:space="preserve">Club Náutico la Ribera </v>
      </c>
      <c r="M20" s="11"/>
      <c r="N20" s="12" t="str">
        <f ca="1">IFERROR(__xludf.DUMMYFUNCTION("""COMPUTED_VALUE"""),"PAMPERO")</f>
        <v>PAMPERO</v>
      </c>
      <c r="O20" s="12"/>
      <c r="P20" s="12" t="str">
        <f ca="1">IFERROR(__xludf.DUMMYFUNCTION("""COMPUTED_VALUE"""),"000")</f>
        <v>000</v>
      </c>
      <c r="Q20" s="11" t="str">
        <f ca="1">IFERROR(__xludf.DUMMYFUNCTION("""COMPUTED_VALUE"""),"Piqui")</f>
        <v>Piqui</v>
      </c>
      <c r="R20" s="11" t="str">
        <f ca="1">IFERROR(__xludf.DUMMYFUNCTION("""COMPUTED_VALUE"""),"××××××")</f>
        <v>××××××</v>
      </c>
      <c r="S20" s="11"/>
      <c r="T20" s="11"/>
      <c r="U20" s="11"/>
      <c r="V20" s="11"/>
      <c r="W20" s="11"/>
      <c r="X20" s="16" t="str">
        <f ca="1">IFERROR(__xludf.DUMMYFUNCTION("""COMPUTED_VALUE"""),"MU.BA.SE.VI (MUTUAL BANCARIA)")</f>
        <v>MU.BA.SE.VI (MUTUAL BANCARIA)</v>
      </c>
      <c r="Y20" s="12" t="str">
        <f ca="1">IFERROR(__xludf.DUMMYFUNCTION("""COMPUTED_VALUE"""),"Si")</f>
        <v>Si</v>
      </c>
      <c r="Z20" s="12" t="str">
        <f ca="1">IFERROR(__xludf.DUMMYFUNCTION("""COMPUTED_VALUE"""),"Acepto")</f>
        <v>Acepto</v>
      </c>
      <c r="AA20" s="17" t="str">
        <f ca="1">IFERROR(__xludf.DUMMYFUNCTION("""COMPUTED_VALUE"""),"Terminado")</f>
        <v>Terminado</v>
      </c>
      <c r="AB20" s="17">
        <f ca="1">IFERROR(__xludf.DUMMYFUNCTION("""COMPUTED_VALUE"""),60000)</f>
        <v>60000</v>
      </c>
      <c r="AC20" s="12">
        <f ca="1">IFERROR(__xludf.DUMMYFUNCTION("""COMPUTED_VALUE"""),205036)</f>
        <v>205036</v>
      </c>
      <c r="AD20" s="12" t="str">
        <f ca="1">IFERROR(__xludf.DUMMYFUNCTION("""COMPUTED_VALUE"""),"TRF 21-08")</f>
        <v>TRF 21-08</v>
      </c>
      <c r="AE20" s="12"/>
      <c r="AF20" s="12" t="str">
        <f ca="1">IFERROR(__xludf.DUMMYFUNCTION("""COMPUTED_VALUE"""),"Si")</f>
        <v>Si</v>
      </c>
      <c r="AG20" s="15"/>
    </row>
    <row r="21" spans="1:33" ht="13.2">
      <c r="A21" s="18">
        <f ca="1">IFERROR(__xludf.DUMMYFUNCTION("""COMPUTED_VALUE"""),45537.4975813541)</f>
        <v>45537.497581354102</v>
      </c>
      <c r="B21" s="19" t="str">
        <f ca="1">IFERROR(__xludf.DUMMYFUNCTION("""COMPUTED_VALUE"""),"Joaco")</f>
        <v>Joaco</v>
      </c>
      <c r="C21" s="19" t="str">
        <f ca="1">IFERROR(__xludf.DUMMYFUNCTION("""COMPUTED_VALUE"""),"Arocena")</f>
        <v>Arocena</v>
      </c>
      <c r="D21" s="19" t="str">
        <f ca="1">IFERROR(__xludf.DUMMYFUNCTION("""COMPUTED_VALUE"""),"San Fernando")</f>
        <v>San Fernando</v>
      </c>
      <c r="E21" s="20" t="str">
        <f ca="1">IFERROR(__xludf.DUMMYFUNCTION("""COMPUTED_VALUE"""),"ARG")</f>
        <v>ARG</v>
      </c>
      <c r="F21" s="20">
        <f ca="1">IFERROR(__xludf.DUMMYFUNCTION("""COMPUTED_VALUE"""),51066390)</f>
        <v>51066390</v>
      </c>
      <c r="G21" s="31">
        <f ca="1">IFERROR(__xludf.DUMMYFUNCTION("""COMPUTED_VALUE"""),40625)</f>
        <v>40625</v>
      </c>
      <c r="H21" s="32">
        <f ca="1">IFERROR(__xludf.DUMMYFUNCTION("""COMPUTED_VALUE"""),1164825593)</f>
        <v>1164825593</v>
      </c>
      <c r="I21" s="19">
        <f ca="1">IFERROR(__xludf.DUMMYFUNCTION("""COMPUTED_VALUE"""),1165518797)</f>
        <v>1165518797</v>
      </c>
      <c r="J21" s="19" t="str">
        <f ca="1">IFERROR(__xludf.DUMMYFUNCTION("""COMPUTED_VALUE"""),"luchoarocena@gmail.com")</f>
        <v>luchoarocena@gmail.com</v>
      </c>
      <c r="K21" s="19" t="str">
        <f ca="1">IFERROR(__xludf.DUMMYFUNCTION("""COMPUTED_VALUE"""),"Masculino")</f>
        <v>Masculino</v>
      </c>
      <c r="L21" s="22" t="str">
        <f ca="1">IFERROR(__xludf.DUMMYFUNCTION("""COMPUTED_VALUE"""),"CNSI")</f>
        <v>CNSI</v>
      </c>
      <c r="M21" s="19"/>
      <c r="N21" s="20" t="str">
        <f ca="1">IFERROR(__xludf.DUMMYFUNCTION("""COMPUTED_VALUE"""),"OPTIMIST TIMONELES")</f>
        <v>OPTIMIST TIMONELES</v>
      </c>
      <c r="O21" s="20"/>
      <c r="P21" s="20">
        <f ca="1">IFERROR(__xludf.DUMMYFUNCTION("""COMPUTED_VALUE"""),3563)</f>
        <v>3563</v>
      </c>
      <c r="Q21" s="19" t="str">
        <f ca="1">IFERROR(__xludf.DUMMYFUNCTION("""COMPUTED_VALUE"""),"Racha")</f>
        <v>Racha</v>
      </c>
      <c r="R21" s="19"/>
      <c r="S21" s="19"/>
      <c r="T21" s="19"/>
      <c r="U21" s="19"/>
      <c r="V21" s="19"/>
      <c r="W21" s="19"/>
      <c r="X21" s="23" t="str">
        <f ca="1">IFERROR(__xludf.DUMMYFUNCTION("""COMPUTED_VALUE"""),"OSPJN / 88946-21")</f>
        <v>OSPJN / 88946-21</v>
      </c>
      <c r="Y21" s="20" t="str">
        <f ca="1">IFERROR(__xludf.DUMMYFUNCTION("""COMPUTED_VALUE"""),"No")</f>
        <v>No</v>
      </c>
      <c r="Z21" s="20" t="str">
        <f ca="1">IFERROR(__xludf.DUMMYFUNCTION("""COMPUTED_VALUE"""),"Acepto")</f>
        <v>Acepto</v>
      </c>
      <c r="AA21" s="17" t="str">
        <f ca="1">IFERROR(__xludf.DUMMYFUNCTION("""COMPUTED_VALUE"""),"Terminado")</f>
        <v>Terminado</v>
      </c>
      <c r="AB21" s="17">
        <f ca="1">IFERROR(__xludf.DUMMYFUNCTION("""COMPUTED_VALUE"""),50000)</f>
        <v>50000</v>
      </c>
      <c r="AC21" s="20">
        <f ca="1">IFERROR(__xludf.DUMMYFUNCTION("""COMPUTED_VALUE"""),205403)</f>
        <v>205403</v>
      </c>
      <c r="AD21" s="20" t="str">
        <f ca="1">IFERROR(__xludf.DUMMYFUNCTION("""COMPUTED_VALUE"""),"TRF 02-09")</f>
        <v>TRF 02-09</v>
      </c>
      <c r="AE21" s="20"/>
      <c r="AF21" s="20"/>
      <c r="AG21" s="22"/>
    </row>
    <row r="22" spans="1:33" ht="13.2">
      <c r="A22" s="35">
        <f ca="1">IFERROR(__xludf.DUMMYFUNCTION("""COMPUTED_VALUE"""),45538.92919853)</f>
        <v>45538.929198530001</v>
      </c>
      <c r="B22" s="36" t="str">
        <f ca="1">IFERROR(__xludf.DUMMYFUNCTION("""COMPUTED_VALUE"""),"Jose Alberto")</f>
        <v>Jose Alberto</v>
      </c>
      <c r="C22" s="36" t="str">
        <f ca="1">IFERROR(__xludf.DUMMYFUNCTION("""COMPUTED_VALUE"""),"Asad")</f>
        <v>Asad</v>
      </c>
      <c r="D22" s="36" t="str">
        <f ca="1">IFERROR(__xludf.DUMMYFUNCTION("""COMPUTED_VALUE"""),"San Fernando, Pcia de Buenos Aires")</f>
        <v>San Fernando, Pcia de Buenos Aires</v>
      </c>
      <c r="E22" s="6" t="str">
        <f ca="1">IFERROR(__xludf.DUMMYFUNCTION("""COMPUTED_VALUE"""),"ARG")</f>
        <v>ARG</v>
      </c>
      <c r="F22" s="6">
        <f ca="1">IFERROR(__xludf.DUMMYFUNCTION("""COMPUTED_VALUE"""),11543300)</f>
        <v>11543300</v>
      </c>
      <c r="G22" s="37">
        <f ca="1">IFERROR(__xludf.DUMMYFUNCTION("""COMPUTED_VALUE"""),20172)</f>
        <v>20172</v>
      </c>
      <c r="H22" s="38">
        <f ca="1">IFERROR(__xludf.DUMMYFUNCTION("""COMPUTED_VALUE"""),1150077917)</f>
        <v>1150077917</v>
      </c>
      <c r="I22" s="38"/>
      <c r="J22" s="38" t="str">
        <f ca="1">IFERROR(__xludf.DUMMYFUNCTION("""COMPUTED_VALUE"""),"joseasad5@gmail.com")</f>
        <v>joseasad5@gmail.com</v>
      </c>
      <c r="K22" s="38" t="str">
        <f ca="1">IFERROR(__xludf.DUMMYFUNCTION("""COMPUTED_VALUE"""),"Masculino")</f>
        <v>Masculino</v>
      </c>
      <c r="L22" s="36" t="str">
        <f ca="1">IFERROR(__xludf.DUMMYFUNCTION("""COMPUTED_VALUE"""),"YCO")</f>
        <v>YCO</v>
      </c>
      <c r="M22" s="38" t="str">
        <f ca="1">IFERROR(__xludf.DUMMYFUNCTION("""COMPUTED_VALUE"""),"Master (ILCA)")</f>
        <v>Master (ILCA)</v>
      </c>
      <c r="N22" s="6" t="str">
        <f ca="1">IFERROR(__xludf.DUMMYFUNCTION("""COMPUTED_VALUE"""),"ILCA 7")</f>
        <v>ILCA 7</v>
      </c>
      <c r="O22" s="6"/>
      <c r="P22" s="6">
        <f ca="1">IFERROR(__xludf.DUMMYFUNCTION("""COMPUTED_VALUE"""),207306)</f>
        <v>207306</v>
      </c>
      <c r="Q22" s="38" t="str">
        <f ca="1">IFERROR(__xludf.DUMMYFUNCTION("""COMPUTED_VALUE"""),"NO TIENE")</f>
        <v>NO TIENE</v>
      </c>
      <c r="R22" s="38"/>
      <c r="S22" s="38"/>
      <c r="T22" s="38"/>
      <c r="U22" s="38"/>
      <c r="V22" s="38"/>
      <c r="W22" s="38"/>
      <c r="X22" s="40" t="str">
        <f ca="1">IFERROR(__xludf.DUMMYFUNCTION("""COMPUTED_VALUE"""),"HOMINIS")</f>
        <v>HOMINIS</v>
      </c>
      <c r="Y22" s="6" t="str">
        <f ca="1">IFERROR(__xludf.DUMMYFUNCTION("""COMPUTED_VALUE"""),"Si")</f>
        <v>Si</v>
      </c>
      <c r="Z22" s="6" t="str">
        <f ca="1">IFERROR(__xludf.DUMMYFUNCTION("""COMPUTED_VALUE"""),"Acepto")</f>
        <v>Acepto</v>
      </c>
      <c r="AA22" s="41" t="str">
        <f ca="1">IFERROR(__xludf.DUMMYFUNCTION("""COMPUTED_VALUE"""),"Terminado")</f>
        <v>Terminado</v>
      </c>
      <c r="AB22" s="41">
        <f ca="1">IFERROR(__xludf.DUMMYFUNCTION("""COMPUTED_VALUE"""),45000)</f>
        <v>45000</v>
      </c>
      <c r="AC22" s="6">
        <f ca="1">IFERROR(__xludf.DUMMYFUNCTION("""COMPUTED_VALUE"""),205431)</f>
        <v>205431</v>
      </c>
      <c r="AD22" s="6" t="str">
        <f ca="1">IFERROR(__xludf.DUMMYFUNCTION("""COMPUTED_VALUE"""),"TRF 03-09")</f>
        <v>TRF 03-09</v>
      </c>
      <c r="AE22" s="6"/>
      <c r="AF22" s="6"/>
      <c r="AG22" s="36"/>
    </row>
    <row r="23" spans="1:33" ht="13.2">
      <c r="A23" s="35">
        <f ca="1">IFERROR(__xludf.DUMMYFUNCTION("""COMPUTED_VALUE"""),45535.8640045254)</f>
        <v>45535.8640045254</v>
      </c>
      <c r="B23" s="36" t="str">
        <f ca="1">IFERROR(__xludf.DUMMYFUNCTION("""COMPUTED_VALUE"""),"Milo")</f>
        <v>Milo</v>
      </c>
      <c r="C23" s="36" t="str">
        <f ca="1">IFERROR(__xludf.DUMMYFUNCTION("""COMPUTED_VALUE"""),"Azzaretti ")</f>
        <v xml:space="preserve">Azzaretti </v>
      </c>
      <c r="D23" s="36" t="str">
        <f ca="1">IFERROR(__xludf.DUMMYFUNCTION("""COMPUTED_VALUE"""),"San Pedro ")</f>
        <v xml:space="preserve">San Pedro </v>
      </c>
      <c r="E23" s="6" t="str">
        <f ca="1">IFERROR(__xludf.DUMMYFUNCTION("""COMPUTED_VALUE"""),"ARG")</f>
        <v>ARG</v>
      </c>
      <c r="F23" s="6">
        <f ca="1">IFERROR(__xludf.DUMMYFUNCTION("""COMPUTED_VALUE"""),53820853)</f>
        <v>53820853</v>
      </c>
      <c r="G23" s="37">
        <f ca="1">IFERROR(__xludf.DUMMYFUNCTION("""COMPUTED_VALUE"""),41746)</f>
        <v>41746</v>
      </c>
      <c r="H23" s="38">
        <f ca="1">IFERROR(__xludf.DUMMYFUNCTION("""COMPUTED_VALUE"""),3329478390)</f>
        <v>3329478390</v>
      </c>
      <c r="I23" s="38">
        <f ca="1">IFERROR(__xludf.DUMMYFUNCTION("""COMPUTED_VALUE"""),3329507042)</f>
        <v>3329507042</v>
      </c>
      <c r="J23" s="38" t="str">
        <f ca="1">IFERROR(__xludf.DUMMYFUNCTION("""COMPUTED_VALUE"""),"mazzaretti1@gmail.com")</f>
        <v>mazzaretti1@gmail.com</v>
      </c>
      <c r="K23" s="38" t="str">
        <f ca="1">IFERROR(__xludf.DUMMYFUNCTION("""COMPUTED_VALUE"""),"Masculino")</f>
        <v>Masculino</v>
      </c>
      <c r="L23" s="36" t="str">
        <f ca="1">IFERROR(__xludf.DUMMYFUNCTION("""COMPUTED_VALUE"""),"CNSP")</f>
        <v>CNSP</v>
      </c>
      <c r="M23" s="38" t="str">
        <f ca="1">IFERROR(__xludf.DUMMYFUNCTION("""COMPUTED_VALUE"""),"Interior (Optimist)")</f>
        <v>Interior (Optimist)</v>
      </c>
      <c r="N23" s="6" t="str">
        <f ca="1">IFERROR(__xludf.DUMMYFUNCTION("""COMPUTED_VALUE"""),"OPTIMIST TIMONELES")</f>
        <v>OPTIMIST TIMONELES</v>
      </c>
      <c r="O23" s="6"/>
      <c r="P23" s="6">
        <f ca="1">IFERROR(__xludf.DUMMYFUNCTION("""COMPUTED_VALUE"""),3462)</f>
        <v>3462</v>
      </c>
      <c r="Q23" s="38">
        <f ca="1">IFERROR(__xludf.DUMMYFUNCTION("""COMPUTED_VALUE"""),3462)</f>
        <v>3462</v>
      </c>
      <c r="R23" s="38"/>
      <c r="S23" s="38"/>
      <c r="T23" s="38"/>
      <c r="U23" s="38"/>
      <c r="V23" s="38"/>
      <c r="W23" s="38"/>
      <c r="X23" s="40" t="str">
        <f ca="1">IFERROR(__xludf.DUMMYFUNCTION("""COMPUTED_VALUE"""),"IOMA")</f>
        <v>IOMA</v>
      </c>
      <c r="Y23" s="6" t="str">
        <f ca="1">IFERROR(__xludf.DUMMYFUNCTION("""COMPUTED_VALUE"""),"Si")</f>
        <v>Si</v>
      </c>
      <c r="Z23" s="6" t="str">
        <f ca="1">IFERROR(__xludf.DUMMYFUNCTION("""COMPUTED_VALUE"""),"Acepto")</f>
        <v>Acepto</v>
      </c>
      <c r="AA23" s="41" t="str">
        <f ca="1">IFERROR(__xludf.DUMMYFUNCTION("""COMPUTED_VALUE"""),"Terminado")</f>
        <v>Terminado</v>
      </c>
      <c r="AB23" s="41">
        <f ca="1">IFERROR(__xludf.DUMMYFUNCTION("""COMPUTED_VALUE"""),42500)</f>
        <v>42500</v>
      </c>
      <c r="AC23" s="6">
        <f ca="1">IFERROR(__xludf.DUMMYFUNCTION("""COMPUTED_VALUE"""),205344)</f>
        <v>205344</v>
      </c>
      <c r="AD23" s="6" t="str">
        <f ca="1">IFERROR(__xludf.DUMMYFUNCTION("""COMPUTED_VALUE"""),"TRF 31-08")</f>
        <v>TRF 31-08</v>
      </c>
      <c r="AE23" s="6"/>
      <c r="AF23" s="6"/>
      <c r="AG23" s="36"/>
    </row>
    <row r="24" spans="1:33" ht="13.2">
      <c r="A24" s="35">
        <f ca="1">IFERROR(__xludf.DUMMYFUNCTION("""COMPUTED_VALUE"""),45534.622192905)</f>
        <v>45534.622192905001</v>
      </c>
      <c r="B24" s="36" t="str">
        <f ca="1">IFERROR(__xludf.DUMMYFUNCTION("""COMPUTED_VALUE"""),"Mateo")</f>
        <v>Mateo</v>
      </c>
      <c r="C24" s="36" t="str">
        <f ca="1">IFERROR(__xludf.DUMMYFUNCTION("""COMPUTED_VALUE"""),"Badorrey ")</f>
        <v xml:space="preserve">Badorrey </v>
      </c>
      <c r="D24" s="36" t="str">
        <f ca="1">IFERROR(__xludf.DUMMYFUNCTION("""COMPUTED_VALUE"""),"La Plata ")</f>
        <v xml:space="preserve">La Plata </v>
      </c>
      <c r="E24" s="6" t="str">
        <f ca="1">IFERROR(__xludf.DUMMYFUNCTION("""COMPUTED_VALUE"""),"ARG")</f>
        <v>ARG</v>
      </c>
      <c r="F24" s="6">
        <f ca="1">IFERROR(__xludf.DUMMYFUNCTION("""COMPUTED_VALUE"""),49426277)</f>
        <v>49426277</v>
      </c>
      <c r="G24" s="37">
        <f ca="1">IFERROR(__xludf.DUMMYFUNCTION("""COMPUTED_VALUE"""),39937)</f>
        <v>39937</v>
      </c>
      <c r="H24" s="38">
        <f ca="1">IFERROR(__xludf.DUMMYFUNCTION("""COMPUTED_VALUE"""),2214372462)</f>
        <v>2214372462</v>
      </c>
      <c r="I24" s="39">
        <f ca="1">IFERROR(__xludf.DUMMYFUNCTION("""COMPUTED_VALUE"""),2215066655)</f>
        <v>2215066655</v>
      </c>
      <c r="J24" s="38" t="str">
        <f ca="1">IFERROR(__xludf.DUMMYFUNCTION("""COMPUTED_VALUE"""),"marcelojbadorrey@gmail.com")</f>
        <v>marcelojbadorrey@gmail.com</v>
      </c>
      <c r="K24" s="38" t="str">
        <f ca="1">IFERROR(__xludf.DUMMYFUNCTION("""COMPUTED_VALUE"""),"Masculino")</f>
        <v>Masculino</v>
      </c>
      <c r="L24" s="36" t="str">
        <f ca="1">IFERROR(__xludf.DUMMYFUNCTION("""COMPUTED_VALUE"""),"CRLP")</f>
        <v>CRLP</v>
      </c>
      <c r="M24" s="38" t="str">
        <f ca="1">IFERROR(__xludf.DUMMYFUNCTION("""COMPUTED_VALUE"""),"Optimist Timoneles")</f>
        <v>Optimist Timoneles</v>
      </c>
      <c r="N24" s="6" t="str">
        <f ca="1">IFERROR(__xludf.DUMMYFUNCTION("""COMPUTED_VALUE"""),"OPTIMIST TIMONELES")</f>
        <v>OPTIMIST TIMONELES</v>
      </c>
      <c r="O24" s="6"/>
      <c r="P24" s="6" t="str">
        <f ca="1">IFERROR(__xludf.DUMMYFUNCTION("""COMPUTED_VALUE"""),"ARG 4043")</f>
        <v>ARG 4043</v>
      </c>
      <c r="Q24" s="38" t="str">
        <f ca="1">IFERROR(__xludf.DUMMYFUNCTION("""COMPUTED_VALUE"""),"Milocura ")</f>
        <v xml:space="preserve">Milocura </v>
      </c>
      <c r="R24" s="38"/>
      <c r="S24" s="38"/>
      <c r="T24" s="38"/>
      <c r="U24" s="38"/>
      <c r="V24" s="38"/>
      <c r="W24" s="38"/>
      <c r="X24" s="40" t="str">
        <f ca="1">IFERROR(__xludf.DUMMYFUNCTION("""COMPUTED_VALUE"""),"OSPe A604")</f>
        <v>OSPe A604</v>
      </c>
      <c r="Y24" s="6" t="str">
        <f ca="1">IFERROR(__xludf.DUMMYFUNCTION("""COMPUTED_VALUE"""),"Si")</f>
        <v>Si</v>
      </c>
      <c r="Z24" s="6" t="str">
        <f ca="1">IFERROR(__xludf.DUMMYFUNCTION("""COMPUTED_VALUE"""),"Acepto")</f>
        <v>Acepto</v>
      </c>
      <c r="AA24" s="41" t="str">
        <f ca="1">IFERROR(__xludf.DUMMYFUNCTION("""COMPUTED_VALUE"""),"Terminado")</f>
        <v>Terminado</v>
      </c>
      <c r="AB24" s="41">
        <f ca="1">IFERROR(__xludf.DUMMYFUNCTION("""COMPUTED_VALUE"""),50000)</f>
        <v>50000</v>
      </c>
      <c r="AC24" s="6">
        <f ca="1">IFERROR(__xludf.DUMMYFUNCTION("""COMPUTED_VALUE"""),205105)</f>
        <v>205105</v>
      </c>
      <c r="AD24" s="6" t="str">
        <f ca="1">IFERROR(__xludf.DUMMYFUNCTION("""COMPUTED_VALUE"""),"TRF 30-08")</f>
        <v>TRF 30-08</v>
      </c>
      <c r="AE24" s="6"/>
      <c r="AF24" s="6"/>
      <c r="AG24" s="36"/>
    </row>
    <row r="25" spans="1:33" ht="13.2">
      <c r="A25" s="35">
        <f ca="1">IFERROR(__xludf.DUMMYFUNCTION("""COMPUTED_VALUE"""),45537.3805456944)</f>
        <v>45537.380545694403</v>
      </c>
      <c r="B25" s="36" t="str">
        <f ca="1">IFERROR(__xludf.DUMMYFUNCTION("""COMPUTED_VALUE"""),"Alfredo Enrique ")</f>
        <v xml:space="preserve">Alfredo Enrique </v>
      </c>
      <c r="C25" s="36" t="str">
        <f ca="1">IFERROR(__xludf.DUMMYFUNCTION("""COMPUTED_VALUE"""),"Bafico Trench ")</f>
        <v xml:space="preserve">Bafico Trench </v>
      </c>
      <c r="D25" s="36" t="str">
        <f ca="1">IFERROR(__xludf.DUMMYFUNCTION("""COMPUTED_VALUE"""),"CABA")</f>
        <v>CABA</v>
      </c>
      <c r="E25" s="6" t="str">
        <f ca="1">IFERROR(__xludf.DUMMYFUNCTION("""COMPUTED_VALUE"""),"ARG")</f>
        <v>ARG</v>
      </c>
      <c r="F25" s="6">
        <f ca="1">IFERROR(__xludf.DUMMYFUNCTION("""COMPUTED_VALUE"""),28997106)</f>
        <v>28997106</v>
      </c>
      <c r="G25" s="37">
        <f ca="1">IFERROR(__xludf.DUMMYFUNCTION("""COMPUTED_VALUE"""),29842)</f>
        <v>29842</v>
      </c>
      <c r="H25" s="38">
        <f ca="1">IFERROR(__xludf.DUMMYFUNCTION("""COMPUTED_VALUE"""),1162788414)</f>
        <v>1162788414</v>
      </c>
      <c r="I25" s="38">
        <f ca="1">IFERROR(__xludf.DUMMYFUNCTION("""COMPUTED_VALUE"""),1150047649)</f>
        <v>1150047649</v>
      </c>
      <c r="J25" s="38" t="str">
        <f ca="1">IFERROR(__xludf.DUMMYFUNCTION("""COMPUTED_VALUE"""),"abaficotrench@gmail.com")</f>
        <v>abaficotrench@gmail.com</v>
      </c>
      <c r="K25" s="38" t="str">
        <f ca="1">IFERROR(__xludf.DUMMYFUNCTION("""COMPUTED_VALUE"""),"Masculino")</f>
        <v>Masculino</v>
      </c>
      <c r="L25" s="36" t="str">
        <f ca="1">IFERROR(__xludf.DUMMYFUNCTION("""COMPUTED_VALUE"""),"CNGSM")</f>
        <v>CNGSM</v>
      </c>
      <c r="M25" s="38" t="str">
        <f ca="1">IFERROR(__xludf.DUMMYFUNCTION("""COMPUTED_VALUE"""),"Optimist Timoneles instructor ")</f>
        <v xml:space="preserve">Optimist Timoneles instructor </v>
      </c>
      <c r="N25" s="6" t="str">
        <f ca="1">IFERROR(__xludf.DUMMYFUNCTION("""COMPUTED_VALUE"""),"OPTIMIST TIMONELES")</f>
        <v>OPTIMIST TIMONELES</v>
      </c>
      <c r="O25" s="6"/>
      <c r="P25" s="6">
        <f ca="1">IFERROR(__xludf.DUMMYFUNCTION("""COMPUTED_VALUE"""),1)</f>
        <v>1</v>
      </c>
      <c r="Q25" s="38">
        <f ca="1">IFERROR(__xludf.DUMMYFUNCTION("""COMPUTED_VALUE"""),1)</f>
        <v>1</v>
      </c>
      <c r="R25" s="39"/>
      <c r="S25" s="38"/>
      <c r="T25" s="38"/>
      <c r="U25" s="38"/>
      <c r="V25" s="38"/>
      <c r="W25" s="38"/>
      <c r="X25" s="40"/>
      <c r="Y25" s="6" t="str">
        <f ca="1">IFERROR(__xludf.DUMMYFUNCTION("""COMPUTED_VALUE"""),"No")</f>
        <v>No</v>
      </c>
      <c r="Z25" s="6" t="str">
        <f ca="1">IFERROR(__xludf.DUMMYFUNCTION("""COMPUTED_VALUE"""),"Acepto")</f>
        <v>Acepto</v>
      </c>
      <c r="AA25" s="41" t="str">
        <f ca="1">IFERROR(__xludf.DUMMYFUNCTION("""COMPUTED_VALUE"""),"Pendiente")</f>
        <v>Pendiente</v>
      </c>
      <c r="AB25" s="41"/>
      <c r="AC25" s="6"/>
      <c r="AD25" s="6"/>
      <c r="AE25" s="6"/>
      <c r="AF25" s="6"/>
      <c r="AG25" s="36"/>
    </row>
    <row r="26" spans="1:33" ht="13.2">
      <c r="A26" s="18">
        <f ca="1">IFERROR(__xludf.DUMMYFUNCTION("""COMPUTED_VALUE"""),45519.8122689236)</f>
        <v>45519.812268923597</v>
      </c>
      <c r="B26" s="19" t="str">
        <f ca="1">IFERROR(__xludf.DUMMYFUNCTION("""COMPUTED_VALUE"""),"Exequiel ")</f>
        <v xml:space="preserve">Exequiel </v>
      </c>
      <c r="C26" s="19" t="str">
        <f ca="1">IFERROR(__xludf.DUMMYFUNCTION("""COMPUTED_VALUE"""),"Balbarrey ")</f>
        <v xml:space="preserve">Balbarrey </v>
      </c>
      <c r="D26" s="19" t="str">
        <f ca="1">IFERROR(__xludf.DUMMYFUNCTION("""COMPUTED_VALUE"""),"Santa fe ")</f>
        <v xml:space="preserve">Santa fe </v>
      </c>
      <c r="E26" s="20" t="str">
        <f ca="1">IFERROR(__xludf.DUMMYFUNCTION("""COMPUTED_VALUE"""),"ARG")</f>
        <v>ARG</v>
      </c>
      <c r="F26" s="20">
        <f ca="1">IFERROR(__xludf.DUMMYFUNCTION("""COMPUTED_VALUE"""),23160506)</f>
        <v>23160506</v>
      </c>
      <c r="G26" s="21">
        <f ca="1">IFERROR(__xludf.DUMMYFUNCTION("""COMPUTED_VALUE"""),26723)</f>
        <v>26723</v>
      </c>
      <c r="H26" s="20">
        <f ca="1">IFERROR(__xludf.DUMMYFUNCTION("""COMPUTED_VALUE"""),3426306642)</f>
        <v>3426306642</v>
      </c>
      <c r="I26" s="20">
        <f ca="1">IFERROR(__xludf.DUMMYFUNCTION("""COMPUTED_VALUE"""),342057667)</f>
        <v>342057667</v>
      </c>
      <c r="J26" s="20" t="str">
        <f ca="1">IFERROR(__xludf.DUMMYFUNCTION("""COMPUTED_VALUE"""),"exequielbalbarrey@hotmail.com")</f>
        <v>exequielbalbarrey@hotmail.com</v>
      </c>
      <c r="K26" s="20" t="str">
        <f ca="1">IFERROR(__xludf.DUMMYFUNCTION("""COMPUTED_VALUE"""),"Masculino")</f>
        <v>Masculino</v>
      </c>
      <c r="L26" s="22" t="str">
        <f ca="1">IFERROR(__xludf.DUMMYFUNCTION("""COMPUTED_VALUE"""),"CNS")</f>
        <v>CNS</v>
      </c>
      <c r="M26" s="19"/>
      <c r="N26" s="20" t="str">
        <f ca="1">IFERROR(__xludf.DUMMYFUNCTION("""COMPUTED_VALUE"""),"WING FOIL")</f>
        <v>WING FOIL</v>
      </c>
      <c r="O26" s="20"/>
      <c r="P26" s="20">
        <f ca="1">IFERROR(__xludf.DUMMYFUNCTION("""COMPUTED_VALUE"""),10)</f>
        <v>10</v>
      </c>
      <c r="Q26" s="19"/>
      <c r="R26" s="19"/>
      <c r="S26" s="19"/>
      <c r="T26" s="19"/>
      <c r="U26" s="19"/>
      <c r="V26" s="19"/>
      <c r="W26" s="19"/>
      <c r="X26" s="23" t="str">
        <f ca="1">IFERROR(__xludf.DUMMYFUNCTION("""COMPUTED_VALUE"""),"Sanatorio santa fe ")</f>
        <v xml:space="preserve">Sanatorio santa fe </v>
      </c>
      <c r="Y26" s="20" t="str">
        <f ca="1">IFERROR(__xludf.DUMMYFUNCTION("""COMPUTED_VALUE"""),"Si")</f>
        <v>Si</v>
      </c>
      <c r="Z26" s="20" t="str">
        <f ca="1">IFERROR(__xludf.DUMMYFUNCTION("""COMPUTED_VALUE"""),"Acepto")</f>
        <v>Acepto</v>
      </c>
      <c r="AA26" s="17" t="str">
        <f ca="1">IFERROR(__xludf.DUMMYFUNCTION("""COMPUTED_VALUE"""),"Pendiente")</f>
        <v>Pendiente</v>
      </c>
      <c r="AB26" s="17"/>
      <c r="AC26" s="6"/>
      <c r="AD26" s="6"/>
      <c r="AE26" s="6"/>
      <c r="AF26" s="20"/>
      <c r="AG26" s="22"/>
    </row>
    <row r="27" spans="1:33" ht="13.2">
      <c r="A27" s="18">
        <f ca="1">IFERROR(__xludf.DUMMYFUNCTION("""COMPUTED_VALUE"""),45519.7975014467)</f>
        <v>45519.797501446701</v>
      </c>
      <c r="B27" s="19" t="str">
        <f ca="1">IFERROR(__xludf.DUMMYFUNCTION("""COMPUTED_VALUE"""),"Joaquin")</f>
        <v>Joaquin</v>
      </c>
      <c r="C27" s="19" t="str">
        <f ca="1">IFERROR(__xludf.DUMMYFUNCTION("""COMPUTED_VALUE"""),"Balbuena")</f>
        <v>Balbuena</v>
      </c>
      <c r="D27" s="19" t="str">
        <f ca="1">IFERROR(__xludf.DUMMYFUNCTION("""COMPUTED_VALUE"""),"Buenos aires")</f>
        <v>Buenos aires</v>
      </c>
      <c r="E27" s="20" t="str">
        <f ca="1">IFERROR(__xludf.DUMMYFUNCTION("""COMPUTED_VALUE"""),"ARG")</f>
        <v>ARG</v>
      </c>
      <c r="F27" s="20">
        <f ca="1">IFERROR(__xludf.DUMMYFUNCTION("""COMPUTED_VALUE"""),49835037)</f>
        <v>49835037</v>
      </c>
      <c r="G27" s="31">
        <f ca="1">IFERROR(__xludf.DUMMYFUNCTION("""COMPUTED_VALUE"""),40080)</f>
        <v>40080</v>
      </c>
      <c r="H27" s="32">
        <f ca="1">IFERROR(__xludf.DUMMYFUNCTION("""COMPUTED_VALUE"""),1131963911)</f>
        <v>1131963911</v>
      </c>
      <c r="I27" s="19">
        <f ca="1">IFERROR(__xludf.DUMMYFUNCTION("""COMPUTED_VALUE"""),1131963911)</f>
        <v>1131963911</v>
      </c>
      <c r="J27" s="19" t="str">
        <f ca="1">IFERROR(__xludf.DUMMYFUNCTION("""COMPUTED_VALUE"""),"Euge611@gmail.com")</f>
        <v>Euge611@gmail.com</v>
      </c>
      <c r="K27" s="19" t="str">
        <f ca="1">IFERROR(__xludf.DUMMYFUNCTION("""COMPUTED_VALUE"""),"Masculino")</f>
        <v>Masculino</v>
      </c>
      <c r="L27" s="22" t="str">
        <f ca="1">IFERROR(__xludf.DUMMYFUNCTION("""COMPUTED_VALUE"""),"BARRANCAS")</f>
        <v>BARRANCAS</v>
      </c>
      <c r="M27" s="19"/>
      <c r="N27" s="20" t="str">
        <f ca="1">IFERROR(__xludf.DUMMYFUNCTION("""COMPUTED_VALUE"""),"OPTIMIST TIMONELES")</f>
        <v>OPTIMIST TIMONELES</v>
      </c>
      <c r="O27" s="20"/>
      <c r="P27" s="20">
        <f ca="1">IFERROR(__xludf.DUMMYFUNCTION("""COMPUTED_VALUE"""),4032)</f>
        <v>4032</v>
      </c>
      <c r="Q27" s="19"/>
      <c r="R27" s="19"/>
      <c r="S27" s="19"/>
      <c r="T27" s="19"/>
      <c r="U27" s="19"/>
      <c r="V27" s="19"/>
      <c r="W27" s="19"/>
      <c r="X27" s="23" t="str">
        <f ca="1">IFERROR(__xludf.DUMMYFUNCTION("""COMPUTED_VALUE"""),"Swiss")</f>
        <v>Swiss</v>
      </c>
      <c r="Y27" s="20" t="str">
        <f ca="1">IFERROR(__xludf.DUMMYFUNCTION("""COMPUTED_VALUE"""),"Si")</f>
        <v>Si</v>
      </c>
      <c r="Z27" s="20" t="str">
        <f ca="1">IFERROR(__xludf.DUMMYFUNCTION("""COMPUTED_VALUE"""),"Acepto")</f>
        <v>Acepto</v>
      </c>
      <c r="AA27" s="17" t="str">
        <f ca="1">IFERROR(__xludf.DUMMYFUNCTION("""COMPUTED_VALUE"""),"Repetido")</f>
        <v>Repetido</v>
      </c>
      <c r="AB27" s="17"/>
      <c r="AC27" s="6"/>
      <c r="AD27" s="6"/>
      <c r="AE27" s="6"/>
      <c r="AF27" s="20"/>
      <c r="AG27" s="22"/>
    </row>
    <row r="28" spans="1:33" ht="13.2">
      <c r="A28" s="27">
        <f ca="1">IFERROR(__xludf.DUMMYFUNCTION("""COMPUTED_VALUE"""),45519.7994952314)</f>
        <v>45519.799495231397</v>
      </c>
      <c r="B28" s="11" t="str">
        <f ca="1">IFERROR(__xludf.DUMMYFUNCTION("""COMPUTED_VALUE"""),"Fran")</f>
        <v>Fran</v>
      </c>
      <c r="C28" s="11" t="str">
        <f ca="1">IFERROR(__xludf.DUMMYFUNCTION("""COMPUTED_VALUE"""),"Balbuena")</f>
        <v>Balbuena</v>
      </c>
      <c r="D28" s="11" t="str">
        <f ca="1">IFERROR(__xludf.DUMMYFUNCTION("""COMPUTED_VALUE"""),"Buenos aires")</f>
        <v>Buenos aires</v>
      </c>
      <c r="E28" s="12" t="str">
        <f ca="1">IFERROR(__xludf.DUMMYFUNCTION("""COMPUTED_VALUE"""),"ARG")</f>
        <v>ARG</v>
      </c>
      <c r="F28" s="12">
        <f ca="1">IFERROR(__xludf.DUMMYFUNCTION("""COMPUTED_VALUE"""),52676878)</f>
        <v>52676878</v>
      </c>
      <c r="G28" s="28">
        <f ca="1">IFERROR(__xludf.DUMMYFUNCTION("""COMPUTED_VALUE"""),41122)</f>
        <v>41122</v>
      </c>
      <c r="H28" s="12">
        <f ca="1">IFERROR(__xludf.DUMMYFUNCTION("""COMPUTED_VALUE"""),1131963911)</f>
        <v>1131963911</v>
      </c>
      <c r="I28" s="30">
        <f ca="1">IFERROR(__xludf.DUMMYFUNCTION("""COMPUTED_VALUE"""),1131963911)</f>
        <v>1131963911</v>
      </c>
      <c r="J28" s="12" t="str">
        <f ca="1">IFERROR(__xludf.DUMMYFUNCTION("""COMPUTED_VALUE"""),"Euge611@gmail.com")</f>
        <v>Euge611@gmail.com</v>
      </c>
      <c r="K28" s="12" t="str">
        <f ca="1">IFERROR(__xludf.DUMMYFUNCTION("""COMPUTED_VALUE"""),"Masculino")</f>
        <v>Masculino</v>
      </c>
      <c r="L28" s="15" t="str">
        <f ca="1">IFERROR(__xludf.DUMMYFUNCTION("""COMPUTED_VALUE"""),"BARRANCAS")</f>
        <v>BARRANCAS</v>
      </c>
      <c r="M28" s="11"/>
      <c r="N28" s="12" t="str">
        <f ca="1">IFERROR(__xludf.DUMMYFUNCTION("""COMPUTED_VALUE"""),"OPTIMIST TIMONELES")</f>
        <v>OPTIMIST TIMONELES</v>
      </c>
      <c r="O28" s="12"/>
      <c r="P28" s="12">
        <f ca="1">IFERROR(__xludf.DUMMYFUNCTION("""COMPUTED_VALUE"""),4092)</f>
        <v>4092</v>
      </c>
      <c r="Q28" s="12"/>
      <c r="R28" s="12"/>
      <c r="S28" s="12"/>
      <c r="T28" s="12"/>
      <c r="U28" s="12"/>
      <c r="V28" s="11"/>
      <c r="W28" s="11"/>
      <c r="X28" s="16" t="str">
        <f ca="1">IFERROR(__xludf.DUMMYFUNCTION("""COMPUTED_VALUE"""),"Swiss")</f>
        <v>Swiss</v>
      </c>
      <c r="Y28" s="12" t="str">
        <f ca="1">IFERROR(__xludf.DUMMYFUNCTION("""COMPUTED_VALUE"""),"Si")</f>
        <v>Si</v>
      </c>
      <c r="Z28" s="12" t="str">
        <f ca="1">IFERROR(__xludf.DUMMYFUNCTION("""COMPUTED_VALUE"""),"Acepto")</f>
        <v>Acepto</v>
      </c>
      <c r="AA28" s="17" t="str">
        <f ca="1">IFERROR(__xludf.DUMMYFUNCTION("""COMPUTED_VALUE"""),"Repetido")</f>
        <v>Repetido</v>
      </c>
      <c r="AB28" s="17"/>
      <c r="AC28" s="6"/>
      <c r="AD28" s="6"/>
      <c r="AE28" s="6"/>
      <c r="AF28" s="20"/>
      <c r="AG28" s="22"/>
    </row>
    <row r="29" spans="1:33" ht="13.2">
      <c r="A29" s="27">
        <f ca="1">IFERROR(__xludf.DUMMYFUNCTION("""COMPUTED_VALUE"""),45525.700451956)</f>
        <v>45525.700451956</v>
      </c>
      <c r="B29" s="11" t="str">
        <f ca="1">IFERROR(__xludf.DUMMYFUNCTION("""COMPUTED_VALUE"""),"Cayetana")</f>
        <v>Cayetana</v>
      </c>
      <c r="C29" s="11" t="str">
        <f ca="1">IFERROR(__xludf.DUMMYFUNCTION("""COMPUTED_VALUE"""),"Balbuena")</f>
        <v>Balbuena</v>
      </c>
      <c r="D29" s="11" t="str">
        <f ca="1">IFERROR(__xludf.DUMMYFUNCTION("""COMPUTED_VALUE"""),"Bs As")</f>
        <v>Bs As</v>
      </c>
      <c r="E29" s="12" t="str">
        <f ca="1">IFERROR(__xludf.DUMMYFUNCTION("""COMPUTED_VALUE"""),"ARG")</f>
        <v>ARG</v>
      </c>
      <c r="F29" s="12">
        <f ca="1">IFERROR(__xludf.DUMMYFUNCTION("""COMPUTED_VALUE"""),50235461)</f>
        <v>50235461</v>
      </c>
      <c r="G29" s="28">
        <f ca="1">IFERROR(__xludf.DUMMYFUNCTION("""COMPUTED_VALUE"""),40310)</f>
        <v>40310</v>
      </c>
      <c r="H29" s="12">
        <f ca="1">IFERROR(__xludf.DUMMYFUNCTION("""COMPUTED_VALUE"""),54638567)</f>
        <v>54638567</v>
      </c>
      <c r="I29" s="30" t="str">
        <f ca="1">IFERROR(__xludf.DUMMYFUNCTION("""COMPUTED_VALUE"""),"40692753 54638567")</f>
        <v>40692753 54638567</v>
      </c>
      <c r="J29" s="12" t="str">
        <f ca="1">IFERROR(__xludf.DUMMYFUNCTION("""COMPUTED_VALUE"""),"sbalbuena@mcca.com.ar")</f>
        <v>sbalbuena@mcca.com.ar</v>
      </c>
      <c r="K29" s="12" t="str">
        <f ca="1">IFERROR(__xludf.DUMMYFUNCTION("""COMPUTED_VALUE"""),"Femenino")</f>
        <v>Femenino</v>
      </c>
      <c r="L29" s="15" t="str">
        <f ca="1">IFERROR(__xludf.DUMMYFUNCTION("""COMPUTED_VALUE"""),"CPNLB")</f>
        <v>CPNLB</v>
      </c>
      <c r="M29" s="11" t="str">
        <f ca="1">IFERROR(__xludf.DUMMYFUNCTION("""COMPUTED_VALUE"""),"Femenino")</f>
        <v>Femenino</v>
      </c>
      <c r="N29" s="12" t="str">
        <f ca="1">IFERROR(__xludf.DUMMYFUNCTION("""COMPUTED_VALUE"""),"OPTIMIST TIMONELES")</f>
        <v>OPTIMIST TIMONELES</v>
      </c>
      <c r="O29" s="12"/>
      <c r="P29" s="12" t="str">
        <f ca="1">IFERROR(__xludf.DUMMYFUNCTION("""COMPUTED_VALUE"""),"Arg 4061")</f>
        <v>Arg 4061</v>
      </c>
      <c r="Q29" s="12"/>
      <c r="R29" s="12"/>
      <c r="S29" s="12"/>
      <c r="T29" s="12"/>
      <c r="U29" s="12"/>
      <c r="V29" s="11"/>
      <c r="W29" s="11"/>
      <c r="X29" s="16" t="str">
        <f ca="1">IFERROR(__xludf.DUMMYFUNCTION("""COMPUTED_VALUE"""),"Osde")</f>
        <v>Osde</v>
      </c>
      <c r="Y29" s="12" t="str">
        <f ca="1">IFERROR(__xludf.DUMMYFUNCTION("""COMPUTED_VALUE"""),"Si")</f>
        <v>Si</v>
      </c>
      <c r="Z29" s="12" t="str">
        <f ca="1">IFERROR(__xludf.DUMMYFUNCTION("""COMPUTED_VALUE"""),"Acepto")</f>
        <v>Acepto</v>
      </c>
      <c r="AA29" s="17" t="str">
        <f ca="1">IFERROR(__xludf.DUMMYFUNCTION("""COMPUTED_VALUE"""),"Pendiente")</f>
        <v>Pendiente</v>
      </c>
      <c r="AB29" s="17"/>
      <c r="AC29" s="6"/>
      <c r="AD29" s="6"/>
      <c r="AE29" s="6"/>
      <c r="AF29" s="20"/>
      <c r="AG29" s="22"/>
    </row>
    <row r="30" spans="1:33" ht="13.2">
      <c r="A30" s="35">
        <f ca="1">IFERROR(__xludf.DUMMYFUNCTION("""COMPUTED_VALUE"""),45535.4411291898)</f>
        <v>45535.4411291898</v>
      </c>
      <c r="B30" s="36" t="str">
        <f ca="1">IFERROR(__xludf.DUMMYFUNCTION("""COMPUTED_VALUE"""),"Joaco")</f>
        <v>Joaco</v>
      </c>
      <c r="C30" s="36" t="str">
        <f ca="1">IFERROR(__xludf.DUMMYFUNCTION("""COMPUTED_VALUE"""),"Balbuena")</f>
        <v>Balbuena</v>
      </c>
      <c r="D30" s="36" t="str">
        <f ca="1">IFERROR(__xludf.DUMMYFUNCTION("""COMPUTED_VALUE"""),"Acassuso")</f>
        <v>Acassuso</v>
      </c>
      <c r="E30" s="6" t="str">
        <f ca="1">IFERROR(__xludf.DUMMYFUNCTION("""COMPUTED_VALUE"""),"ARG")</f>
        <v>ARG</v>
      </c>
      <c r="F30" s="6">
        <f ca="1">IFERROR(__xludf.DUMMYFUNCTION("""COMPUTED_VALUE"""),49835037)</f>
        <v>49835037</v>
      </c>
      <c r="G30" s="37">
        <f ca="1">IFERROR(__xludf.DUMMYFUNCTION("""COMPUTED_VALUE"""),40080)</f>
        <v>40080</v>
      </c>
      <c r="H30" s="38">
        <f ca="1">IFERROR(__xludf.DUMMYFUNCTION("""COMPUTED_VALUE"""),1131963911)</f>
        <v>1131963911</v>
      </c>
      <c r="I30" s="39"/>
      <c r="J30" s="38" t="str">
        <f ca="1">IFERROR(__xludf.DUMMYFUNCTION("""COMPUTED_VALUE"""),"euge611@gmail.com")</f>
        <v>euge611@gmail.com</v>
      </c>
      <c r="K30" s="38" t="str">
        <f ca="1">IFERROR(__xludf.DUMMYFUNCTION("""COMPUTED_VALUE"""),"Masculino")</f>
        <v>Masculino</v>
      </c>
      <c r="L30" s="36" t="str">
        <f ca="1">IFERROR(__xludf.DUMMYFUNCTION("""COMPUTED_VALUE"""),"BARRANCAS")</f>
        <v>BARRANCAS</v>
      </c>
      <c r="M30" s="38"/>
      <c r="N30" s="6" t="str">
        <f ca="1">IFERROR(__xludf.DUMMYFUNCTION("""COMPUTED_VALUE"""),"OPTIMIST TIMONELES")</f>
        <v>OPTIMIST TIMONELES</v>
      </c>
      <c r="O30" s="6"/>
      <c r="P30" s="6">
        <f ca="1">IFERROR(__xludf.DUMMYFUNCTION("""COMPUTED_VALUE"""),4032)</f>
        <v>4032</v>
      </c>
      <c r="Q30" s="38"/>
      <c r="R30" s="38"/>
      <c r="S30" s="38"/>
      <c r="T30" s="38"/>
      <c r="U30" s="38"/>
      <c r="V30" s="38"/>
      <c r="W30" s="38"/>
      <c r="X30" s="40" t="str">
        <f ca="1">IFERROR(__xludf.DUMMYFUNCTION("""COMPUTED_VALUE"""),"Swiss medical")</f>
        <v>Swiss medical</v>
      </c>
      <c r="Y30" s="6" t="str">
        <f ca="1">IFERROR(__xludf.DUMMYFUNCTION("""COMPUTED_VALUE"""),"Si")</f>
        <v>Si</v>
      </c>
      <c r="Z30" s="6" t="str">
        <f ca="1">IFERROR(__xludf.DUMMYFUNCTION("""COMPUTED_VALUE"""),"Acepto")</f>
        <v>Acepto</v>
      </c>
      <c r="AA30" s="17" t="str">
        <f ca="1">IFERROR(__xludf.DUMMYFUNCTION("""COMPUTED_VALUE"""),"Terminado")</f>
        <v>Terminado</v>
      </c>
      <c r="AB30" s="17">
        <f ca="1">IFERROR(__xludf.DUMMYFUNCTION("""COMPUTED_VALUE"""),50000)</f>
        <v>50000</v>
      </c>
      <c r="AC30" s="6">
        <f ca="1">IFERROR(__xludf.DUMMYFUNCTION("""COMPUTED_VALUE"""),205115)</f>
        <v>205115</v>
      </c>
      <c r="AD30" s="6" t="str">
        <f ca="1">IFERROR(__xludf.DUMMYFUNCTION("""COMPUTED_VALUE"""),"Tarj 31-08")</f>
        <v>Tarj 31-08</v>
      </c>
      <c r="AE30" s="6"/>
      <c r="AF30" s="20"/>
      <c r="AG30" s="22"/>
    </row>
    <row r="31" spans="1:33" ht="13.2">
      <c r="A31" s="35">
        <f ca="1">IFERROR(__xludf.DUMMYFUNCTION("""COMPUTED_VALUE"""),45535.4422567708)</f>
        <v>45535.442256770802</v>
      </c>
      <c r="B31" s="36" t="str">
        <f ca="1">IFERROR(__xludf.DUMMYFUNCTION("""COMPUTED_VALUE"""),"Fran")</f>
        <v>Fran</v>
      </c>
      <c r="C31" s="36" t="str">
        <f ca="1">IFERROR(__xludf.DUMMYFUNCTION("""COMPUTED_VALUE"""),"Balbuena")</f>
        <v>Balbuena</v>
      </c>
      <c r="D31" s="36" t="str">
        <f ca="1">IFERROR(__xludf.DUMMYFUNCTION("""COMPUTED_VALUE"""),"Acassuso")</f>
        <v>Acassuso</v>
      </c>
      <c r="E31" s="6" t="str">
        <f ca="1">IFERROR(__xludf.DUMMYFUNCTION("""COMPUTED_VALUE"""),"ARG")</f>
        <v>ARG</v>
      </c>
      <c r="F31" s="6">
        <f ca="1">IFERROR(__xludf.DUMMYFUNCTION("""COMPUTED_VALUE"""),52676878)</f>
        <v>52676878</v>
      </c>
      <c r="G31" s="37">
        <f ca="1">IFERROR(__xludf.DUMMYFUNCTION("""COMPUTED_VALUE"""),41122)</f>
        <v>41122</v>
      </c>
      <c r="H31" s="38">
        <f ca="1">IFERROR(__xludf.DUMMYFUNCTION("""COMPUTED_VALUE"""),1131963911)</f>
        <v>1131963911</v>
      </c>
      <c r="I31" s="38"/>
      <c r="J31" s="38" t="str">
        <f ca="1">IFERROR(__xludf.DUMMYFUNCTION("""COMPUTED_VALUE"""),"euge611@gmail.com")</f>
        <v>euge611@gmail.com</v>
      </c>
      <c r="K31" s="38" t="str">
        <f ca="1">IFERROR(__xludf.DUMMYFUNCTION("""COMPUTED_VALUE"""),"Masculino")</f>
        <v>Masculino</v>
      </c>
      <c r="L31" s="36" t="str">
        <f ca="1">IFERROR(__xludf.DUMMYFUNCTION("""COMPUTED_VALUE"""),"BARRANCAS")</f>
        <v>BARRANCAS</v>
      </c>
      <c r="M31" s="38"/>
      <c r="N31" s="6" t="str">
        <f ca="1">IFERROR(__xludf.DUMMYFUNCTION("""COMPUTED_VALUE"""),"OPTIMIST TIMONELES")</f>
        <v>OPTIMIST TIMONELES</v>
      </c>
      <c r="O31" s="6"/>
      <c r="P31" s="6">
        <f ca="1">IFERROR(__xludf.DUMMYFUNCTION("""COMPUTED_VALUE"""),4092)</f>
        <v>4092</v>
      </c>
      <c r="Q31" s="38"/>
      <c r="R31" s="38"/>
      <c r="S31" s="38"/>
      <c r="T31" s="38"/>
      <c r="U31" s="38"/>
      <c r="V31" s="38"/>
      <c r="W31" s="38"/>
      <c r="X31" s="40" t="str">
        <f ca="1">IFERROR(__xludf.DUMMYFUNCTION("""COMPUTED_VALUE"""),"Swiss medical")</f>
        <v>Swiss medical</v>
      </c>
      <c r="Y31" s="6" t="str">
        <f ca="1">IFERROR(__xludf.DUMMYFUNCTION("""COMPUTED_VALUE"""),"Si")</f>
        <v>Si</v>
      </c>
      <c r="Z31" s="6" t="str">
        <f ca="1">IFERROR(__xludf.DUMMYFUNCTION("""COMPUTED_VALUE"""),"Acepto")</f>
        <v>Acepto</v>
      </c>
      <c r="AA31" s="41" t="str">
        <f ca="1">IFERROR(__xludf.DUMMYFUNCTION("""COMPUTED_VALUE"""),"Terminado")</f>
        <v>Terminado</v>
      </c>
      <c r="AB31" s="41">
        <f ca="1">IFERROR(__xludf.DUMMYFUNCTION("""COMPUTED_VALUE"""),50000)</f>
        <v>50000</v>
      </c>
      <c r="AC31" s="6">
        <f ca="1">IFERROR(__xludf.DUMMYFUNCTION("""COMPUTED_VALUE"""),205115)</f>
        <v>205115</v>
      </c>
      <c r="AD31" s="6" t="str">
        <f ca="1">IFERROR(__xludf.DUMMYFUNCTION("""COMPUTED_VALUE"""),"Tarj 31-08")</f>
        <v>Tarj 31-08</v>
      </c>
      <c r="AE31" s="6"/>
      <c r="AF31" s="6"/>
      <c r="AG31" s="36"/>
    </row>
    <row r="32" spans="1:33" ht="13.2">
      <c r="A32" s="18">
        <f ca="1">IFERROR(__xludf.DUMMYFUNCTION("""COMPUTED_VALUE"""),45536.4394899768)</f>
        <v>45536.439489976801</v>
      </c>
      <c r="B32" s="19" t="str">
        <f ca="1">IFERROR(__xludf.DUMMYFUNCTION("""COMPUTED_VALUE"""),"Lola")</f>
        <v>Lola</v>
      </c>
      <c r="C32" s="19" t="str">
        <f ca="1">IFERROR(__xludf.DUMMYFUNCTION("""COMPUTED_VALUE"""),"Barceló")</f>
        <v>Barceló</v>
      </c>
      <c r="D32" s="19" t="str">
        <f ca="1">IFERROR(__xludf.DUMMYFUNCTION("""COMPUTED_VALUE"""),"San Pedro")</f>
        <v>San Pedro</v>
      </c>
      <c r="E32" s="20" t="str">
        <f ca="1">IFERROR(__xludf.DUMMYFUNCTION("""COMPUTED_VALUE"""),"ARG")</f>
        <v>ARG</v>
      </c>
      <c r="F32" s="20">
        <f ca="1">IFERROR(__xludf.DUMMYFUNCTION("""COMPUTED_VALUE"""),25096935)</f>
        <v>25096935</v>
      </c>
      <c r="G32" s="31">
        <f ca="1">IFERROR(__xludf.DUMMYFUNCTION("""COMPUTED_VALUE"""),41145)</f>
        <v>41145</v>
      </c>
      <c r="H32" s="32" t="str">
        <f ca="1">IFERROR(__xludf.DUMMYFUNCTION("""COMPUTED_VALUE"""),"11 5835 5770")</f>
        <v>11 5835 5770</v>
      </c>
      <c r="I32" s="19" t="str">
        <f ca="1">IFERROR(__xludf.DUMMYFUNCTION("""COMPUTED_VALUE"""),"11 5835 5770 ")</f>
        <v xml:space="preserve">11 5835 5770 </v>
      </c>
      <c r="J32" s="19" t="str">
        <f ca="1">IFERROR(__xludf.DUMMYFUNCTION("""COMPUTED_VALUE"""),"sole_mz@yahoo.com.ar")</f>
        <v>sole_mz@yahoo.com.ar</v>
      </c>
      <c r="K32" s="19" t="str">
        <f ca="1">IFERROR(__xludf.DUMMYFUNCTION("""COMPUTED_VALUE"""),"Femenino")</f>
        <v>Femenino</v>
      </c>
      <c r="L32" s="22" t="str">
        <f ca="1">IFERROR(__xludf.DUMMYFUNCTION("""COMPUTED_VALUE"""),"CNSP")</f>
        <v>CNSP</v>
      </c>
      <c r="M32" s="19" t="str">
        <f ca="1">IFERROR(__xludf.DUMMYFUNCTION("""COMPUTED_VALUE"""),"Femenino, Interior (Optimist)")</f>
        <v>Femenino, Interior (Optimist)</v>
      </c>
      <c r="N32" s="20" t="str">
        <f ca="1">IFERROR(__xludf.DUMMYFUNCTION("""COMPUTED_VALUE"""),"OPTIMIST TIMONELES")</f>
        <v>OPTIMIST TIMONELES</v>
      </c>
      <c r="O32" s="20"/>
      <c r="P32" s="20">
        <f ca="1">IFERROR(__xludf.DUMMYFUNCTION("""COMPUTED_VALUE"""),3908)</f>
        <v>3908</v>
      </c>
      <c r="Q32" s="19"/>
      <c r="R32" s="19"/>
      <c r="S32" s="19"/>
      <c r="T32" s="19"/>
      <c r="U32" s="19"/>
      <c r="V32" s="19"/>
      <c r="W32" s="19"/>
      <c r="X32" s="23" t="str">
        <f ca="1">IFERROR(__xludf.DUMMYFUNCTION("""COMPUTED_VALUE"""),"Swiss Medical")</f>
        <v>Swiss Medical</v>
      </c>
      <c r="Y32" s="20" t="str">
        <f ca="1">IFERROR(__xludf.DUMMYFUNCTION("""COMPUTED_VALUE"""),"Si")</f>
        <v>Si</v>
      </c>
      <c r="Z32" s="20" t="str">
        <f ca="1">IFERROR(__xludf.DUMMYFUNCTION("""COMPUTED_VALUE"""),"Acepto")</f>
        <v>Acepto</v>
      </c>
      <c r="AA32" s="17" t="str">
        <f ca="1">IFERROR(__xludf.DUMMYFUNCTION("""COMPUTED_VALUE"""),"Terminado")</f>
        <v>Terminado</v>
      </c>
      <c r="AB32" s="17">
        <f ca="1">IFERROR(__xludf.DUMMYFUNCTION("""COMPUTED_VALUE"""),42500)</f>
        <v>42500</v>
      </c>
      <c r="AC32" s="6">
        <f ca="1">IFERROR(__xludf.DUMMYFUNCTION("""COMPUTED_VALUE"""),205376)</f>
        <v>205376</v>
      </c>
      <c r="AD32" s="6" t="str">
        <f ca="1">IFERROR(__xludf.DUMMYFUNCTION("""COMPUTED_VALUE"""),"TRF 02-09")</f>
        <v>TRF 02-09</v>
      </c>
      <c r="AE32" s="6"/>
      <c r="AF32" s="20"/>
      <c r="AG32" s="22"/>
    </row>
    <row r="33" spans="1:33" ht="13.2">
      <c r="A33" s="27">
        <f ca="1">IFERROR(__xludf.DUMMYFUNCTION("""COMPUTED_VALUE"""),45538.4740970717)</f>
        <v>45538.474097071703</v>
      </c>
      <c r="B33" s="11" t="str">
        <f ca="1">IFERROR(__xludf.DUMMYFUNCTION("""COMPUTED_VALUE"""),"Isaías")</f>
        <v>Isaías</v>
      </c>
      <c r="C33" s="11" t="str">
        <f ca="1">IFERROR(__xludf.DUMMYFUNCTION("""COMPUTED_VALUE"""),"Barrera")</f>
        <v>Barrera</v>
      </c>
      <c r="D33" s="11" t="str">
        <f ca="1">IFERROR(__xludf.DUMMYFUNCTION("""COMPUTED_VALUE"""),"San Isidro")</f>
        <v>San Isidro</v>
      </c>
      <c r="E33" s="12" t="str">
        <f ca="1">IFERROR(__xludf.DUMMYFUNCTION("""COMPUTED_VALUE"""),"ARG")</f>
        <v>ARG</v>
      </c>
      <c r="F33" s="12">
        <f ca="1">IFERROR(__xludf.DUMMYFUNCTION("""COMPUTED_VALUE"""),52593162)</f>
        <v>52593162</v>
      </c>
      <c r="G33" s="28">
        <f ca="1">IFERROR(__xludf.DUMMYFUNCTION("""COMPUTED_VALUE"""),41070)</f>
        <v>41070</v>
      </c>
      <c r="H33" s="12" t="str">
        <f ca="1">IFERROR(__xludf.DUMMYFUNCTION("""COMPUTED_VALUE"""),"+54 9 11 3394-3846")</f>
        <v>+54 9 11 3394-3846</v>
      </c>
      <c r="I33" s="12"/>
      <c r="J33" s="12" t="str">
        <f ca="1">IFERROR(__xludf.DUMMYFUNCTION("""COMPUTED_VALUE"""),"ignacio.varisco@gmail.com")</f>
        <v>ignacio.varisco@gmail.com</v>
      </c>
      <c r="K33" s="12" t="str">
        <f ca="1">IFERROR(__xludf.DUMMYFUNCTION("""COMPUTED_VALUE"""),"Masculino")</f>
        <v>Masculino</v>
      </c>
      <c r="L33" s="15" t="str">
        <f ca="1">IFERROR(__xludf.DUMMYFUNCTION("""COMPUTED_VALUE"""),"CPNLB- CBRIO")</f>
        <v>CPNLB- CBRIO</v>
      </c>
      <c r="M33" s="11"/>
      <c r="N33" s="12" t="str">
        <f ca="1">IFERROR(__xludf.DUMMYFUNCTION("""COMPUTED_VALUE"""),"OPTIMIST TIMONELES")</f>
        <v>OPTIMIST TIMONELES</v>
      </c>
      <c r="O33" s="12"/>
      <c r="P33" s="12" t="str">
        <f ca="1">IFERROR(__xludf.DUMMYFUNCTION("""COMPUTED_VALUE"""),"ARG 3828")</f>
        <v>ARG 3828</v>
      </c>
      <c r="Q33" s="12" t="str">
        <f ca="1">IFERROR(__xludf.DUMMYFUNCTION("""COMPUTED_VALUE"""),"Foiler")</f>
        <v>Foiler</v>
      </c>
      <c r="R33" s="12"/>
      <c r="S33" s="12"/>
      <c r="T33" s="12"/>
      <c r="U33" s="12"/>
      <c r="V33" s="11"/>
      <c r="W33" s="11"/>
      <c r="X33" s="16"/>
      <c r="Y33" s="12" t="str">
        <f ca="1">IFERROR(__xludf.DUMMYFUNCTION("""COMPUTED_VALUE"""),"Si")</f>
        <v>Si</v>
      </c>
      <c r="Z33" s="12" t="str">
        <f ca="1">IFERROR(__xludf.DUMMYFUNCTION("""COMPUTED_VALUE"""),"Acepto")</f>
        <v>Acepto</v>
      </c>
      <c r="AA33" s="24" t="str">
        <f ca="1">IFERROR(__xludf.DUMMYFUNCTION("""COMPUTED_VALUE"""),"Pendiente")</f>
        <v>Pendiente</v>
      </c>
      <c r="AB33" s="24"/>
      <c r="AC33" s="6"/>
      <c r="AD33" s="6"/>
      <c r="AE33" s="6"/>
      <c r="AF33" s="12"/>
      <c r="AG33" s="15"/>
    </row>
    <row r="34" spans="1:33" ht="13.2">
      <c r="A34" s="27">
        <f ca="1">IFERROR(__xludf.DUMMYFUNCTION("""COMPUTED_VALUE"""),45535.832373449)</f>
        <v>45535.832373448997</v>
      </c>
      <c r="B34" s="11" t="str">
        <f ca="1">IFERROR(__xludf.DUMMYFUNCTION("""COMPUTED_VALUE"""),"Delfina")</f>
        <v>Delfina</v>
      </c>
      <c r="C34" s="11" t="str">
        <f ca="1">IFERROR(__xludf.DUMMYFUNCTION("""COMPUTED_VALUE"""),"Becerra")</f>
        <v>Becerra</v>
      </c>
      <c r="D34" s="11" t="str">
        <f ca="1">IFERROR(__xludf.DUMMYFUNCTION("""COMPUTED_VALUE"""),"San Fernando")</f>
        <v>San Fernando</v>
      </c>
      <c r="E34" s="12" t="str">
        <f ca="1">IFERROR(__xludf.DUMMYFUNCTION("""COMPUTED_VALUE"""),"ARG")</f>
        <v>ARG</v>
      </c>
      <c r="F34" s="12">
        <f ca="1">IFERROR(__xludf.DUMMYFUNCTION("""COMPUTED_VALUE"""),51183098)</f>
        <v>51183098</v>
      </c>
      <c r="G34" s="28">
        <f ca="1">IFERROR(__xludf.DUMMYFUNCTION("""COMPUTED_VALUE"""),40733)</f>
        <v>40733</v>
      </c>
      <c r="H34" s="12">
        <f ca="1">IFERROR(__xludf.DUMMYFUNCTION("""COMPUTED_VALUE"""),1154522861)</f>
        <v>1154522861</v>
      </c>
      <c r="I34" s="12">
        <f ca="1">IFERROR(__xludf.DUMMYFUNCTION("""COMPUTED_VALUE"""),1154522871)</f>
        <v>1154522871</v>
      </c>
      <c r="J34" s="12" t="str">
        <f ca="1">IFERROR(__xludf.DUMMYFUNCTION("""COMPUTED_VALUE"""),"mechicanofrers@hotmail.com")</f>
        <v>mechicanofrers@hotmail.com</v>
      </c>
      <c r="K34" s="12" t="str">
        <f ca="1">IFERROR(__xludf.DUMMYFUNCTION("""COMPUTED_VALUE"""),"Femenino")</f>
        <v>Femenino</v>
      </c>
      <c r="L34" s="15" t="str">
        <f ca="1">IFERROR(__xludf.DUMMYFUNCTION("""COMPUTED_VALUE"""),"CNSI")</f>
        <v>CNSI</v>
      </c>
      <c r="M34" s="11" t="str">
        <f ca="1">IFERROR(__xludf.DUMMYFUNCTION("""COMPUTED_VALUE"""),"Femenino")</f>
        <v>Femenino</v>
      </c>
      <c r="N34" s="12" t="str">
        <f ca="1">IFERROR(__xludf.DUMMYFUNCTION("""COMPUTED_VALUE"""),"OPTIMIST TIMONELES")</f>
        <v>OPTIMIST TIMONELES</v>
      </c>
      <c r="O34" s="12"/>
      <c r="P34" s="12">
        <f ca="1">IFERROR(__xludf.DUMMYFUNCTION("""COMPUTED_VALUE"""),4)</f>
        <v>4</v>
      </c>
      <c r="Q34" s="12"/>
      <c r="R34" s="12"/>
      <c r="S34" s="12"/>
      <c r="T34" s="12"/>
      <c r="U34" s="12"/>
      <c r="V34" s="11"/>
      <c r="W34" s="11"/>
      <c r="X34" s="16">
        <f ca="1">IFERROR(__xludf.DUMMYFUNCTION("""COMPUTED_VALUE"""),60796880905)</f>
        <v>60796880905</v>
      </c>
      <c r="Y34" s="12" t="str">
        <f ca="1">IFERROR(__xludf.DUMMYFUNCTION("""COMPUTED_VALUE"""),"No")</f>
        <v>No</v>
      </c>
      <c r="Z34" s="12" t="str">
        <f ca="1">IFERROR(__xludf.DUMMYFUNCTION("""COMPUTED_VALUE"""),"Acepto")</f>
        <v>Acepto</v>
      </c>
      <c r="AA34" s="24" t="str">
        <f ca="1">IFERROR(__xludf.DUMMYFUNCTION("""COMPUTED_VALUE"""),"Terminado")</f>
        <v>Terminado</v>
      </c>
      <c r="AB34" s="24">
        <f ca="1">IFERROR(__xludf.DUMMYFUNCTION("""COMPUTED_VALUE"""),50000)</f>
        <v>50000</v>
      </c>
      <c r="AC34" s="6">
        <f ca="1">IFERROR(__xludf.DUMMYFUNCTION("""COMPUTED_VALUE"""),205346)</f>
        <v>205346</v>
      </c>
      <c r="AD34" s="6" t="str">
        <f ca="1">IFERROR(__xludf.DUMMYFUNCTION("""COMPUTED_VALUE"""),"TRF 31-08")</f>
        <v>TRF 31-08</v>
      </c>
      <c r="AE34" s="6"/>
      <c r="AF34" s="12"/>
      <c r="AG34" s="15"/>
    </row>
    <row r="35" spans="1:33" ht="13.2">
      <c r="A35" s="27">
        <f ca="1">IFERROR(__xludf.DUMMYFUNCTION("""COMPUTED_VALUE"""),45540.6294990972)</f>
        <v>45540.629499097202</v>
      </c>
      <c r="B35" s="11" t="str">
        <f ca="1">IFERROR(__xludf.DUMMYFUNCTION("""COMPUTED_VALUE"""),"Jaime ")</f>
        <v xml:space="preserve">Jaime </v>
      </c>
      <c r="C35" s="11" t="str">
        <f ca="1">IFERROR(__xludf.DUMMYFUNCTION("""COMPUTED_VALUE"""),"Bejarano ")</f>
        <v xml:space="preserve">Bejarano </v>
      </c>
      <c r="D35" s="11" t="str">
        <f ca="1">IFERROR(__xludf.DUMMYFUNCTION("""COMPUTED_VALUE"""),"San Isidro ")</f>
        <v xml:space="preserve">San Isidro </v>
      </c>
      <c r="E35" s="12" t="str">
        <f ca="1">IFERROR(__xludf.DUMMYFUNCTION("""COMPUTED_VALUE"""),"ARG")</f>
        <v>ARG</v>
      </c>
      <c r="F35" s="12">
        <f ca="1">IFERROR(__xludf.DUMMYFUNCTION("""COMPUTED_VALUE"""),14455785)</f>
        <v>14455785</v>
      </c>
      <c r="G35" s="28">
        <f ca="1">IFERROR(__xludf.DUMMYFUNCTION("""COMPUTED_VALUE"""),45511)</f>
        <v>45511</v>
      </c>
      <c r="H35" s="12">
        <f ca="1">IFERROR(__xludf.DUMMYFUNCTION("""COMPUTED_VALUE"""),1144758200)</f>
        <v>1144758200</v>
      </c>
      <c r="I35" s="30">
        <f ca="1">IFERROR(__xludf.DUMMYFUNCTION("""COMPUTED_VALUE"""),1144758200)</f>
        <v>1144758200</v>
      </c>
      <c r="J35" s="12" t="str">
        <f ca="1">IFERROR(__xludf.DUMMYFUNCTION("""COMPUTED_VALUE"""),"bejarano33@gmail.com")</f>
        <v>bejarano33@gmail.com</v>
      </c>
      <c r="K35" s="12" t="str">
        <f ca="1">IFERROR(__xludf.DUMMYFUNCTION("""COMPUTED_VALUE"""),"Masculino")</f>
        <v>Masculino</v>
      </c>
      <c r="L35" s="15" t="str">
        <f ca="1">IFERROR(__xludf.DUMMYFUNCTION("""COMPUTED_VALUE"""),"Cpnlb")</f>
        <v>Cpnlb</v>
      </c>
      <c r="M35" s="11"/>
      <c r="N35" s="12" t="str">
        <f ca="1">IFERROR(__xludf.DUMMYFUNCTION("""COMPUTED_VALUE"""),"GRUMETE")</f>
        <v>GRUMETE</v>
      </c>
      <c r="O35" s="12"/>
      <c r="P35" s="12">
        <f ca="1">IFERROR(__xludf.DUMMYFUNCTION("""COMPUTED_VALUE"""),300)</f>
        <v>300</v>
      </c>
      <c r="Q35" s="12" t="str">
        <f ca="1">IFERROR(__xludf.DUMMYFUNCTION("""COMPUTED_VALUE"""),"Antares")</f>
        <v>Antares</v>
      </c>
      <c r="R35" s="12" t="str">
        <f ca="1">IFERROR(__xludf.DUMMYFUNCTION("""COMPUTED_VALUE"""),"Verena Zagni")</f>
        <v>Verena Zagni</v>
      </c>
      <c r="S35" s="12" t="str">
        <f ca="1">IFERROR(__xludf.DUMMYFUNCTION("""COMPUTED_VALUE"""),"Roberto Ricoveri ")</f>
        <v xml:space="preserve">Roberto Ricoveri </v>
      </c>
      <c r="T35" s="12"/>
      <c r="U35" s="12"/>
      <c r="V35" s="11"/>
      <c r="W35" s="11"/>
      <c r="X35" s="16"/>
      <c r="Y35" s="12" t="str">
        <f ca="1">IFERROR(__xludf.DUMMYFUNCTION("""COMPUTED_VALUE"""),"No")</f>
        <v>No</v>
      </c>
      <c r="Z35" s="12" t="str">
        <f ca="1">IFERROR(__xludf.DUMMYFUNCTION("""COMPUTED_VALUE"""),"Acepto")</f>
        <v>Acepto</v>
      </c>
      <c r="AA35" s="24" t="str">
        <f ca="1">IFERROR(__xludf.DUMMYFUNCTION("""COMPUTED_VALUE"""),"Pendiente")</f>
        <v>Pendiente</v>
      </c>
      <c r="AB35" s="24"/>
      <c r="AC35" s="6"/>
      <c r="AD35" s="6"/>
      <c r="AE35" s="6"/>
      <c r="AF35" s="12"/>
      <c r="AG35" s="15"/>
    </row>
    <row r="36" spans="1:33" ht="13.2">
      <c r="A36" s="27">
        <f ca="1">IFERROR(__xludf.DUMMYFUNCTION("""COMPUTED_VALUE"""),45538.5886824305)</f>
        <v>45538.588682430498</v>
      </c>
      <c r="B36" s="11" t="str">
        <f ca="1">IFERROR(__xludf.DUMMYFUNCTION("""COMPUTED_VALUE"""),"AMELIA ")</f>
        <v xml:space="preserve">AMELIA </v>
      </c>
      <c r="C36" s="11" t="str">
        <f ca="1">IFERROR(__xludf.DUMMYFUNCTION("""COMPUTED_VALUE"""),"BELARDI DE LEON ")</f>
        <v xml:space="preserve">BELARDI DE LEON </v>
      </c>
      <c r="D36" s="11" t="str">
        <f ca="1">IFERROR(__xludf.DUMMYFUNCTION("""COMPUTED_VALUE"""),"Buenos Aires ")</f>
        <v xml:space="preserve">Buenos Aires </v>
      </c>
      <c r="E36" s="12" t="str">
        <f ca="1">IFERROR(__xludf.DUMMYFUNCTION("""COMPUTED_VALUE"""),"ARG")</f>
        <v>ARG</v>
      </c>
      <c r="F36" s="12">
        <f ca="1">IFERROR(__xludf.DUMMYFUNCTION("""COMPUTED_VALUE"""),51397535)</f>
        <v>51397535</v>
      </c>
      <c r="G36" s="28">
        <f ca="1">IFERROR(__xludf.DUMMYFUNCTION("""COMPUTED_VALUE"""),40806)</f>
        <v>40806</v>
      </c>
      <c r="H36" s="12">
        <f ca="1">IFERROR(__xludf.DUMMYFUNCTION("""COMPUTED_VALUE"""),1534037248)</f>
        <v>1534037248</v>
      </c>
      <c r="I36" s="12">
        <f ca="1">IFERROR(__xludf.DUMMYFUNCTION("""COMPUTED_VALUE"""),1534195571)</f>
        <v>1534195571</v>
      </c>
      <c r="J36" s="12" t="str">
        <f ca="1">IFERROR(__xludf.DUMMYFUNCTION("""COMPUTED_VALUE"""),"pikicernic@gmail.com")</f>
        <v>pikicernic@gmail.com</v>
      </c>
      <c r="K36" s="12" t="str">
        <f ca="1">IFERROR(__xludf.DUMMYFUNCTION("""COMPUTED_VALUE"""),"Femenino")</f>
        <v>Femenino</v>
      </c>
      <c r="L36" s="15" t="str">
        <f ca="1">IFERROR(__xludf.DUMMYFUNCTION("""COMPUTED_VALUE"""),"CNSI")</f>
        <v>CNSI</v>
      </c>
      <c r="M36" s="11"/>
      <c r="N36" s="12" t="str">
        <f ca="1">IFERROR(__xludf.DUMMYFUNCTION("""COMPUTED_VALUE"""),"OPTIMIST TIMONELES")</f>
        <v>OPTIMIST TIMONELES</v>
      </c>
      <c r="O36" s="12"/>
      <c r="P36" s="12" t="str">
        <f ca="1">IFERROR(__xludf.DUMMYFUNCTION("""COMPUTED_VALUE"""),"ARG 4096")</f>
        <v>ARG 4096</v>
      </c>
      <c r="Q36" s="12"/>
      <c r="R36" s="30"/>
      <c r="S36" s="12"/>
      <c r="T36" s="12"/>
      <c r="U36" s="12"/>
      <c r="V36" s="11"/>
      <c r="W36" s="11"/>
      <c r="X36" s="16" t="str">
        <f ca="1">IFERROR(__xludf.DUMMYFUNCTION("""COMPUTED_VALUE"""),"OSDE 60844562103")</f>
        <v>OSDE 60844562103</v>
      </c>
      <c r="Y36" s="12" t="str">
        <f ca="1">IFERROR(__xludf.DUMMYFUNCTION("""COMPUTED_VALUE"""),"No")</f>
        <v>No</v>
      </c>
      <c r="Z36" s="12" t="str">
        <f ca="1">IFERROR(__xludf.DUMMYFUNCTION("""COMPUTED_VALUE"""),"Acepto")</f>
        <v>Acepto</v>
      </c>
      <c r="AA36" s="24" t="str">
        <f ca="1">IFERROR(__xludf.DUMMYFUNCTION("""COMPUTED_VALUE"""),"Terminado")</f>
        <v>Terminado</v>
      </c>
      <c r="AB36" s="24">
        <f ca="1">IFERROR(__xludf.DUMMYFUNCTION("""COMPUTED_VALUE"""),50000)</f>
        <v>50000</v>
      </c>
      <c r="AC36" s="6">
        <f ca="1">IFERROR(__xludf.DUMMYFUNCTION("""COMPUTED_VALUE"""),205434)</f>
        <v>205434</v>
      </c>
      <c r="AD36" s="6" t="str">
        <f ca="1">IFERROR(__xludf.DUMMYFUNCTION("""COMPUTED_VALUE"""),"TRF 03-09")</f>
        <v>TRF 03-09</v>
      </c>
      <c r="AE36" s="6"/>
      <c r="AF36" s="12"/>
      <c r="AG36" s="15"/>
    </row>
    <row r="37" spans="1:33" ht="13.2">
      <c r="A37" s="27">
        <f ca="1">IFERROR(__xludf.DUMMYFUNCTION("""COMPUTED_VALUE"""),45539.7072400926)</f>
        <v>45539.707240092597</v>
      </c>
      <c r="B37" s="11" t="str">
        <f ca="1">IFERROR(__xludf.DUMMYFUNCTION("""COMPUTED_VALUE"""),"Guillermo")</f>
        <v>Guillermo</v>
      </c>
      <c r="C37" s="11" t="str">
        <f ca="1">IFERROR(__xludf.DUMMYFUNCTION("""COMPUTED_VALUE"""),"Bellinotto")</f>
        <v>Bellinotto</v>
      </c>
      <c r="D37" s="11" t="str">
        <f ca="1">IFERROR(__xludf.DUMMYFUNCTION("""COMPUTED_VALUE"""),"caba")</f>
        <v>caba</v>
      </c>
      <c r="E37" s="12" t="str">
        <f ca="1">IFERROR(__xludf.DUMMYFUNCTION("""COMPUTED_VALUE"""),"ARG")</f>
        <v>ARG</v>
      </c>
      <c r="F37" s="12">
        <f ca="1">IFERROR(__xludf.DUMMYFUNCTION("""COMPUTED_VALUE"""),26435858)</f>
        <v>26435858</v>
      </c>
      <c r="G37" s="28">
        <f ca="1">IFERROR(__xludf.DUMMYFUNCTION("""COMPUTED_VALUE"""),28532)</f>
        <v>28532</v>
      </c>
      <c r="H37" s="12">
        <f ca="1">IFERROR(__xludf.DUMMYFUNCTION("""COMPUTED_VALUE"""),1150237233)</f>
        <v>1150237233</v>
      </c>
      <c r="I37" s="12">
        <f ca="1">IFERROR(__xludf.DUMMYFUNCTION("""COMPUTED_VALUE"""),1150237233)</f>
        <v>1150237233</v>
      </c>
      <c r="J37" s="12" t="str">
        <f ca="1">IFERROR(__xludf.DUMMYFUNCTION("""COMPUTED_VALUE"""),"guillebellinotto@hotmail.com")</f>
        <v>guillebellinotto@hotmail.com</v>
      </c>
      <c r="K37" s="12" t="str">
        <f ca="1">IFERROR(__xludf.DUMMYFUNCTION("""COMPUTED_VALUE"""),"Masculino")</f>
        <v>Masculino</v>
      </c>
      <c r="L37" s="15" t="str">
        <f ca="1">IFERROR(__xludf.DUMMYFUNCTION("""COMPUTED_VALUE"""),"CUBA / NCNE")</f>
        <v>CUBA / NCNE</v>
      </c>
      <c r="M37" s="11" t="str">
        <f ca="1">IFERROR(__xludf.DUMMYFUNCTION("""COMPUTED_VALUE"""),"j70")</f>
        <v>j70</v>
      </c>
      <c r="N37" s="12" t="str">
        <f ca="1">IFERROR(__xludf.DUMMYFUNCTION("""COMPUTED_VALUE"""),"J 70")</f>
        <v>J 70</v>
      </c>
      <c r="O37" s="12">
        <f ca="1">IFERROR(__xludf.DUMMYFUNCTION("""COMPUTED_VALUE"""),12)</f>
        <v>12</v>
      </c>
      <c r="P37" s="12">
        <f ca="1">IFERROR(__xludf.DUMMYFUNCTION("""COMPUTED_VALUE"""),1198)</f>
        <v>1198</v>
      </c>
      <c r="Q37" s="12"/>
      <c r="R37" s="12" t="str">
        <f ca="1">IFERROR(__xludf.DUMMYFUNCTION("""COMPUTED_VALUE"""),"Gringo Pueyrredon")</f>
        <v>Gringo Pueyrredon</v>
      </c>
      <c r="S37" s="12" t="str">
        <f ca="1">IFERROR(__xludf.DUMMYFUNCTION("""COMPUTED_VALUE"""),"Alfonso Campos")</f>
        <v>Alfonso Campos</v>
      </c>
      <c r="T37" s="12"/>
      <c r="U37" s="12" t="str">
        <f ca="1">IFERROR(__xludf.DUMMYFUNCTION("""COMPUTED_VALUE"""),"Nicolas cubria")</f>
        <v>Nicolas cubria</v>
      </c>
      <c r="V37" s="11"/>
      <c r="W37" s="11"/>
      <c r="X37" s="16" t="str">
        <f ca="1">IFERROR(__xludf.DUMMYFUNCTION("""COMPUTED_VALUE"""),"Swiss Medical")</f>
        <v>Swiss Medical</v>
      </c>
      <c r="Y37" s="12" t="str">
        <f ca="1">IFERROR(__xludf.DUMMYFUNCTION("""COMPUTED_VALUE"""),"No")</f>
        <v>No</v>
      </c>
      <c r="Z37" s="12" t="str">
        <f ca="1">IFERROR(__xludf.DUMMYFUNCTION("""COMPUTED_VALUE"""),"Acepto")</f>
        <v>Acepto</v>
      </c>
      <c r="AA37" s="17" t="str">
        <f ca="1">IFERROR(__xludf.DUMMYFUNCTION("""COMPUTED_VALUE"""),"Terminado")</f>
        <v>Terminado</v>
      </c>
      <c r="AB37" s="17">
        <f ca="1">IFERROR(__xludf.DUMMYFUNCTION("""COMPUTED_VALUE"""),80000)</f>
        <v>80000</v>
      </c>
      <c r="AC37" s="6">
        <f ca="1">IFERROR(__xludf.DUMMYFUNCTION("""COMPUTED_VALUE"""),205437)</f>
        <v>205437</v>
      </c>
      <c r="AD37" s="6" t="str">
        <f ca="1">IFERROR(__xludf.DUMMYFUNCTION("""COMPUTED_VALUE"""),"TRF 04-09")</f>
        <v>TRF 04-09</v>
      </c>
      <c r="AE37" s="6"/>
      <c r="AF37" s="12"/>
      <c r="AG37" s="15"/>
    </row>
    <row r="38" spans="1:33" ht="13.2">
      <c r="A38" s="35">
        <f ca="1">IFERROR(__xludf.DUMMYFUNCTION("""COMPUTED_VALUE"""),45535.7377930671)</f>
        <v>45535.737793067099</v>
      </c>
      <c r="B38" s="36" t="str">
        <f ca="1">IFERROR(__xludf.DUMMYFUNCTION("""COMPUTED_VALUE"""),"Facundo")</f>
        <v>Facundo</v>
      </c>
      <c r="C38" s="36" t="str">
        <f ca="1">IFERROR(__xludf.DUMMYFUNCTION("""COMPUTED_VALUE"""),"Bellorini")</f>
        <v>Bellorini</v>
      </c>
      <c r="D38" s="36" t="str">
        <f ca="1">IFERROR(__xludf.DUMMYFUNCTION("""COMPUTED_VALUE"""),"CABA")</f>
        <v>CABA</v>
      </c>
      <c r="E38" s="6" t="str">
        <f ca="1">IFERROR(__xludf.DUMMYFUNCTION("""COMPUTED_VALUE"""),"ARG")</f>
        <v>ARG</v>
      </c>
      <c r="F38" s="6">
        <f ca="1">IFERROR(__xludf.DUMMYFUNCTION("""COMPUTED_VALUE"""),54454746)</f>
        <v>54454746</v>
      </c>
      <c r="G38" s="37">
        <f ca="1">IFERROR(__xludf.DUMMYFUNCTION("""COMPUTED_VALUE"""),41974)</f>
        <v>41974</v>
      </c>
      <c r="H38" s="38">
        <f ca="1">IFERROR(__xludf.DUMMYFUNCTION("""COMPUTED_VALUE"""),1159374784)</f>
        <v>1159374784</v>
      </c>
      <c r="I38" s="38" t="str">
        <f ca="1">IFERROR(__xludf.DUMMYFUNCTION("""COMPUTED_VALUE"""),"1167212950 / 1159374784")</f>
        <v>1167212950 / 1159374784</v>
      </c>
      <c r="J38" s="38" t="str">
        <f ca="1">IFERROR(__xludf.DUMMYFUNCTION("""COMPUTED_VALUE"""),"Jabellorini@gmail.com")</f>
        <v>Jabellorini@gmail.com</v>
      </c>
      <c r="K38" s="38" t="str">
        <f ca="1">IFERROR(__xludf.DUMMYFUNCTION("""COMPUTED_VALUE"""),"Masculino")</f>
        <v>Masculino</v>
      </c>
      <c r="L38" s="36" t="str">
        <f ca="1">IFERROR(__xludf.DUMMYFUNCTION("""COMPUTED_VALUE"""),"CGLNM")</f>
        <v>CGLNM</v>
      </c>
      <c r="M38" s="38" t="str">
        <f ca="1">IFERROR(__xludf.DUMMYFUNCTION("""COMPUTED_VALUE"""),"Optimist Principiantes")</f>
        <v>Optimist Principiantes</v>
      </c>
      <c r="N38" s="6" t="str">
        <f ca="1">IFERROR(__xludf.DUMMYFUNCTION("""COMPUTED_VALUE"""),"OPTIMIST PRINCIPIANTES")</f>
        <v>OPTIMIST PRINCIPIANTES</v>
      </c>
      <c r="O38" s="6"/>
      <c r="P38" s="6">
        <f ca="1">IFERROR(__xludf.DUMMYFUNCTION("""COMPUTED_VALUE"""),3199)</f>
        <v>3199</v>
      </c>
      <c r="Q38" s="38" t="str">
        <f ca="1">IFERROR(__xludf.DUMMYFUNCTION("""COMPUTED_VALUE"""),"Kraken Patito")</f>
        <v>Kraken Patito</v>
      </c>
      <c r="R38" s="38"/>
      <c r="S38" s="38"/>
      <c r="T38" s="38"/>
      <c r="U38" s="38"/>
      <c r="V38" s="38"/>
      <c r="W38" s="38"/>
      <c r="X38" s="40" t="str">
        <f ca="1">IFERROR(__xludf.DUMMYFUNCTION("""COMPUTED_VALUE"""),"OSDE")</f>
        <v>OSDE</v>
      </c>
      <c r="Y38" s="6" t="str">
        <f ca="1">IFERROR(__xludf.DUMMYFUNCTION("""COMPUTED_VALUE"""),"No")</f>
        <v>No</v>
      </c>
      <c r="Z38" s="6" t="str">
        <f ca="1">IFERROR(__xludf.DUMMYFUNCTION("""COMPUTED_VALUE"""),"Acepto")</f>
        <v>Acepto</v>
      </c>
      <c r="AA38" s="41" t="str">
        <f ca="1">IFERROR(__xludf.DUMMYFUNCTION("""COMPUTED_VALUE"""),"Terminado")</f>
        <v>Terminado</v>
      </c>
      <c r="AB38" s="41">
        <f ca="1">IFERROR(__xludf.DUMMYFUNCTION("""COMPUTED_VALUE"""),50000)</f>
        <v>50000</v>
      </c>
      <c r="AC38" s="6">
        <f ca="1">IFERROR(__xludf.DUMMYFUNCTION("""COMPUTED_VALUE"""),205388)</f>
        <v>205388</v>
      </c>
      <c r="AD38" s="6" t="str">
        <f ca="1">IFERROR(__xludf.DUMMYFUNCTION("""COMPUTED_VALUE"""),"TRF 02-09")</f>
        <v>TRF 02-09</v>
      </c>
      <c r="AE38" s="6"/>
      <c r="AF38" s="6"/>
      <c r="AG38" s="36"/>
    </row>
    <row r="39" spans="1:33" ht="13.2">
      <c r="A39" s="18">
        <f ca="1">IFERROR(__xludf.DUMMYFUNCTION("""COMPUTED_VALUE"""),45539.6793937152)</f>
        <v>45539.679393715203</v>
      </c>
      <c r="B39" s="19" t="str">
        <f ca="1">IFERROR(__xludf.DUMMYFUNCTION("""COMPUTED_VALUE"""),"Adolfo Héctor")</f>
        <v>Adolfo Héctor</v>
      </c>
      <c r="C39" s="19" t="str">
        <f ca="1">IFERROR(__xludf.DUMMYFUNCTION("""COMPUTED_VALUE"""),"Benavidez Ruiz")</f>
        <v>Benavidez Ruiz</v>
      </c>
      <c r="D39" s="19" t="str">
        <f ca="1">IFERROR(__xludf.DUMMYFUNCTION("""COMPUTED_VALUE"""),"Rosario")</f>
        <v>Rosario</v>
      </c>
      <c r="E39" s="20" t="str">
        <f ca="1">IFERROR(__xludf.DUMMYFUNCTION("""COMPUTED_VALUE"""),"ARG")</f>
        <v>ARG</v>
      </c>
      <c r="F39" s="20">
        <f ca="1">IFERROR(__xludf.DUMMYFUNCTION("""COMPUTED_VALUE"""),30339453)</f>
        <v>30339453</v>
      </c>
      <c r="G39" s="21">
        <f ca="1">IFERROR(__xludf.DUMMYFUNCTION("""COMPUTED_VALUE"""),30793)</f>
        <v>30793</v>
      </c>
      <c r="H39" s="20">
        <f ca="1">IFERROR(__xludf.DUMMYFUNCTION("""COMPUTED_VALUE"""),3413193904)</f>
        <v>3413193904</v>
      </c>
      <c r="I39" s="42" t="str">
        <f ca="1">IFERROR(__xludf.DUMMYFUNCTION("""COMPUTED_VALUE"""),"+54 9 3413 08-3045")</f>
        <v>+54 9 3413 08-3045</v>
      </c>
      <c r="J39" s="20" t="str">
        <f ca="1">IFERROR(__xludf.DUMMYFUNCTION("""COMPUTED_VALUE"""),"adolbenavidez@gmail.com")</f>
        <v>adolbenavidez@gmail.com</v>
      </c>
      <c r="K39" s="20" t="str">
        <f ca="1">IFERROR(__xludf.DUMMYFUNCTION("""COMPUTED_VALUE"""),"Masculino")</f>
        <v>Masculino</v>
      </c>
      <c r="L39" s="22" t="str">
        <f ca="1">IFERROR(__xludf.DUMMYFUNCTION("""COMPUTED_VALUE"""),"CVR / YCR ")</f>
        <v xml:space="preserve">CVR / YCR </v>
      </c>
      <c r="M39" s="19"/>
      <c r="N39" s="20" t="str">
        <f ca="1">IFERROR(__xludf.DUMMYFUNCTION("""COMPUTED_VALUE"""),"J 70")</f>
        <v>J 70</v>
      </c>
      <c r="O39" s="20">
        <f ca="1">IFERROR(__xludf.DUMMYFUNCTION("""COMPUTED_VALUE"""),28)</f>
        <v>28</v>
      </c>
      <c r="P39" s="20">
        <f ca="1">IFERROR(__xludf.DUMMYFUNCTION("""COMPUTED_VALUE"""),1302)</f>
        <v>1302</v>
      </c>
      <c r="Q39" s="19" t="str">
        <f ca="1">IFERROR(__xludf.DUMMYFUNCTION("""COMPUTED_VALUE"""),"ÑANDEYARA")</f>
        <v>ÑANDEYARA</v>
      </c>
      <c r="R39" s="19" t="str">
        <f ca="1">IFERROR(__xludf.DUMMYFUNCTION("""COMPUTED_VALUE"""),"Lucas Mispiasegui")</f>
        <v>Lucas Mispiasegui</v>
      </c>
      <c r="S39" s="19" t="str">
        <f ca="1">IFERROR(__xludf.DUMMYFUNCTION("""COMPUTED_VALUE"""),"Guido Potenza ")</f>
        <v xml:space="preserve">Guido Potenza </v>
      </c>
      <c r="T39" s="19" t="str">
        <f ca="1">IFERROR(__xludf.DUMMYFUNCTION("""COMPUTED_VALUE"""),"Tomas Paglini ")</f>
        <v xml:space="preserve">Tomas Paglini </v>
      </c>
      <c r="U39" s="19"/>
      <c r="V39" s="19"/>
      <c r="W39" s="19"/>
      <c r="X39" s="23" t="str">
        <f ca="1">IFERROR(__xludf.DUMMYFUNCTION("""COMPUTED_VALUE"""),"Medife Plata")</f>
        <v>Medife Plata</v>
      </c>
      <c r="Y39" s="20" t="str">
        <f ca="1">IFERROR(__xludf.DUMMYFUNCTION("""COMPUTED_VALUE"""),"Si")</f>
        <v>Si</v>
      </c>
      <c r="Z39" s="20" t="str">
        <f ca="1">IFERROR(__xludf.DUMMYFUNCTION("""COMPUTED_VALUE"""),"Acepto")</f>
        <v>Acepto</v>
      </c>
      <c r="AA39" s="17" t="str">
        <f ca="1">IFERROR(__xludf.DUMMYFUNCTION("""COMPUTED_VALUE"""),"Terminado")</f>
        <v>Terminado</v>
      </c>
      <c r="AB39" s="17">
        <f ca="1">IFERROR(__xludf.DUMMYFUNCTION("""COMPUTED_VALUE"""),68000)</f>
        <v>68000</v>
      </c>
      <c r="AC39" s="6">
        <f ca="1">IFERROR(__xludf.DUMMYFUNCTION("""COMPUTED_VALUE"""),205442)</f>
        <v>205442</v>
      </c>
      <c r="AD39" s="6" t="str">
        <f ca="1">IFERROR(__xludf.DUMMYFUNCTION("""COMPUTED_VALUE"""),"TRF 04-09")</f>
        <v>TRF 04-09</v>
      </c>
      <c r="AE39" s="6"/>
      <c r="AF39" s="20"/>
      <c r="AG39" s="22"/>
    </row>
    <row r="40" spans="1:33" ht="13.2">
      <c r="A40" s="35">
        <f ca="1">IFERROR(__xludf.DUMMYFUNCTION("""COMPUTED_VALUE"""),45535.5411877893)</f>
        <v>45535.541187789298</v>
      </c>
      <c r="B40" s="36" t="str">
        <f ca="1">IFERROR(__xludf.DUMMYFUNCTION("""COMPUTED_VALUE"""),"Valentino")</f>
        <v>Valentino</v>
      </c>
      <c r="C40" s="36" t="str">
        <f ca="1">IFERROR(__xludf.DUMMYFUNCTION("""COMPUTED_VALUE"""),"Berardo")</f>
        <v>Berardo</v>
      </c>
      <c r="D40" s="36" t="str">
        <f ca="1">IFERROR(__xludf.DUMMYFUNCTION("""COMPUTED_VALUE"""),"Caba")</f>
        <v>Caba</v>
      </c>
      <c r="E40" s="6" t="str">
        <f ca="1">IFERROR(__xludf.DUMMYFUNCTION("""COMPUTED_VALUE"""),"ARG")</f>
        <v>ARG</v>
      </c>
      <c r="F40" s="6">
        <f ca="1">IFERROR(__xludf.DUMMYFUNCTION("""COMPUTED_VALUE"""),54429903)</f>
        <v>54429903</v>
      </c>
      <c r="G40" s="37">
        <f ca="1">IFERROR(__xludf.DUMMYFUNCTION("""COMPUTED_VALUE"""),40813)</f>
        <v>40813</v>
      </c>
      <c r="H40" s="38">
        <f ca="1">IFERROR(__xludf.DUMMYFUNCTION("""COMPUTED_VALUE"""),1158178323)</f>
        <v>1158178323</v>
      </c>
      <c r="I40" s="39">
        <f ca="1">IFERROR(__xludf.DUMMYFUNCTION("""COMPUTED_VALUE"""),1158178323)</f>
        <v>1158178323</v>
      </c>
      <c r="J40" s="38" t="str">
        <f ca="1">IFERROR(__xludf.DUMMYFUNCTION("""COMPUTED_VALUE"""),"Leandro_berardo@hotmail.com")</f>
        <v>Leandro_berardo@hotmail.com</v>
      </c>
      <c r="K40" s="38" t="str">
        <f ca="1">IFERROR(__xludf.DUMMYFUNCTION("""COMPUTED_VALUE"""),"Masculino")</f>
        <v>Masculino</v>
      </c>
      <c r="L40" s="36" t="str">
        <f ca="1">IFERROR(__xludf.DUMMYFUNCTION("""COMPUTED_VALUE"""),"Cpnlb ")</f>
        <v xml:space="preserve">Cpnlb </v>
      </c>
      <c r="M40" s="38"/>
      <c r="N40" s="6" t="str">
        <f ca="1">IFERROR(__xludf.DUMMYFUNCTION("""COMPUTED_VALUE"""),"OPTIMIST PRINCIPIANTES")</f>
        <v>OPTIMIST PRINCIPIANTES</v>
      </c>
      <c r="O40" s="6"/>
      <c r="P40" s="6">
        <f ca="1">IFERROR(__xludf.DUMMYFUNCTION("""COMPUTED_VALUE"""),3998)</f>
        <v>3998</v>
      </c>
      <c r="Q40" s="38" t="str">
        <f ca="1">IFERROR(__xludf.DUMMYFUNCTION("""COMPUTED_VALUE"""),"Il capo")</f>
        <v>Il capo</v>
      </c>
      <c r="R40" s="38"/>
      <c r="S40" s="38"/>
      <c r="T40" s="38"/>
      <c r="U40" s="38"/>
      <c r="V40" s="38"/>
      <c r="W40" s="38"/>
      <c r="X40" s="40">
        <f ca="1">IFERROR(__xludf.DUMMYFUNCTION("""COMPUTED_VALUE"""),934348981403)</f>
        <v>934348981403</v>
      </c>
      <c r="Y40" s="6" t="str">
        <f ca="1">IFERROR(__xludf.DUMMYFUNCTION("""COMPUTED_VALUE"""),"Si")</f>
        <v>Si</v>
      </c>
      <c r="Z40" s="6" t="str">
        <f ca="1">IFERROR(__xludf.DUMMYFUNCTION("""COMPUTED_VALUE"""),"Acepto")</f>
        <v>Acepto</v>
      </c>
      <c r="AA40" s="41" t="str">
        <f ca="1">IFERROR(__xludf.DUMMYFUNCTION("""COMPUTED_VALUE"""),"Terminado")</f>
        <v>Terminado</v>
      </c>
      <c r="AB40" s="41">
        <f ca="1">IFERROR(__xludf.DUMMYFUNCTION("""COMPUTED_VALUE"""),50000)</f>
        <v>50000</v>
      </c>
      <c r="AC40" s="6">
        <f ca="1">IFERROR(__xludf.DUMMYFUNCTION("""COMPUTED_VALUE"""),205355)</f>
        <v>205355</v>
      </c>
      <c r="AD40" s="6" t="str">
        <f ca="1">IFERROR(__xludf.DUMMYFUNCTION("""COMPUTED_VALUE"""),"TRF 30-08")</f>
        <v>TRF 30-08</v>
      </c>
      <c r="AE40" s="6"/>
      <c r="AF40" s="6"/>
      <c r="AG40" s="36"/>
    </row>
    <row r="41" spans="1:33" ht="13.2">
      <c r="A41" s="35">
        <f ca="1">IFERROR(__xludf.DUMMYFUNCTION("""COMPUTED_VALUE"""),45539.3932321296)</f>
        <v>45539.393232129602</v>
      </c>
      <c r="B41" s="36" t="str">
        <f ca="1">IFERROR(__xludf.DUMMYFUNCTION("""COMPUTED_VALUE"""),"Francisco ")</f>
        <v xml:space="preserve">Francisco </v>
      </c>
      <c r="C41" s="36" t="str">
        <f ca="1">IFERROR(__xludf.DUMMYFUNCTION("""COMPUTED_VALUE"""),"Berini")</f>
        <v>Berini</v>
      </c>
      <c r="D41" s="36" t="str">
        <f ca="1">IFERROR(__xludf.DUMMYFUNCTION("""COMPUTED_VALUE"""),"Victoria")</f>
        <v>Victoria</v>
      </c>
      <c r="E41" s="6" t="str">
        <f ca="1">IFERROR(__xludf.DUMMYFUNCTION("""COMPUTED_VALUE"""),"ARG")</f>
        <v>ARG</v>
      </c>
      <c r="F41" s="6">
        <f ca="1">IFERROR(__xludf.DUMMYFUNCTION("""COMPUTED_VALUE"""),53168231)</f>
        <v>53168231</v>
      </c>
      <c r="G41" s="37">
        <f ca="1">IFERROR(__xludf.DUMMYFUNCTION("""COMPUTED_VALUE"""),41405)</f>
        <v>41405</v>
      </c>
      <c r="H41" s="38">
        <f ca="1">IFERROR(__xludf.DUMMYFUNCTION("""COMPUTED_VALUE"""),1163639966)</f>
        <v>1163639966</v>
      </c>
      <c r="I41" s="39">
        <f ca="1">IFERROR(__xludf.DUMMYFUNCTION("""COMPUTED_VALUE"""),1163639966)</f>
        <v>1163639966</v>
      </c>
      <c r="J41" s="38" t="str">
        <f ca="1">IFERROR(__xludf.DUMMYFUNCTION("""COMPUTED_VALUE"""),"patolonero@gmail.com")</f>
        <v>patolonero@gmail.com</v>
      </c>
      <c r="K41" s="38" t="str">
        <f ca="1">IFERROR(__xludf.DUMMYFUNCTION("""COMPUTED_VALUE"""),"Masculino")</f>
        <v>Masculino</v>
      </c>
      <c r="L41" s="36" t="str">
        <f ca="1">IFERROR(__xludf.DUMMYFUNCTION("""COMPUTED_VALUE"""),"Cvb")</f>
        <v>Cvb</v>
      </c>
      <c r="M41" s="38"/>
      <c r="N41" s="6" t="str">
        <f ca="1">IFERROR(__xludf.DUMMYFUNCTION("""COMPUTED_VALUE"""),"OPTIMIST PRINCIPIANTES")</f>
        <v>OPTIMIST PRINCIPIANTES</v>
      </c>
      <c r="O41" s="6"/>
      <c r="P41" s="6">
        <f ca="1">IFERROR(__xludf.DUMMYFUNCTION("""COMPUTED_VALUE"""),4058)</f>
        <v>4058</v>
      </c>
      <c r="Q41" s="38"/>
      <c r="R41" s="38"/>
      <c r="S41" s="38"/>
      <c r="T41" s="38"/>
      <c r="U41" s="38"/>
      <c r="V41" s="38"/>
      <c r="W41" s="38"/>
      <c r="X41" s="40" t="str">
        <f ca="1">IFERROR(__xludf.DUMMYFUNCTION("""COMPUTED_VALUE"""),"No tiene ")</f>
        <v xml:space="preserve">No tiene </v>
      </c>
      <c r="Y41" s="6" t="str">
        <f ca="1">IFERROR(__xludf.DUMMYFUNCTION("""COMPUTED_VALUE"""),"No")</f>
        <v>No</v>
      </c>
      <c r="Z41" s="6" t="str">
        <f ca="1">IFERROR(__xludf.DUMMYFUNCTION("""COMPUTED_VALUE"""),"Acepto")</f>
        <v>Acepto</v>
      </c>
      <c r="AA41" s="41" t="str">
        <f ca="1">IFERROR(__xludf.DUMMYFUNCTION("""COMPUTED_VALUE"""),"Terminado")</f>
        <v>Terminado</v>
      </c>
      <c r="AB41" s="41">
        <f ca="1">IFERROR(__xludf.DUMMYFUNCTION("""COMPUTED_VALUE"""),50000)</f>
        <v>50000</v>
      </c>
      <c r="AC41" s="6">
        <f ca="1">IFERROR(__xludf.DUMMYFUNCTION("""COMPUTED_VALUE"""),205435)</f>
        <v>205435</v>
      </c>
      <c r="AD41" s="6" t="str">
        <f ca="1">IFERROR(__xludf.DUMMYFUNCTION("""COMPUTED_VALUE"""),"TRF 04-09")</f>
        <v>TRF 04-09</v>
      </c>
      <c r="AE41" s="6"/>
      <c r="AF41" s="6"/>
      <c r="AG41" s="36"/>
    </row>
    <row r="42" spans="1:33" ht="13.2">
      <c r="A42" s="35">
        <f ca="1">IFERROR(__xludf.DUMMYFUNCTION("""COMPUTED_VALUE"""),45534.3967717361)</f>
        <v>45534.396771736101</v>
      </c>
      <c r="B42" s="36" t="str">
        <f ca="1">IFERROR(__xludf.DUMMYFUNCTION("""COMPUTED_VALUE"""),"Agustín")</f>
        <v>Agustín</v>
      </c>
      <c r="C42" s="36" t="str">
        <f ca="1">IFERROR(__xludf.DUMMYFUNCTION("""COMPUTED_VALUE"""),"Bianchi")</f>
        <v>Bianchi</v>
      </c>
      <c r="D42" s="36" t="str">
        <f ca="1">IFERROR(__xludf.DUMMYFUNCTION("""COMPUTED_VALUE"""),"Tigre")</f>
        <v>Tigre</v>
      </c>
      <c r="E42" s="6" t="str">
        <f ca="1">IFERROR(__xludf.DUMMYFUNCTION("""COMPUTED_VALUE"""),"ARG")</f>
        <v>ARG</v>
      </c>
      <c r="F42" s="6">
        <f ca="1">IFERROR(__xludf.DUMMYFUNCTION("""COMPUTED_VALUE"""),26523170)</f>
        <v>26523170</v>
      </c>
      <c r="G42" s="37">
        <f ca="1">IFERROR(__xludf.DUMMYFUNCTION("""COMPUTED_VALUE"""),28645)</f>
        <v>28645</v>
      </c>
      <c r="H42" s="38">
        <f ca="1">IFERROR(__xludf.DUMMYFUNCTION("""COMPUTED_VALUE"""),1159648285)</f>
        <v>1159648285</v>
      </c>
      <c r="I42" s="38">
        <f ca="1">IFERROR(__xludf.DUMMYFUNCTION("""COMPUTED_VALUE"""),1168302939)</f>
        <v>1168302939</v>
      </c>
      <c r="J42" s="38" t="str">
        <f ca="1">IFERROR(__xludf.DUMMYFUNCTION("""COMPUTED_VALUE"""),"agustinbian@hotmail.com")</f>
        <v>agustinbian@hotmail.com</v>
      </c>
      <c r="K42" s="38" t="str">
        <f ca="1">IFERROR(__xludf.DUMMYFUNCTION("""COMPUTED_VALUE"""),"Masculino")</f>
        <v>Masculino</v>
      </c>
      <c r="L42" s="36" t="str">
        <f ca="1">IFERROR(__xludf.DUMMYFUNCTION("""COMPUTED_VALUE"""),"YCA")</f>
        <v>YCA</v>
      </c>
      <c r="M42" s="38"/>
      <c r="N42" s="6">
        <f ca="1">IFERROR(__xludf.DUMMYFUNCTION("""COMPUTED_VALUE"""),420)</f>
        <v>420</v>
      </c>
      <c r="O42" s="6">
        <f ca="1">IFERROR(__xludf.DUMMYFUNCTION("""COMPUTED_VALUE"""),41)</f>
        <v>41</v>
      </c>
      <c r="P42" s="6">
        <f ca="1">IFERROR(__xludf.DUMMYFUNCTION("""COMPUTED_VALUE"""),52654)</f>
        <v>52654</v>
      </c>
      <c r="Q42" s="38" t="str">
        <f ca="1">IFERROR(__xludf.DUMMYFUNCTION("""COMPUTED_VALUE"""),"Vecchia Scuola")</f>
        <v>Vecchia Scuola</v>
      </c>
      <c r="R42" s="38" t="str">
        <f ca="1">IFERROR(__xludf.DUMMYFUNCTION("""COMPUTED_VALUE"""),"Nicole De Leone")</f>
        <v>Nicole De Leone</v>
      </c>
      <c r="S42" s="38"/>
      <c r="T42" s="38"/>
      <c r="U42" s="38"/>
      <c r="V42" s="38"/>
      <c r="W42" s="38"/>
      <c r="X42" s="40" t="str">
        <f ca="1">IFERROR(__xludf.DUMMYFUNCTION("""COMPUTED_VALUE"""),"Medicus")</f>
        <v>Medicus</v>
      </c>
      <c r="Y42" s="6" t="str">
        <f ca="1">IFERROR(__xludf.DUMMYFUNCTION("""COMPUTED_VALUE"""),"No")</f>
        <v>No</v>
      </c>
      <c r="Z42" s="6" t="str">
        <f ca="1">IFERROR(__xludf.DUMMYFUNCTION("""COMPUTED_VALUE"""),"Acepto")</f>
        <v>Acepto</v>
      </c>
      <c r="AA42" s="41" t="str">
        <f ca="1">IFERROR(__xludf.DUMMYFUNCTION("""COMPUTED_VALUE"""),"Terminado")</f>
        <v>Terminado</v>
      </c>
      <c r="AB42" s="41">
        <f ca="1">IFERROR(__xludf.DUMMYFUNCTION("""COMPUTED_VALUE"""),75000)</f>
        <v>75000</v>
      </c>
      <c r="AC42" s="6">
        <f ca="1">IFERROR(__xludf.DUMMYFUNCTION("""COMPUTED_VALUE"""),205094)</f>
        <v>205094</v>
      </c>
      <c r="AD42" s="6" t="str">
        <f ca="1">IFERROR(__xludf.DUMMYFUNCTION("""COMPUTED_VALUE"""),"TRF 30-08")</f>
        <v>TRF 30-08</v>
      </c>
      <c r="AE42" s="6"/>
      <c r="AF42" s="6"/>
      <c r="AG42" s="36"/>
    </row>
    <row r="43" spans="1:33" ht="13.2">
      <c r="A43" s="35">
        <f ca="1">IFERROR(__xludf.DUMMYFUNCTION("""COMPUTED_VALUE"""),45535.5005953472)</f>
        <v>45535.500595347199</v>
      </c>
      <c r="B43" s="36" t="str">
        <f ca="1">IFERROR(__xludf.DUMMYFUNCTION("""COMPUTED_VALUE"""),"Pedro")</f>
        <v>Pedro</v>
      </c>
      <c r="C43" s="36" t="str">
        <f ca="1">IFERROR(__xludf.DUMMYFUNCTION("""COMPUTED_VALUE"""),"Bianchi")</f>
        <v>Bianchi</v>
      </c>
      <c r="D43" s="36" t="str">
        <f ca="1">IFERROR(__xludf.DUMMYFUNCTION("""COMPUTED_VALUE"""),"Buenos Aires")</f>
        <v>Buenos Aires</v>
      </c>
      <c r="E43" s="38" t="str">
        <f ca="1">IFERROR(__xludf.DUMMYFUNCTION("""COMPUTED_VALUE"""),"ARG")</f>
        <v>ARG</v>
      </c>
      <c r="F43" s="6">
        <f ca="1">IFERROR(__xludf.DUMMYFUNCTION("""COMPUTED_VALUE"""),48704974)</f>
        <v>48704974</v>
      </c>
      <c r="G43" s="37">
        <f ca="1">IFERROR(__xludf.DUMMYFUNCTION("""COMPUTED_VALUE"""),39537)</f>
        <v>39537</v>
      </c>
      <c r="H43" s="38" t="str">
        <f ca="1">IFERROR(__xludf.DUMMYFUNCTION("""COMPUTED_VALUE"""),"+5491166579475")</f>
        <v>+5491166579475</v>
      </c>
      <c r="I43" s="38" t="str">
        <f ca="1">IFERROR(__xludf.DUMMYFUNCTION("""COMPUTED_VALUE"""),"+5491168302939")</f>
        <v>+5491168302939</v>
      </c>
      <c r="J43" s="38" t="str">
        <f ca="1">IFERROR(__xludf.DUMMYFUNCTION("""COMPUTED_VALUE"""),"pedro.bianchi.yca@gmail.com")</f>
        <v>pedro.bianchi.yca@gmail.com</v>
      </c>
      <c r="K43" s="38" t="str">
        <f ca="1">IFERROR(__xludf.DUMMYFUNCTION("""COMPUTED_VALUE"""),"Masculino")</f>
        <v>Masculino</v>
      </c>
      <c r="L43" s="36" t="str">
        <f ca="1">IFERROR(__xludf.DUMMYFUNCTION("""COMPUTED_VALUE"""),"YCA")</f>
        <v>YCA</v>
      </c>
      <c r="M43" s="38"/>
      <c r="N43" s="6">
        <f ca="1">IFERROR(__xludf.DUMMYFUNCTION("""COMPUTED_VALUE"""),420)</f>
        <v>420</v>
      </c>
      <c r="O43" s="6">
        <f ca="1">IFERROR(__xludf.DUMMYFUNCTION("""COMPUTED_VALUE"""),59)</f>
        <v>59</v>
      </c>
      <c r="P43" s="6">
        <f ca="1">IFERROR(__xludf.DUMMYFUNCTION("""COMPUTED_VALUE"""),54838)</f>
        <v>54838</v>
      </c>
      <c r="Q43" s="38" t="str">
        <f ca="1">IFERROR(__xludf.DUMMYFUNCTION("""COMPUTED_VALUE"""),"Sensei")</f>
        <v>Sensei</v>
      </c>
      <c r="R43" s="38" t="str">
        <f ca="1">IFERROR(__xludf.DUMMYFUNCTION("""COMPUTED_VALUE"""),"Magdalena Caranti")</f>
        <v>Magdalena Caranti</v>
      </c>
      <c r="S43" s="38"/>
      <c r="T43" s="38"/>
      <c r="U43" s="38"/>
      <c r="V43" s="38"/>
      <c r="W43" s="38"/>
      <c r="X43" s="40" t="str">
        <f ca="1">IFERROR(__xludf.DUMMYFUNCTION("""COMPUTED_VALUE"""),"Medicus")</f>
        <v>Medicus</v>
      </c>
      <c r="Y43" s="6" t="str">
        <f ca="1">IFERROR(__xludf.DUMMYFUNCTION("""COMPUTED_VALUE"""),"No")</f>
        <v>No</v>
      </c>
      <c r="Z43" s="6" t="str">
        <f ca="1">IFERROR(__xludf.DUMMYFUNCTION("""COMPUTED_VALUE"""),"Acepto")</f>
        <v>Acepto</v>
      </c>
      <c r="AA43" s="41" t="str">
        <f ca="1">IFERROR(__xludf.DUMMYFUNCTION("""COMPUTED_VALUE"""),"Terminado")</f>
        <v>Terminado</v>
      </c>
      <c r="AB43" s="41">
        <f ca="1">IFERROR(__xludf.DUMMYFUNCTION("""COMPUTED_VALUE"""),75000)</f>
        <v>75000</v>
      </c>
      <c r="AC43" s="6">
        <f ca="1">IFERROR(__xludf.DUMMYFUNCTION("""COMPUTED_VALUE"""),205491)</f>
        <v>205491</v>
      </c>
      <c r="AD43" s="6" t="str">
        <f ca="1">IFERROR(__xludf.DUMMYFUNCTION("""COMPUTED_VALUE"""),"TRF 31-08")</f>
        <v>TRF 31-08</v>
      </c>
      <c r="AE43" s="6"/>
      <c r="AF43" s="6"/>
      <c r="AG43" s="36"/>
    </row>
    <row r="44" spans="1:33" ht="13.2">
      <c r="A44" s="18">
        <f ca="1">IFERROR(__xludf.DUMMYFUNCTION("""COMPUTED_VALUE"""),45533.7192240046)</f>
        <v>45533.719224004599</v>
      </c>
      <c r="B44" s="19" t="str">
        <f ca="1">IFERROR(__xludf.DUMMYFUNCTION("""COMPUTED_VALUE"""),"Azul")</f>
        <v>Azul</v>
      </c>
      <c r="C44" s="19" t="str">
        <f ca="1">IFERROR(__xludf.DUMMYFUNCTION("""COMPUTED_VALUE"""),"Biasi")</f>
        <v>Biasi</v>
      </c>
      <c r="D44" s="19" t="str">
        <f ca="1">IFERROR(__xludf.DUMMYFUNCTION("""COMPUTED_VALUE"""),"CABA")</f>
        <v>CABA</v>
      </c>
      <c r="E44" s="20" t="str">
        <f ca="1">IFERROR(__xludf.DUMMYFUNCTION("""COMPUTED_VALUE"""),"ARG")</f>
        <v>ARG</v>
      </c>
      <c r="F44" s="20">
        <f ca="1">IFERROR(__xludf.DUMMYFUNCTION("""COMPUTED_VALUE"""),53240699)</f>
        <v>53240699</v>
      </c>
      <c r="G44" s="31">
        <f ca="1">IFERROR(__xludf.DUMMYFUNCTION("""COMPUTED_VALUE"""),41423)</f>
        <v>41423</v>
      </c>
      <c r="H44" s="32">
        <f ca="1">IFERROR(__xludf.DUMMYFUNCTION("""COMPUTED_VALUE"""),1121700524)</f>
        <v>1121700524</v>
      </c>
      <c r="I44" s="19">
        <f ca="1">IFERROR(__xludf.DUMMYFUNCTION("""COMPUTED_VALUE"""),1121700524)</f>
        <v>1121700524</v>
      </c>
      <c r="J44" s="19" t="str">
        <f ca="1">IFERROR(__xludf.DUMMYFUNCTION("""COMPUTED_VALUE"""),"telizalde@gmail.com")</f>
        <v>telizalde@gmail.com</v>
      </c>
      <c r="K44" s="19" t="str">
        <f ca="1">IFERROR(__xludf.DUMMYFUNCTION("""COMPUTED_VALUE"""),"Femenino")</f>
        <v>Femenino</v>
      </c>
      <c r="L44" s="22" t="str">
        <f ca="1">IFERROR(__xludf.DUMMYFUNCTION("""COMPUTED_VALUE"""),"YCA")</f>
        <v>YCA</v>
      </c>
      <c r="M44" s="19" t="str">
        <f ca="1">IFERROR(__xludf.DUMMYFUNCTION("""COMPUTED_VALUE"""),"Femenino")</f>
        <v>Femenino</v>
      </c>
      <c r="N44" s="20" t="str">
        <f ca="1">IFERROR(__xludf.DUMMYFUNCTION("""COMPUTED_VALUE"""),"OPTIMIST PRINCIPIANTES")</f>
        <v>OPTIMIST PRINCIPIANTES</v>
      </c>
      <c r="O44" s="20"/>
      <c r="P44" s="20">
        <f ca="1">IFERROR(__xludf.DUMMYFUNCTION("""COMPUTED_VALUE"""),3228)</f>
        <v>3228</v>
      </c>
      <c r="Q44" s="19" t="str">
        <f ca="1">IFERROR(__xludf.DUMMYFUNCTION("""COMPUTED_VALUE"""),"-")</f>
        <v>-</v>
      </c>
      <c r="R44" s="19"/>
      <c r="S44" s="19"/>
      <c r="T44" s="19"/>
      <c r="U44" s="19"/>
      <c r="V44" s="19"/>
      <c r="W44" s="19"/>
      <c r="X44" s="23" t="str">
        <f ca="1">IFERROR(__xludf.DUMMYFUNCTION("""COMPUTED_VALUE"""),"OSDE 61360212803")</f>
        <v>OSDE 61360212803</v>
      </c>
      <c r="Y44" s="20" t="str">
        <f ca="1">IFERROR(__xludf.DUMMYFUNCTION("""COMPUTED_VALUE"""),"No")</f>
        <v>No</v>
      </c>
      <c r="Z44" s="20" t="str">
        <f ca="1">IFERROR(__xludf.DUMMYFUNCTION("""COMPUTED_VALUE"""),"Acepto")</f>
        <v>Acepto</v>
      </c>
      <c r="AA44" s="17" t="str">
        <f ca="1">IFERROR(__xludf.DUMMYFUNCTION("""COMPUTED_VALUE"""),"Terminado")</f>
        <v>Terminado</v>
      </c>
      <c r="AB44" s="17">
        <f ca="1">IFERROR(__xludf.DUMMYFUNCTION("""COMPUTED_VALUE"""),50000)</f>
        <v>50000</v>
      </c>
      <c r="AC44" s="6">
        <f ca="1">IFERROR(__xludf.DUMMYFUNCTION("""COMPUTED_VALUE"""),205081)</f>
        <v>205081</v>
      </c>
      <c r="AD44" s="6" t="str">
        <f ca="1">IFERROR(__xludf.DUMMYFUNCTION("""COMPUTED_VALUE"""),"TRF 29-08")</f>
        <v>TRF 29-08</v>
      </c>
      <c r="AE44" s="6"/>
      <c r="AF44" s="20"/>
      <c r="AG44" s="22"/>
    </row>
    <row r="45" spans="1:33" ht="13.2">
      <c r="A45" s="27">
        <f ca="1">IFERROR(__xludf.DUMMYFUNCTION("""COMPUTED_VALUE"""),45535.4058961111)</f>
        <v>45535.4058961111</v>
      </c>
      <c r="B45" s="11" t="str">
        <f ca="1">IFERROR(__xludf.DUMMYFUNCTION("""COMPUTED_VALUE"""),"Maria Emilia")</f>
        <v>Maria Emilia</v>
      </c>
      <c r="C45" s="11" t="str">
        <f ca="1">IFERROR(__xludf.DUMMYFUNCTION("""COMPUTED_VALUE"""),"Bieler")</f>
        <v>Bieler</v>
      </c>
      <c r="D45" s="11" t="str">
        <f ca="1">IFERROR(__xludf.DUMMYFUNCTION("""COMPUTED_VALUE"""),"Santa Fe")</f>
        <v>Santa Fe</v>
      </c>
      <c r="E45" s="12" t="str">
        <f ca="1">IFERROR(__xludf.DUMMYFUNCTION("""COMPUTED_VALUE"""),"ARG")</f>
        <v>ARG</v>
      </c>
      <c r="F45" s="12">
        <f ca="1">IFERROR(__xludf.DUMMYFUNCTION("""COMPUTED_VALUE"""),50349144)</f>
        <v>50349144</v>
      </c>
      <c r="G45" s="28">
        <f ca="1">IFERROR(__xludf.DUMMYFUNCTION("""COMPUTED_VALUE"""),40326)</f>
        <v>40326</v>
      </c>
      <c r="H45" s="12">
        <f ca="1">IFERROR(__xludf.DUMMYFUNCTION("""COMPUTED_VALUE"""),3424403334)</f>
        <v>3424403334</v>
      </c>
      <c r="I45" s="12">
        <f ca="1">IFERROR(__xludf.DUMMYFUNCTION("""COMPUTED_VALUE"""),3424403334)</f>
        <v>3424403334</v>
      </c>
      <c r="J45" s="12" t="str">
        <f ca="1">IFERROR(__xludf.DUMMYFUNCTION("""COMPUTED_VALUE"""),"cariolalla@yahoo.com")</f>
        <v>cariolalla@yahoo.com</v>
      </c>
      <c r="K45" s="12" t="str">
        <f ca="1">IFERROR(__xludf.DUMMYFUNCTION("""COMPUTED_VALUE"""),"Femenino")</f>
        <v>Femenino</v>
      </c>
      <c r="L45" s="15" t="str">
        <f ca="1">IFERROR(__xludf.DUMMYFUNCTION("""COMPUTED_VALUE"""),"YCO")</f>
        <v>YCO</v>
      </c>
      <c r="M45" s="11" t="str">
        <f ca="1">IFERROR(__xludf.DUMMYFUNCTION("""COMPUTED_VALUE"""),"Femenino, Interior (Optimist)")</f>
        <v>Femenino, Interior (Optimist)</v>
      </c>
      <c r="N45" s="12" t="str">
        <f ca="1">IFERROR(__xludf.DUMMYFUNCTION("""COMPUTED_VALUE"""),"OPTIMIST TIMONELES")</f>
        <v>OPTIMIST TIMONELES</v>
      </c>
      <c r="O45" s="12"/>
      <c r="P45" s="12">
        <f ca="1">IFERROR(__xludf.DUMMYFUNCTION("""COMPUTED_VALUE"""),3989)</f>
        <v>3989</v>
      </c>
      <c r="Q45" s="12"/>
      <c r="R45" s="12"/>
      <c r="S45" s="12"/>
      <c r="T45" s="12"/>
      <c r="U45" s="12"/>
      <c r="V45" s="11"/>
      <c r="W45" s="11"/>
      <c r="X45" s="16" t="str">
        <f ca="1">IFERROR(__xludf.DUMMYFUNCTION("""COMPUTED_VALUE"""),"SANATORIO SANTA FE 94702")</f>
        <v>SANATORIO SANTA FE 94702</v>
      </c>
      <c r="Y45" s="12" t="str">
        <f ca="1">IFERROR(__xludf.DUMMYFUNCTION("""COMPUTED_VALUE"""),"Si")</f>
        <v>Si</v>
      </c>
      <c r="Z45" s="12" t="str">
        <f ca="1">IFERROR(__xludf.DUMMYFUNCTION("""COMPUTED_VALUE"""),"Acepto")</f>
        <v>Acepto</v>
      </c>
      <c r="AA45" s="24" t="str">
        <f ca="1">IFERROR(__xludf.DUMMYFUNCTION("""COMPUTED_VALUE"""),"Terminado")</f>
        <v>Terminado</v>
      </c>
      <c r="AB45" s="24">
        <f ca="1">IFERROR(__xludf.DUMMYFUNCTION("""COMPUTED_VALUE"""),50000)</f>
        <v>50000</v>
      </c>
      <c r="AC45" s="6">
        <f ca="1">IFERROR(__xludf.DUMMYFUNCTION("""COMPUTED_VALUE"""),205109)</f>
        <v>205109</v>
      </c>
      <c r="AD45" s="6" t="str">
        <f ca="1">IFERROR(__xludf.DUMMYFUNCTION("""COMPUTED_VALUE"""),"Tarj 31-08")</f>
        <v>Tarj 31-08</v>
      </c>
      <c r="AE45" s="6"/>
      <c r="AF45" s="12"/>
      <c r="AG45" s="15"/>
    </row>
    <row r="46" spans="1:33" ht="13.2">
      <c r="A46" s="18">
        <f ca="1">IFERROR(__xludf.DUMMYFUNCTION("""COMPUTED_VALUE"""),45535.4088550925)</f>
        <v>45535.408855092501</v>
      </c>
      <c r="B46" s="19" t="str">
        <f ca="1">IFERROR(__xludf.DUMMYFUNCTION("""COMPUTED_VALUE"""),"Tizziano")</f>
        <v>Tizziano</v>
      </c>
      <c r="C46" s="19" t="str">
        <f ca="1">IFERROR(__xludf.DUMMYFUNCTION("""COMPUTED_VALUE"""),"Bieler")</f>
        <v>Bieler</v>
      </c>
      <c r="D46" s="19" t="str">
        <f ca="1">IFERROR(__xludf.DUMMYFUNCTION("""COMPUTED_VALUE"""),"Santa Fe")</f>
        <v>Santa Fe</v>
      </c>
      <c r="E46" s="20" t="str">
        <f ca="1">IFERROR(__xludf.DUMMYFUNCTION("""COMPUTED_VALUE"""),"ARG")</f>
        <v>ARG</v>
      </c>
      <c r="F46" s="20">
        <f ca="1">IFERROR(__xludf.DUMMYFUNCTION("""COMPUTED_VALUE"""),53801029)</f>
        <v>53801029</v>
      </c>
      <c r="G46" s="21">
        <f ca="1">IFERROR(__xludf.DUMMYFUNCTION("""COMPUTED_VALUE"""),41684)</f>
        <v>41684</v>
      </c>
      <c r="H46" s="20">
        <f ca="1">IFERROR(__xludf.DUMMYFUNCTION("""COMPUTED_VALUE"""),3424403334)</f>
        <v>3424403334</v>
      </c>
      <c r="I46" s="42">
        <f ca="1">IFERROR(__xludf.DUMMYFUNCTION("""COMPUTED_VALUE"""),3424403334)</f>
        <v>3424403334</v>
      </c>
      <c r="J46" s="20" t="str">
        <f ca="1">IFERROR(__xludf.DUMMYFUNCTION("""COMPUTED_VALUE"""),"cariolalla@yahoo.com")</f>
        <v>cariolalla@yahoo.com</v>
      </c>
      <c r="K46" s="20" t="str">
        <f ca="1">IFERROR(__xludf.DUMMYFUNCTION("""COMPUTED_VALUE"""),"Masculino")</f>
        <v>Masculino</v>
      </c>
      <c r="L46" s="22" t="str">
        <f ca="1">IFERROR(__xludf.DUMMYFUNCTION("""COMPUTED_VALUE"""),"YCO / CNP")</f>
        <v>YCO / CNP</v>
      </c>
      <c r="M46" s="19" t="str">
        <f ca="1">IFERROR(__xludf.DUMMYFUNCTION("""COMPUTED_VALUE"""),"Interior (Optimist)")</f>
        <v>Interior (Optimist)</v>
      </c>
      <c r="N46" s="20" t="str">
        <f ca="1">IFERROR(__xludf.DUMMYFUNCTION("""COMPUTED_VALUE"""),"OPTIMIST PRINCIPIANTES")</f>
        <v>OPTIMIST PRINCIPIANTES</v>
      </c>
      <c r="O46" s="20"/>
      <c r="P46" s="20">
        <f ca="1">IFERROR(__xludf.DUMMYFUNCTION("""COMPUTED_VALUE"""),3880)</f>
        <v>3880</v>
      </c>
      <c r="Q46" s="19"/>
      <c r="R46" s="19"/>
      <c r="S46" s="19"/>
      <c r="T46" s="19"/>
      <c r="U46" s="19"/>
      <c r="V46" s="19"/>
      <c r="W46" s="19"/>
      <c r="X46" s="23" t="str">
        <f ca="1">IFERROR(__xludf.DUMMYFUNCTION("""COMPUTED_VALUE"""),"SANATORIO SANTA FE 94702")</f>
        <v>SANATORIO SANTA FE 94702</v>
      </c>
      <c r="Y46" s="20" t="str">
        <f ca="1">IFERROR(__xludf.DUMMYFUNCTION("""COMPUTED_VALUE"""),"Si")</f>
        <v>Si</v>
      </c>
      <c r="Z46" s="20" t="str">
        <f ca="1">IFERROR(__xludf.DUMMYFUNCTION("""COMPUTED_VALUE"""),"Acepto")</f>
        <v>Acepto</v>
      </c>
      <c r="AA46" s="24" t="str">
        <f ca="1">IFERROR(__xludf.DUMMYFUNCTION("""COMPUTED_VALUE"""),"Terminado")</f>
        <v>Terminado</v>
      </c>
      <c r="AB46" s="24">
        <f ca="1">IFERROR(__xludf.DUMMYFUNCTION("""COMPUTED_VALUE"""),50000)</f>
        <v>50000</v>
      </c>
      <c r="AC46" s="6">
        <f ca="1">IFERROR(__xludf.DUMMYFUNCTION("""COMPUTED_VALUE"""),205110)</f>
        <v>205110</v>
      </c>
      <c r="AD46" s="6" t="str">
        <f ca="1">IFERROR(__xludf.DUMMYFUNCTION("""COMPUTED_VALUE"""),"Tarj 31-08")</f>
        <v>Tarj 31-08</v>
      </c>
      <c r="AE46" s="6"/>
      <c r="AF46" s="20"/>
      <c r="AG46" s="22"/>
    </row>
    <row r="47" spans="1:33" ht="13.2">
      <c r="A47" s="43">
        <f ca="1">IFERROR(__xludf.DUMMYFUNCTION("""COMPUTED_VALUE"""),45533.4642335069)</f>
        <v>45533.4642335069</v>
      </c>
      <c r="B47" s="36" t="str">
        <f ca="1">IFERROR(__xludf.DUMMYFUNCTION("""COMPUTED_VALUE"""),"Benjamín ")</f>
        <v xml:space="preserve">Benjamín </v>
      </c>
      <c r="C47" s="36" t="str">
        <f ca="1">IFERROR(__xludf.DUMMYFUNCTION("""COMPUTED_VALUE"""),"Bizet ")</f>
        <v xml:space="preserve">Bizet </v>
      </c>
      <c r="D47" s="36" t="str">
        <f ca="1">IFERROR(__xludf.DUMMYFUNCTION("""COMPUTED_VALUE"""),"La Plata")</f>
        <v>La Plata</v>
      </c>
      <c r="E47" s="6" t="str">
        <f ca="1">IFERROR(__xludf.DUMMYFUNCTION("""COMPUTED_VALUE"""),"ARG")</f>
        <v>ARG</v>
      </c>
      <c r="F47" s="6">
        <f ca="1">IFERROR(__xludf.DUMMYFUNCTION("""COMPUTED_VALUE"""),47551873)</f>
        <v>47551873</v>
      </c>
      <c r="G47" s="44">
        <f ca="1">IFERROR(__xludf.DUMMYFUNCTION("""COMPUTED_VALUE"""),39077)</f>
        <v>39077</v>
      </c>
      <c r="H47" s="6">
        <f ca="1">IFERROR(__xludf.DUMMYFUNCTION("""COMPUTED_VALUE"""),2213064915)</f>
        <v>2213064915</v>
      </c>
      <c r="I47" s="6">
        <f ca="1">IFERROR(__xludf.DUMMYFUNCTION("""COMPUTED_VALUE"""),2215663203)</f>
        <v>2215663203</v>
      </c>
      <c r="J47" s="6" t="str">
        <f ca="1">IFERROR(__xludf.DUMMYFUNCTION("""COMPUTED_VALUE"""),"benjabizet22@gmail.com")</f>
        <v>benjabizet22@gmail.com</v>
      </c>
      <c r="K47" s="6" t="str">
        <f ca="1">IFERROR(__xludf.DUMMYFUNCTION("""COMPUTED_VALUE"""),"Masculino")</f>
        <v>Masculino</v>
      </c>
      <c r="L47" s="36" t="str">
        <f ca="1">IFERROR(__xludf.DUMMYFUNCTION("""COMPUTED_VALUE"""),"CRLP ")</f>
        <v xml:space="preserve">CRLP </v>
      </c>
      <c r="M47" s="36"/>
      <c r="N47" s="6" t="str">
        <f ca="1">IFERROR(__xludf.DUMMYFUNCTION("""COMPUTED_VALUE"""),"ILCA 6")</f>
        <v>ILCA 6</v>
      </c>
      <c r="O47" s="6"/>
      <c r="P47" s="6">
        <f ca="1">IFERROR(__xludf.DUMMYFUNCTION("""COMPUTED_VALUE"""),169450)</f>
        <v>169450</v>
      </c>
      <c r="Q47" s="6"/>
      <c r="R47" s="45"/>
      <c r="S47" s="6"/>
      <c r="T47" s="6"/>
      <c r="U47" s="6"/>
      <c r="V47" s="38"/>
      <c r="W47" s="38"/>
      <c r="X47" s="40"/>
      <c r="Y47" s="6" t="str">
        <f ca="1">IFERROR(__xludf.DUMMYFUNCTION("""COMPUTED_VALUE"""),"No")</f>
        <v>No</v>
      </c>
      <c r="Z47" s="6" t="str">
        <f ca="1">IFERROR(__xludf.DUMMYFUNCTION("""COMPUTED_VALUE"""),"Acepto")</f>
        <v>Acepto</v>
      </c>
      <c r="AA47" s="41" t="str">
        <f ca="1">IFERROR(__xludf.DUMMYFUNCTION("""COMPUTED_VALUE"""),"Terminado")</f>
        <v>Terminado</v>
      </c>
      <c r="AB47" s="41">
        <f ca="1">IFERROR(__xludf.DUMMYFUNCTION("""COMPUTED_VALUE"""),50000)</f>
        <v>50000</v>
      </c>
      <c r="AC47" s="6">
        <f ca="1">IFERROR(__xludf.DUMMYFUNCTION("""COMPUTED_VALUE"""),205074)</f>
        <v>205074</v>
      </c>
      <c r="AD47" s="6" t="str">
        <f ca="1">IFERROR(__xludf.DUMMYFUNCTION("""COMPUTED_VALUE"""),"TRF 29-08")</f>
        <v>TRF 29-08</v>
      </c>
      <c r="AE47" s="6"/>
      <c r="AF47" s="6"/>
      <c r="AG47" s="36"/>
    </row>
    <row r="48" spans="1:33" ht="13.2">
      <c r="A48" s="18">
        <f ca="1">IFERROR(__xludf.DUMMYFUNCTION("""COMPUTED_VALUE"""),45538.8574748379)</f>
        <v>45538.857474837903</v>
      </c>
      <c r="B48" s="19" t="str">
        <f ca="1">IFERROR(__xludf.DUMMYFUNCTION("""COMPUTED_VALUE"""),"Joaquin")</f>
        <v>Joaquin</v>
      </c>
      <c r="C48" s="19" t="str">
        <f ca="1">IFERROR(__xludf.DUMMYFUNCTION("""COMPUTED_VALUE"""),"Blousson")</f>
        <v>Blousson</v>
      </c>
      <c r="D48" s="19" t="str">
        <f ca="1">IFERROR(__xludf.DUMMYFUNCTION("""COMPUTED_VALUE"""),"CABA")</f>
        <v>CABA</v>
      </c>
      <c r="E48" s="20" t="str">
        <f ca="1">IFERROR(__xludf.DUMMYFUNCTION("""COMPUTED_VALUE"""),"ARG")</f>
        <v>ARG</v>
      </c>
      <c r="F48" s="20">
        <f ca="1">IFERROR(__xludf.DUMMYFUNCTION("""COMPUTED_VALUE"""),48857390)</f>
        <v>48857390</v>
      </c>
      <c r="G48" s="21">
        <f ca="1">IFERROR(__xludf.DUMMYFUNCTION("""COMPUTED_VALUE"""),-690812)</f>
        <v>-690812</v>
      </c>
      <c r="H48" s="20">
        <f ca="1">IFERROR(__xludf.DUMMYFUNCTION("""COMPUTED_VALUE"""),1158179367)</f>
        <v>1158179367</v>
      </c>
      <c r="I48" s="20"/>
      <c r="J48" s="20" t="str">
        <f ca="1">IFERROR(__xludf.DUMMYFUNCTION("""COMPUTED_VALUE"""),"jblousson@gmail.com")</f>
        <v>jblousson@gmail.com</v>
      </c>
      <c r="K48" s="20" t="str">
        <f ca="1">IFERROR(__xludf.DUMMYFUNCTION("""COMPUTED_VALUE"""),"Masculino")</f>
        <v>Masculino</v>
      </c>
      <c r="L48" s="22" t="str">
        <f ca="1">IFERROR(__xludf.DUMMYFUNCTION("""COMPUTED_VALUE"""),"YCA")</f>
        <v>YCA</v>
      </c>
      <c r="M48" s="19"/>
      <c r="N48" s="20">
        <f ca="1">IFERROR(__xludf.DUMMYFUNCTION("""COMPUTED_VALUE"""),420)</f>
        <v>420</v>
      </c>
      <c r="O48" s="20">
        <f ca="1">IFERROR(__xludf.DUMMYFUNCTION("""COMPUTED_VALUE"""),63)</f>
        <v>63</v>
      </c>
      <c r="P48" s="20">
        <f ca="1">IFERROR(__xludf.DUMMYFUNCTION("""COMPUTED_VALUE"""),54842)</f>
        <v>54842</v>
      </c>
      <c r="Q48" s="19" t="str">
        <f ca="1">IFERROR(__xludf.DUMMYFUNCTION("""COMPUTED_VALUE"""),"Sonia")</f>
        <v>Sonia</v>
      </c>
      <c r="R48" s="19" t="str">
        <f ca="1">IFERROR(__xludf.DUMMYFUNCTION("""COMPUTED_VALUE"""),"Joaquin Blousson")</f>
        <v>Joaquin Blousson</v>
      </c>
      <c r="S48" s="19" t="str">
        <f ca="1">IFERROR(__xludf.DUMMYFUNCTION("""COMPUTED_VALUE"""),"Franco Blousson")</f>
        <v>Franco Blousson</v>
      </c>
      <c r="T48" s="19"/>
      <c r="U48" s="19"/>
      <c r="V48" s="19"/>
      <c r="W48" s="19"/>
      <c r="X48" s="23" t="str">
        <f ca="1">IFERROR(__xludf.DUMMYFUNCTION("""COMPUTED_VALUE"""),"OSDE")</f>
        <v>OSDE</v>
      </c>
      <c r="Y48" s="20" t="str">
        <f ca="1">IFERROR(__xludf.DUMMYFUNCTION("""COMPUTED_VALUE"""),"No")</f>
        <v>No</v>
      </c>
      <c r="Z48" s="20" t="str">
        <f ca="1">IFERROR(__xludf.DUMMYFUNCTION("""COMPUTED_VALUE"""),"Acepto")</f>
        <v>Acepto</v>
      </c>
      <c r="AA48" s="24" t="str">
        <f ca="1">IFERROR(__xludf.DUMMYFUNCTION("""COMPUTED_VALUE"""),"Terminado")</f>
        <v>Terminado</v>
      </c>
      <c r="AB48" s="24">
        <f ca="1">IFERROR(__xludf.DUMMYFUNCTION("""COMPUTED_VALUE"""),80000)</f>
        <v>80000</v>
      </c>
      <c r="AC48" s="6">
        <f ca="1">IFERROR(__xludf.DUMMYFUNCTION("""COMPUTED_VALUE"""),205407)</f>
        <v>205407</v>
      </c>
      <c r="AD48" s="6" t="str">
        <f ca="1">IFERROR(__xludf.DUMMYFUNCTION("""COMPUTED_VALUE"""),"TRF 03-09")</f>
        <v>TRF 03-09</v>
      </c>
      <c r="AE48" s="6"/>
      <c r="AF48" s="20"/>
      <c r="AG48" s="22"/>
    </row>
    <row r="49" spans="1:33" ht="13.2">
      <c r="A49" s="43">
        <f ca="1">IFERROR(__xludf.DUMMYFUNCTION("""COMPUTED_VALUE"""),45537.8056501967)</f>
        <v>45537.8056501967</v>
      </c>
      <c r="B49" s="36" t="str">
        <f ca="1">IFERROR(__xludf.DUMMYFUNCTION("""COMPUTED_VALUE"""),"Martín")</f>
        <v>Martín</v>
      </c>
      <c r="C49" s="36" t="str">
        <f ca="1">IFERROR(__xludf.DUMMYFUNCTION("""COMPUTED_VALUE"""),"Böhm")</f>
        <v>Böhm</v>
      </c>
      <c r="D49" s="36" t="str">
        <f ca="1">IFERROR(__xludf.DUMMYFUNCTION("""COMPUTED_VALUE"""),"Buenos Aires")</f>
        <v>Buenos Aires</v>
      </c>
      <c r="E49" s="6" t="str">
        <f ca="1">IFERROR(__xludf.DUMMYFUNCTION("""COMPUTED_VALUE"""),"ARG")</f>
        <v>ARG</v>
      </c>
      <c r="F49" s="6">
        <f ca="1">IFERROR(__xludf.DUMMYFUNCTION("""COMPUTED_VALUE"""),51071134)</f>
        <v>51071134</v>
      </c>
      <c r="G49" s="37">
        <f ca="1">IFERROR(__xludf.DUMMYFUNCTION("""COMPUTED_VALUE"""),40620)</f>
        <v>40620</v>
      </c>
      <c r="H49" s="38" t="str">
        <f ca="1">IFERROR(__xludf.DUMMYFUNCTION("""COMPUTED_VALUE"""),"011 3181 3486")</f>
        <v>011 3181 3486</v>
      </c>
      <c r="I49" s="38" t="str">
        <f ca="1">IFERROR(__xludf.DUMMYFUNCTION("""COMPUTED_VALUE"""),"011 3521 9706")</f>
        <v>011 3521 9706</v>
      </c>
      <c r="J49" s="38" t="str">
        <f ca="1">IFERROR(__xludf.DUMMYFUNCTION("""COMPUTED_VALUE"""),"norberto@boehm.com.ar")</f>
        <v>norberto@boehm.com.ar</v>
      </c>
      <c r="K49" s="38" t="str">
        <f ca="1">IFERROR(__xludf.DUMMYFUNCTION("""COMPUTED_VALUE"""),"Masculino")</f>
        <v>Masculino</v>
      </c>
      <c r="L49" s="36" t="str">
        <f ca="1">IFERROR(__xludf.DUMMYFUNCTION("""COMPUTED_VALUE"""),"CNO")</f>
        <v>CNO</v>
      </c>
      <c r="M49" s="36"/>
      <c r="N49" s="6" t="str">
        <f ca="1">IFERROR(__xludf.DUMMYFUNCTION("""COMPUTED_VALUE"""),"OPTIMIST PRINCIPIANTES")</f>
        <v>OPTIMIST PRINCIPIANTES</v>
      </c>
      <c r="O49" s="6">
        <f ca="1">IFERROR(__xludf.DUMMYFUNCTION("""COMPUTED_VALUE"""),9)</f>
        <v>9</v>
      </c>
      <c r="P49" s="6">
        <f ca="1">IFERROR(__xludf.DUMMYFUNCTION("""COMPUTED_VALUE"""),343)</f>
        <v>343</v>
      </c>
      <c r="Q49" s="38" t="str">
        <f ca="1">IFERROR(__xludf.DUMMYFUNCTION("""COMPUTED_VALUE"""),"Speed Racer")</f>
        <v>Speed Racer</v>
      </c>
      <c r="R49" s="38"/>
      <c r="S49" s="38"/>
      <c r="T49" s="38"/>
      <c r="U49" s="38"/>
      <c r="V49" s="38"/>
      <c r="W49" s="38"/>
      <c r="X49" s="40" t="str">
        <f ca="1">IFERROR(__xludf.DUMMYFUNCTION("""COMPUTED_VALUE"""),"OSDE 60 920464 4 04")</f>
        <v>OSDE 60 920464 4 04</v>
      </c>
      <c r="Y49" s="6" t="str">
        <f ca="1">IFERROR(__xludf.DUMMYFUNCTION("""COMPUTED_VALUE"""),"No")</f>
        <v>No</v>
      </c>
      <c r="Z49" s="6" t="str">
        <f ca="1">IFERROR(__xludf.DUMMYFUNCTION("""COMPUTED_VALUE"""),"Acepto")</f>
        <v>Acepto</v>
      </c>
      <c r="AA49" s="41" t="str">
        <f ca="1">IFERROR(__xludf.DUMMYFUNCTION("""COMPUTED_VALUE"""),"Terminado")</f>
        <v>Terminado</v>
      </c>
      <c r="AB49" s="41">
        <f ca="1">IFERROR(__xludf.DUMMYFUNCTION("""COMPUTED_VALUE"""),50000)</f>
        <v>50000</v>
      </c>
      <c r="AC49" s="6">
        <f ca="1">IFERROR(__xludf.DUMMYFUNCTION("""COMPUTED_VALUE"""),205405)</f>
        <v>205405</v>
      </c>
      <c r="AD49" s="6" t="str">
        <f ca="1">IFERROR(__xludf.DUMMYFUNCTION("""COMPUTED_VALUE"""),"TRF 02-09")</f>
        <v>TRF 02-09</v>
      </c>
      <c r="AE49" s="6"/>
      <c r="AF49" s="6"/>
      <c r="AG49" s="36"/>
    </row>
    <row r="50" spans="1:33" ht="13.2">
      <c r="A50" s="35">
        <f ca="1">IFERROR(__xludf.DUMMYFUNCTION("""COMPUTED_VALUE"""),45524.8832807175)</f>
        <v>45524.883280717499</v>
      </c>
      <c r="B50" s="36" t="str">
        <f ca="1">IFERROR(__xludf.DUMMYFUNCTION("""COMPUTED_VALUE"""),"Diego")</f>
        <v>Diego</v>
      </c>
      <c r="C50" s="36" t="str">
        <f ca="1">IFERROR(__xludf.DUMMYFUNCTION("""COMPUTED_VALUE"""),"Borlenghi")</f>
        <v>Borlenghi</v>
      </c>
      <c r="D50" s="36" t="str">
        <f ca="1">IFERROR(__xludf.DUMMYFUNCTION("""COMPUTED_VALUE"""),"buenos aires")</f>
        <v>buenos aires</v>
      </c>
      <c r="E50" s="6" t="str">
        <f ca="1">IFERROR(__xludf.DUMMYFUNCTION("""COMPUTED_VALUE"""),"ARG")</f>
        <v>ARG</v>
      </c>
      <c r="F50" s="6">
        <f ca="1">IFERROR(__xludf.DUMMYFUNCTION("""COMPUTED_VALUE"""),52827491)</f>
        <v>52827491</v>
      </c>
      <c r="G50" s="37">
        <f ca="1">IFERROR(__xludf.DUMMYFUNCTION("""COMPUTED_VALUE"""),41261)</f>
        <v>41261</v>
      </c>
      <c r="H50" s="38">
        <f ca="1">IFERROR(__xludf.DUMMYFUNCTION("""COMPUTED_VALUE"""),1156913406)</f>
        <v>1156913406</v>
      </c>
      <c r="I50" s="39"/>
      <c r="J50" s="38" t="str">
        <f ca="1">IFERROR(__xludf.DUMMYFUNCTION("""COMPUTED_VALUE"""),"gaby.rodriguez@yahoo.com.ar")</f>
        <v>gaby.rodriguez@yahoo.com.ar</v>
      </c>
      <c r="K50" s="38" t="str">
        <f ca="1">IFERROR(__xludf.DUMMYFUNCTION("""COMPUTED_VALUE"""),"Masculino")</f>
        <v>Masculino</v>
      </c>
      <c r="L50" s="36" t="str">
        <f ca="1">IFERROR(__xludf.DUMMYFUNCTION("""COMPUTED_VALUE"""),"CPNLB ")</f>
        <v xml:space="preserve">CPNLB </v>
      </c>
      <c r="M50" s="38"/>
      <c r="N50" s="6" t="str">
        <f ca="1">IFERROR(__xludf.DUMMYFUNCTION("""COMPUTED_VALUE"""),"OPTIMIST TIMONELES")</f>
        <v>OPTIMIST TIMONELES</v>
      </c>
      <c r="O50" s="6"/>
      <c r="P50" s="6">
        <f ca="1">IFERROR(__xludf.DUMMYFUNCTION("""COMPUTED_VALUE"""),4023)</f>
        <v>4023</v>
      </c>
      <c r="Q50" s="38"/>
      <c r="R50" s="38"/>
      <c r="S50" s="38"/>
      <c r="T50" s="38"/>
      <c r="U50" s="38"/>
      <c r="V50" s="38"/>
      <c r="W50" s="38"/>
      <c r="X50" s="40"/>
      <c r="Y50" s="6" t="str">
        <f ca="1">IFERROR(__xludf.DUMMYFUNCTION("""COMPUTED_VALUE"""),"Si")</f>
        <v>Si</v>
      </c>
      <c r="Z50" s="6" t="str">
        <f ca="1">IFERROR(__xludf.DUMMYFUNCTION("""COMPUTED_VALUE"""),"Acepto")</f>
        <v>Acepto</v>
      </c>
      <c r="AA50" s="41" t="str">
        <f ca="1">IFERROR(__xludf.DUMMYFUNCTION("""COMPUTED_VALUE"""),"Terminado")</f>
        <v>Terminado</v>
      </c>
      <c r="AB50" s="41">
        <f ca="1">IFERROR(__xludf.DUMMYFUNCTION("""COMPUTED_VALUE"""),60000)</f>
        <v>60000</v>
      </c>
      <c r="AC50" s="6">
        <f ca="1">IFERROR(__xludf.DUMMYFUNCTION("""COMPUTED_VALUE"""),205012)</f>
        <v>205012</v>
      </c>
      <c r="AD50" s="6" t="str">
        <f ca="1">IFERROR(__xludf.DUMMYFUNCTION("""COMPUTED_VALUE"""),"TRF 20-08")</f>
        <v>TRF 20-08</v>
      </c>
      <c r="AE50" s="6"/>
      <c r="AF50" s="6"/>
      <c r="AG50" s="36"/>
    </row>
    <row r="51" spans="1:33" ht="13.2">
      <c r="A51" s="35">
        <f ca="1">IFERROR(__xludf.DUMMYFUNCTION("""COMPUTED_VALUE"""),45533.9223677199)</f>
        <v>45533.922367719897</v>
      </c>
      <c r="B51" s="36" t="str">
        <f ca="1">IFERROR(__xludf.DUMMYFUNCTION("""COMPUTED_VALUE"""),"Olivia ")</f>
        <v xml:space="preserve">Olivia </v>
      </c>
      <c r="C51" s="36" t="str">
        <f ca="1">IFERROR(__xludf.DUMMYFUNCTION("""COMPUTED_VALUE"""),"Bouvier ")</f>
        <v xml:space="preserve">Bouvier </v>
      </c>
      <c r="D51" s="36" t="str">
        <f ca="1">IFERROR(__xludf.DUMMYFUNCTION("""COMPUTED_VALUE"""),"Zárate ")</f>
        <v xml:space="preserve">Zárate </v>
      </c>
      <c r="E51" s="6" t="str">
        <f ca="1">IFERROR(__xludf.DUMMYFUNCTION("""COMPUTED_VALUE"""),"ARG")</f>
        <v>ARG</v>
      </c>
      <c r="F51" s="6">
        <f ca="1">IFERROR(__xludf.DUMMYFUNCTION("""COMPUTED_VALUE"""),50417852)</f>
        <v>50417852</v>
      </c>
      <c r="G51" s="37">
        <f ca="1">IFERROR(__xludf.DUMMYFUNCTION("""COMPUTED_VALUE"""),40456)</f>
        <v>40456</v>
      </c>
      <c r="H51" s="38">
        <f ca="1">IFERROR(__xludf.DUMMYFUNCTION("""COMPUTED_VALUE"""),1150435258)</f>
        <v>1150435258</v>
      </c>
      <c r="I51" s="39">
        <f ca="1">IFERROR(__xludf.DUMMYFUNCTION("""COMPUTED_VALUE"""),1149168977)</f>
        <v>1149168977</v>
      </c>
      <c r="J51" s="38" t="str">
        <f ca="1">IFERROR(__xludf.DUMMYFUNCTION("""COMPUTED_VALUE"""),"Verominetti75@gmail.com")</f>
        <v>Verominetti75@gmail.com</v>
      </c>
      <c r="K51" s="38" t="str">
        <f ca="1">IFERROR(__xludf.DUMMYFUNCTION("""COMPUTED_VALUE"""),"Femenino")</f>
        <v>Femenino</v>
      </c>
      <c r="L51" s="36" t="str">
        <f ca="1">IFERROR(__xludf.DUMMYFUNCTION("""COMPUTED_VALUE"""),"CNZ")</f>
        <v>CNZ</v>
      </c>
      <c r="M51" s="38"/>
      <c r="N51" s="6" t="str">
        <f ca="1">IFERROR(__xludf.DUMMYFUNCTION("""COMPUTED_VALUE"""),"OPTIMIST TIMONELES")</f>
        <v>OPTIMIST TIMONELES</v>
      </c>
      <c r="O51" s="6"/>
      <c r="P51" s="6">
        <f ca="1">IFERROR(__xludf.DUMMYFUNCTION("""COMPUTED_VALUE"""),3888)</f>
        <v>3888</v>
      </c>
      <c r="Q51" s="38"/>
      <c r="R51" s="38" t="str">
        <f ca="1">IFERROR(__xludf.DUMMYFUNCTION("""COMPUTED_VALUE"""),"Oliva Bouvier ")</f>
        <v xml:space="preserve">Oliva Bouvier </v>
      </c>
      <c r="S51" s="38"/>
      <c r="T51" s="38"/>
      <c r="U51" s="38"/>
      <c r="V51" s="38"/>
      <c r="W51" s="38"/>
      <c r="X51" s="40" t="str">
        <f ca="1">IFERROR(__xludf.DUMMYFUNCTION("""COMPUTED_VALUE"""),"Swiss Medical")</f>
        <v>Swiss Medical</v>
      </c>
      <c r="Y51" s="6" t="str">
        <f ca="1">IFERROR(__xludf.DUMMYFUNCTION("""COMPUTED_VALUE"""),"No")</f>
        <v>No</v>
      </c>
      <c r="Z51" s="6" t="str">
        <f ca="1">IFERROR(__xludf.DUMMYFUNCTION("""COMPUTED_VALUE"""),"Acepto")</f>
        <v>Acepto</v>
      </c>
      <c r="AA51" s="41" t="str">
        <f ca="1">IFERROR(__xludf.DUMMYFUNCTION("""COMPUTED_VALUE"""),"Terminado")</f>
        <v>Terminado</v>
      </c>
      <c r="AB51" s="41">
        <f ca="1">IFERROR(__xludf.DUMMYFUNCTION("""COMPUTED_VALUE"""),50000)</f>
        <v>50000</v>
      </c>
      <c r="AC51" s="6">
        <f ca="1">IFERROR(__xludf.DUMMYFUNCTION("""COMPUTED_VALUE"""),205085)</f>
        <v>205085</v>
      </c>
      <c r="AD51" s="6" t="str">
        <f ca="1">IFERROR(__xludf.DUMMYFUNCTION("""COMPUTED_VALUE"""),"TRF 29-08")</f>
        <v>TRF 29-08</v>
      </c>
      <c r="AE51" s="6"/>
      <c r="AF51" s="6"/>
      <c r="AG51" s="36"/>
    </row>
    <row r="52" spans="1:33" ht="13.2">
      <c r="A52" s="35">
        <f ca="1">IFERROR(__xludf.DUMMYFUNCTION("""COMPUTED_VALUE"""),45526.5186511574)</f>
        <v>45526.518651157399</v>
      </c>
      <c r="B52" s="36" t="str">
        <f ca="1">IFERROR(__xludf.DUMMYFUNCTION("""COMPUTED_VALUE"""),"franco")</f>
        <v>franco</v>
      </c>
      <c r="C52" s="36" t="str">
        <f ca="1">IFERROR(__xludf.DUMMYFUNCTION("""COMPUTED_VALUE"""),"braccini")</f>
        <v>braccini</v>
      </c>
      <c r="D52" s="36" t="str">
        <f ca="1">IFERROR(__xludf.DUMMYFUNCTION("""COMPUTED_VALUE"""),"bahia blanca")</f>
        <v>bahia blanca</v>
      </c>
      <c r="E52" s="6" t="str">
        <f ca="1">IFERROR(__xludf.DUMMYFUNCTION("""COMPUTED_VALUE"""),"ARG")</f>
        <v>ARG</v>
      </c>
      <c r="F52" s="6">
        <f ca="1">IFERROR(__xludf.DUMMYFUNCTION("""COMPUTED_VALUE"""),39877404)</f>
        <v>39877404</v>
      </c>
      <c r="G52" s="37">
        <f ca="1">IFERROR(__xludf.DUMMYFUNCTION("""COMPUTED_VALUE"""),35321)</f>
        <v>35321</v>
      </c>
      <c r="H52" s="38">
        <f ca="1">IFERROR(__xludf.DUMMYFUNCTION("""COMPUTED_VALUE"""),2914708823)</f>
        <v>2914708823</v>
      </c>
      <c r="I52" s="39"/>
      <c r="J52" s="38" t="str">
        <f ca="1">IFERROR(__xludf.DUMMYFUNCTION("""COMPUTED_VALUE"""),"franco-braccini@hotmail.com")</f>
        <v>franco-braccini@hotmail.com</v>
      </c>
      <c r="K52" s="38" t="str">
        <f ca="1">IFERROR(__xludf.DUMMYFUNCTION("""COMPUTED_VALUE"""),"Masculino")</f>
        <v>Masculino</v>
      </c>
      <c r="L52" s="36" t="str">
        <f ca="1">IFERROR(__xludf.DUMMYFUNCTION("""COMPUTED_VALUE"""),"YCPB - YCA")</f>
        <v>YCPB - YCA</v>
      </c>
      <c r="M52" s="38"/>
      <c r="N52" s="6" t="str">
        <f ca="1">IFERROR(__xludf.DUMMYFUNCTION("""COMPUTED_VALUE"""),"SNIPE")</f>
        <v>SNIPE</v>
      </c>
      <c r="O52" s="6"/>
      <c r="P52" s="6">
        <f ca="1">IFERROR(__xludf.DUMMYFUNCTION("""COMPUTED_VALUE"""),31395)</f>
        <v>31395</v>
      </c>
      <c r="Q52" s="38" t="str">
        <f ca="1">IFERROR(__xludf.DUMMYFUNCTION("""COMPUTED_VALUE"""),"Rigging BBa")</f>
        <v>Rigging BBa</v>
      </c>
      <c r="R52" s="38" t="str">
        <f ca="1">IFERROR(__xludf.DUMMYFUNCTION("""COMPUTED_VALUE"""),"Alejandro Pilotti")</f>
        <v>Alejandro Pilotti</v>
      </c>
      <c r="S52" s="38"/>
      <c r="T52" s="38"/>
      <c r="U52" s="38"/>
      <c r="V52" s="38"/>
      <c r="W52" s="38"/>
      <c r="X52" s="40"/>
      <c r="Y52" s="6" t="str">
        <f ca="1">IFERROR(__xludf.DUMMYFUNCTION("""COMPUTED_VALUE"""),"Si")</f>
        <v>Si</v>
      </c>
      <c r="Z52" s="6" t="str">
        <f ca="1">IFERROR(__xludf.DUMMYFUNCTION("""COMPUTED_VALUE"""),"Acepto")</f>
        <v>Acepto</v>
      </c>
      <c r="AA52" s="41" t="str">
        <f ca="1">IFERROR(__xludf.DUMMYFUNCTION("""COMPUTED_VALUE"""),"Terminado")</f>
        <v>Terminado</v>
      </c>
      <c r="AB52" s="41">
        <f ca="1">IFERROR(__xludf.DUMMYFUNCTION("""COMPUTED_VALUE"""),59500)</f>
        <v>59500</v>
      </c>
      <c r="AC52" s="6">
        <f ca="1">IFERROR(__xludf.DUMMYFUNCTION("""COMPUTED_VALUE"""),205039)</f>
        <v>205039</v>
      </c>
      <c r="AD52" s="6" t="str">
        <f ca="1">IFERROR(__xludf.DUMMYFUNCTION("""COMPUTED_VALUE"""),"TRF 22-08")</f>
        <v>TRF 22-08</v>
      </c>
      <c r="AE52" s="6"/>
      <c r="AF52" s="6"/>
      <c r="AG52" s="36"/>
    </row>
    <row r="53" spans="1:33" ht="13.2">
      <c r="A53" s="35">
        <f ca="1">IFERROR(__xludf.DUMMYFUNCTION("""COMPUTED_VALUE"""),45538.5926659374)</f>
        <v>45538.592665937402</v>
      </c>
      <c r="B53" s="36" t="str">
        <f ca="1">IFERROR(__xludf.DUMMYFUNCTION("""COMPUTED_VALUE"""),"Ines")</f>
        <v>Ines</v>
      </c>
      <c r="C53" s="36" t="str">
        <f ca="1">IFERROR(__xludf.DUMMYFUNCTION("""COMPUTED_VALUE"""),"Bradley")</f>
        <v>Bradley</v>
      </c>
      <c r="D53" s="36" t="str">
        <f ca="1">IFERROR(__xludf.DUMMYFUNCTION("""COMPUTED_VALUE"""),"Buenos aires")</f>
        <v>Buenos aires</v>
      </c>
      <c r="E53" s="6" t="str">
        <f ca="1">IFERROR(__xludf.DUMMYFUNCTION("""COMPUTED_VALUE"""),"ARG")</f>
        <v>ARG</v>
      </c>
      <c r="F53" s="6">
        <f ca="1">IFERROR(__xludf.DUMMYFUNCTION("""COMPUTED_VALUE"""),511397940)</f>
        <v>511397940</v>
      </c>
      <c r="G53" s="44">
        <f ca="1">IFERROR(__xludf.DUMMYFUNCTION("""COMPUTED_VALUE"""),40709)</f>
        <v>40709</v>
      </c>
      <c r="H53" s="6">
        <f ca="1">IFERROR(__xludf.DUMMYFUNCTION("""COMPUTED_VALUE"""),1165125393)</f>
        <v>1165125393</v>
      </c>
      <c r="I53" s="6">
        <f ca="1">IFERROR(__xludf.DUMMYFUNCTION("""COMPUTED_VALUE"""),116512393)</f>
        <v>116512393</v>
      </c>
      <c r="J53" s="6" t="str">
        <f ca="1">IFERROR(__xludf.DUMMYFUNCTION("""COMPUTED_VALUE"""),"franciscobradley@gmail.com")</f>
        <v>franciscobradley@gmail.com</v>
      </c>
      <c r="K53" s="6" t="str">
        <f ca="1">IFERROR(__xludf.DUMMYFUNCTION("""COMPUTED_VALUE"""),"Femenino")</f>
        <v>Femenino</v>
      </c>
      <c r="L53" s="36" t="str">
        <f ca="1">IFERROR(__xludf.DUMMYFUNCTION("""COMPUTED_VALUE"""),"CNSI")</f>
        <v>CNSI</v>
      </c>
      <c r="M53" s="36" t="str">
        <f ca="1">IFERROR(__xludf.DUMMYFUNCTION("""COMPUTED_VALUE"""),"Femenino")</f>
        <v>Femenino</v>
      </c>
      <c r="N53" s="6" t="str">
        <f ca="1">IFERROR(__xludf.DUMMYFUNCTION("""COMPUTED_VALUE"""),"OPTIMIST TIMONELES")</f>
        <v>OPTIMIST TIMONELES</v>
      </c>
      <c r="O53" s="6"/>
      <c r="P53" s="6">
        <f ca="1">IFERROR(__xludf.DUMMYFUNCTION("""COMPUTED_VALUE"""),3914)</f>
        <v>3914</v>
      </c>
      <c r="Q53" s="6"/>
      <c r="R53" s="6"/>
      <c r="S53" s="6"/>
      <c r="T53" s="6"/>
      <c r="U53" s="6"/>
      <c r="V53" s="38"/>
      <c r="W53" s="38"/>
      <c r="X53" s="40" t="str">
        <f ca="1">IFERROR(__xludf.DUMMYFUNCTION("""COMPUTED_VALUE"""),"SMG")</f>
        <v>SMG</v>
      </c>
      <c r="Y53" s="6" t="str">
        <f ca="1">IFERROR(__xludf.DUMMYFUNCTION("""COMPUTED_VALUE"""),"Si")</f>
        <v>Si</v>
      </c>
      <c r="Z53" s="6" t="str">
        <f ca="1">IFERROR(__xludf.DUMMYFUNCTION("""COMPUTED_VALUE"""),"Acepto")</f>
        <v>Acepto</v>
      </c>
      <c r="AA53" s="41" t="str">
        <f ca="1">IFERROR(__xludf.DUMMYFUNCTION("""COMPUTED_VALUE"""),"Terminado")</f>
        <v>Terminado</v>
      </c>
      <c r="AB53" s="41">
        <f ca="1">IFERROR(__xludf.DUMMYFUNCTION("""COMPUTED_VALUE"""),50000)</f>
        <v>50000</v>
      </c>
      <c r="AC53" s="6">
        <f ca="1">IFERROR(__xludf.DUMMYFUNCTION("""COMPUTED_VALUE"""),205438)</f>
        <v>205438</v>
      </c>
      <c r="AD53" s="6" t="str">
        <f ca="1">IFERROR(__xludf.DUMMYFUNCTION("""COMPUTED_VALUE"""),"TRF 04-09")</f>
        <v>TRF 04-09</v>
      </c>
      <c r="AE53" s="6"/>
      <c r="AF53" s="6"/>
      <c r="AG53" s="36"/>
    </row>
    <row r="54" spans="1:33" ht="13.2">
      <c r="A54" s="29">
        <f ca="1">IFERROR(__xludf.DUMMYFUNCTION("""COMPUTED_VALUE"""),45534.7911294097)</f>
        <v>45534.791129409699</v>
      </c>
      <c r="B54" s="19" t="str">
        <f ca="1">IFERROR(__xludf.DUMMYFUNCTION("""COMPUTED_VALUE"""),"Olivia")</f>
        <v>Olivia</v>
      </c>
      <c r="C54" s="19" t="str">
        <f ca="1">IFERROR(__xludf.DUMMYFUNCTION("""COMPUTED_VALUE"""),"Brunetta")</f>
        <v>Brunetta</v>
      </c>
      <c r="D54" s="19" t="str">
        <f ca="1">IFERROR(__xludf.DUMMYFUNCTION("""COMPUTED_VALUE"""),"San Isidro")</f>
        <v>San Isidro</v>
      </c>
      <c r="E54" s="20" t="str">
        <f ca="1">IFERROR(__xludf.DUMMYFUNCTION("""COMPUTED_VALUE"""),"ARG")</f>
        <v>ARG</v>
      </c>
      <c r="F54" s="20">
        <f ca="1">IFERROR(__xludf.DUMMYFUNCTION("""COMPUTED_VALUE"""),53586158)</f>
        <v>53586158</v>
      </c>
      <c r="G54" s="21">
        <f ca="1">IFERROR(__xludf.DUMMYFUNCTION("""COMPUTED_VALUE"""),41576)</f>
        <v>41576</v>
      </c>
      <c r="H54" s="20">
        <f ca="1">IFERROR(__xludf.DUMMYFUNCTION("""COMPUTED_VALUE"""),1157996370)</f>
        <v>1157996370</v>
      </c>
      <c r="I54" s="20">
        <f ca="1">IFERROR(__xludf.DUMMYFUNCTION("""COMPUTED_VALUE"""),1140609749)</f>
        <v>1140609749</v>
      </c>
      <c r="J54" s="20" t="str">
        <f ca="1">IFERROR(__xludf.DUMMYFUNCTION("""COMPUTED_VALUE"""),"Andres_brunetta@yahoo.com")</f>
        <v>Andres_brunetta@yahoo.com</v>
      </c>
      <c r="K54" s="20" t="str">
        <f ca="1">IFERROR(__xludf.DUMMYFUNCTION("""COMPUTED_VALUE"""),"Femenino")</f>
        <v>Femenino</v>
      </c>
      <c r="L54" s="22" t="str">
        <f ca="1">IFERROR(__xludf.DUMMYFUNCTION("""COMPUTED_VALUE"""),"CNSI")</f>
        <v>CNSI</v>
      </c>
      <c r="M54" s="19" t="str">
        <f ca="1">IFERROR(__xludf.DUMMYFUNCTION("""COMPUTED_VALUE"""),"Femenino")</f>
        <v>Femenino</v>
      </c>
      <c r="N54" s="20" t="str">
        <f ca="1">IFERROR(__xludf.DUMMYFUNCTION("""COMPUTED_VALUE"""),"OPTIMIST PRINCIPIANTES")</f>
        <v>OPTIMIST PRINCIPIANTES</v>
      </c>
      <c r="O54" s="20"/>
      <c r="P54" s="20">
        <f ca="1">IFERROR(__xludf.DUMMYFUNCTION("""COMPUTED_VALUE"""),3480)</f>
        <v>3480</v>
      </c>
      <c r="Q54" s="19" t="str">
        <f ca="1">IFERROR(__xludf.DUMMYFUNCTION("""COMPUTED_VALUE"""),"Garritas")</f>
        <v>Garritas</v>
      </c>
      <c r="R54" s="19"/>
      <c r="S54" s="19"/>
      <c r="T54" s="19"/>
      <c r="U54" s="19"/>
      <c r="V54" s="19"/>
      <c r="W54" s="19"/>
      <c r="X54" s="23" t="str">
        <f ca="1">IFERROR(__xludf.DUMMYFUNCTION("""COMPUTED_VALUE"""),"Osde410  60755505904")</f>
        <v>Osde410  60755505904</v>
      </c>
      <c r="Y54" s="20" t="str">
        <f ca="1">IFERROR(__xludf.DUMMYFUNCTION("""COMPUTED_VALUE"""),"Si")</f>
        <v>Si</v>
      </c>
      <c r="Z54" s="20" t="str">
        <f ca="1">IFERROR(__xludf.DUMMYFUNCTION("""COMPUTED_VALUE"""),"Acepto")</f>
        <v>Acepto</v>
      </c>
      <c r="AA54" s="17" t="str">
        <f ca="1">IFERROR(__xludf.DUMMYFUNCTION("""COMPUTED_VALUE"""),"Terminado")</f>
        <v>Terminado</v>
      </c>
      <c r="AB54" s="17">
        <f ca="1">IFERROR(__xludf.DUMMYFUNCTION("""COMPUTED_VALUE"""),50000)</f>
        <v>50000</v>
      </c>
      <c r="AC54" s="6">
        <f ca="1">IFERROR(__xludf.DUMMYFUNCTION("""COMPUTED_VALUE"""),205129)</f>
        <v>205129</v>
      </c>
      <c r="AD54" s="6" t="str">
        <f ca="1">IFERROR(__xludf.DUMMYFUNCTION("""COMPUTED_VALUE"""),"TRF 30-08")</f>
        <v>TRF 30-08</v>
      </c>
      <c r="AE54" s="6"/>
      <c r="AF54" s="20"/>
      <c r="AG54" s="22"/>
    </row>
    <row r="55" spans="1:33" ht="13.2">
      <c r="A55" s="18">
        <f ca="1">IFERROR(__xludf.DUMMYFUNCTION("""COMPUTED_VALUE"""),45532.4923840046)</f>
        <v>45532.492384004603</v>
      </c>
      <c r="B55" s="19" t="str">
        <f ca="1">IFERROR(__xludf.DUMMYFUNCTION("""COMPUTED_VALUE"""),"FELIPE ")</f>
        <v xml:space="preserve">FELIPE </v>
      </c>
      <c r="C55" s="19" t="str">
        <f ca="1">IFERROR(__xludf.DUMMYFUNCTION("""COMPUTED_VALUE"""),"BRUNO")</f>
        <v>BRUNO</v>
      </c>
      <c r="D55" s="19" t="str">
        <f ca="1">IFERROR(__xludf.DUMMYFUNCTION("""COMPUTED_VALUE"""),"RECOLETA")</f>
        <v>RECOLETA</v>
      </c>
      <c r="E55" s="20" t="str">
        <f ca="1">IFERROR(__xludf.DUMMYFUNCTION("""COMPUTED_VALUE"""),"ARG")</f>
        <v>ARG</v>
      </c>
      <c r="F55" s="20">
        <f ca="1">IFERROR(__xludf.DUMMYFUNCTION("""COMPUTED_VALUE"""),50705487)</f>
        <v>50705487</v>
      </c>
      <c r="G55" s="31">
        <f ca="1">IFERROR(__xludf.DUMMYFUNCTION("""COMPUTED_VALUE"""),40533)</f>
        <v>40533</v>
      </c>
      <c r="H55" s="19">
        <f ca="1">IFERROR(__xludf.DUMMYFUNCTION("""COMPUTED_VALUE"""),1155998816)</f>
        <v>1155998816</v>
      </c>
      <c r="I55" s="19">
        <f ca="1">IFERROR(__xludf.DUMMYFUNCTION("""COMPUTED_VALUE"""),1123241842)</f>
        <v>1123241842</v>
      </c>
      <c r="J55" s="19" t="str">
        <f ca="1">IFERROR(__xludf.DUMMYFUNCTION("""COMPUTED_VALUE"""),"gimade@hotmail.com")</f>
        <v>gimade@hotmail.com</v>
      </c>
      <c r="K55" s="19" t="str">
        <f ca="1">IFERROR(__xludf.DUMMYFUNCTION("""COMPUTED_VALUE"""),"Masculino")</f>
        <v>Masculino</v>
      </c>
      <c r="L55" s="22" t="str">
        <f ca="1">IFERROR(__xludf.DUMMYFUNCTION("""COMPUTED_VALUE"""),"YCO")</f>
        <v>YCO</v>
      </c>
      <c r="M55" s="19" t="str">
        <f ca="1">IFERROR(__xludf.DUMMYFUNCTION("""COMPUTED_VALUE"""),"OPTIMIST TIMONEL")</f>
        <v>OPTIMIST TIMONEL</v>
      </c>
      <c r="N55" s="20" t="str">
        <f ca="1">IFERROR(__xludf.DUMMYFUNCTION("""COMPUTED_VALUE"""),"OPTIMIST TIMONELES")</f>
        <v>OPTIMIST TIMONELES</v>
      </c>
      <c r="O55" s="20"/>
      <c r="P55" s="20">
        <f ca="1">IFERROR(__xludf.DUMMYFUNCTION("""COMPUTED_VALUE"""),3528)</f>
        <v>3528</v>
      </c>
      <c r="Q55" s="19" t="str">
        <f ca="1">IFERROR(__xludf.DUMMYFUNCTION("""COMPUTED_VALUE"""),"MOHANA")</f>
        <v>MOHANA</v>
      </c>
      <c r="R55" s="19"/>
      <c r="S55" s="19"/>
      <c r="T55" s="19"/>
      <c r="U55" s="19"/>
      <c r="V55" s="19"/>
      <c r="W55" s="19"/>
      <c r="X55" s="23" t="str">
        <f ca="1">IFERROR(__xludf.DUMMYFUNCTION("""COMPUTED_VALUE"""),"22913677 HOSPITAL ALEMAN")</f>
        <v>22913677 HOSPITAL ALEMAN</v>
      </c>
      <c r="Y55" s="20" t="str">
        <f ca="1">IFERROR(__xludf.DUMMYFUNCTION("""COMPUTED_VALUE"""),"Si")</f>
        <v>Si</v>
      </c>
      <c r="Z55" s="20" t="str">
        <f ca="1">IFERROR(__xludf.DUMMYFUNCTION("""COMPUTED_VALUE"""),"Acepto")</f>
        <v>Acepto</v>
      </c>
      <c r="AA55" s="17" t="str">
        <f ca="1">IFERROR(__xludf.DUMMYFUNCTION("""COMPUTED_VALUE"""),"Pendiente")</f>
        <v>Pendiente</v>
      </c>
      <c r="AB55" s="17"/>
      <c r="AC55" s="6"/>
      <c r="AD55" s="6"/>
      <c r="AE55" s="6"/>
      <c r="AF55" s="20"/>
      <c r="AG55" s="22"/>
    </row>
    <row r="56" spans="1:33" ht="13.2">
      <c r="A56" s="18">
        <f ca="1">IFERROR(__xludf.DUMMYFUNCTION("""COMPUTED_VALUE"""),45535.7442405787)</f>
        <v>45535.744240578701</v>
      </c>
      <c r="B56" s="19" t="str">
        <f ca="1">IFERROR(__xludf.DUMMYFUNCTION("""COMPUTED_VALUE"""),"Julian")</f>
        <v>Julian</v>
      </c>
      <c r="C56" s="19" t="str">
        <f ca="1">IFERROR(__xludf.DUMMYFUNCTION("""COMPUTED_VALUE"""),"Burgos")</f>
        <v>Burgos</v>
      </c>
      <c r="D56" s="19" t="str">
        <f ca="1">IFERROR(__xludf.DUMMYFUNCTION("""COMPUTED_VALUE"""),"Puerto Madryn ")</f>
        <v xml:space="preserve">Puerto Madryn </v>
      </c>
      <c r="E56" s="20" t="str">
        <f ca="1">IFERROR(__xludf.DUMMYFUNCTION("""COMPUTED_VALUE"""),"ARG")</f>
        <v>ARG</v>
      </c>
      <c r="F56" s="20">
        <f ca="1">IFERROR(__xludf.DUMMYFUNCTION("""COMPUTED_VALUE"""),48964983)</f>
        <v>48964983</v>
      </c>
      <c r="G56" s="31">
        <f ca="1">IFERROR(__xludf.DUMMYFUNCTION("""COMPUTED_VALUE"""),39703)</f>
        <v>39703</v>
      </c>
      <c r="H56" s="32">
        <f ca="1">IFERROR(__xludf.DUMMYFUNCTION("""COMPUTED_VALUE"""),2804678683)</f>
        <v>2804678683</v>
      </c>
      <c r="I56" s="19">
        <f ca="1">IFERROR(__xludf.DUMMYFUNCTION("""COMPUTED_VALUE"""),2804602408)</f>
        <v>2804602408</v>
      </c>
      <c r="J56" s="19" t="str">
        <f ca="1">IFERROR(__xludf.DUMMYFUNCTION("""COMPUTED_VALUE"""),"julianburgossaranz08@gmail.com")</f>
        <v>julianburgossaranz08@gmail.com</v>
      </c>
      <c r="K56" s="19" t="str">
        <f ca="1">IFERROR(__xludf.DUMMYFUNCTION("""COMPUTED_VALUE"""),"Masculino")</f>
        <v>Masculino</v>
      </c>
      <c r="L56" s="22" t="str">
        <f ca="1">IFERROR(__xludf.DUMMYFUNCTION("""COMPUTED_VALUE"""),"CNAS")</f>
        <v>CNAS</v>
      </c>
      <c r="M56" s="19" t="str">
        <f ca="1">IFERROR(__xludf.DUMMYFUNCTION("""COMPUTED_VALUE"""),"ILCA 4")</f>
        <v>ILCA 4</v>
      </c>
      <c r="N56" s="20" t="str">
        <f ca="1">IFERROR(__xludf.DUMMYFUNCTION("""COMPUTED_VALUE"""),"ILCA 4")</f>
        <v>ILCA 4</v>
      </c>
      <c r="O56" s="20"/>
      <c r="P56" s="20">
        <f ca="1">IFERROR(__xludf.DUMMYFUNCTION("""COMPUTED_VALUE"""),1209)</f>
        <v>1209</v>
      </c>
      <c r="Q56" s="19"/>
      <c r="R56" s="19"/>
      <c r="S56" s="19"/>
      <c r="T56" s="19"/>
      <c r="U56" s="19"/>
      <c r="V56" s="19"/>
      <c r="W56" s="19"/>
      <c r="X56" s="23" t="str">
        <f ca="1">IFERROR(__xludf.DUMMYFUNCTION("""COMPUTED_VALUE"""),"Swiss Medical")</f>
        <v>Swiss Medical</v>
      </c>
      <c r="Y56" s="20" t="str">
        <f ca="1">IFERROR(__xludf.DUMMYFUNCTION("""COMPUTED_VALUE"""),"Si")</f>
        <v>Si</v>
      </c>
      <c r="Z56" s="20" t="str">
        <f ca="1">IFERROR(__xludf.DUMMYFUNCTION("""COMPUTED_VALUE"""),"Acepto")</f>
        <v>Acepto</v>
      </c>
      <c r="AA56" s="17" t="str">
        <f ca="1">IFERROR(__xludf.DUMMYFUNCTION("""COMPUTED_VALUE"""),"Terminado")</f>
        <v>Terminado</v>
      </c>
      <c r="AB56" s="17">
        <f ca="1">IFERROR(__xludf.DUMMYFUNCTION("""COMPUTED_VALUE"""),38250)</f>
        <v>38250</v>
      </c>
      <c r="AC56" s="6" t="str">
        <f ca="1">IFERROR(__xludf.DUMMYFUNCTION("""COMPUTED_VALUE"""),"205370/205371")</f>
        <v>205370/205371</v>
      </c>
      <c r="AD56" s="6" t="str">
        <f ca="1">IFERROR(__xludf.DUMMYFUNCTION("""COMPUTED_VALUE"""),"TRF 02-09")</f>
        <v>TRF 02-09</v>
      </c>
      <c r="AE56" s="6"/>
      <c r="AF56" s="20"/>
      <c r="AG56" s="22"/>
    </row>
    <row r="57" spans="1:33" ht="13.2">
      <c r="A57" s="27">
        <f ca="1">IFERROR(__xludf.DUMMYFUNCTION("""COMPUTED_VALUE"""),45538.6784942939)</f>
        <v>45538.678494293898</v>
      </c>
      <c r="B57" s="11" t="str">
        <f ca="1">IFERROR(__xludf.DUMMYFUNCTION("""COMPUTED_VALUE"""),"Felipe")</f>
        <v>Felipe</v>
      </c>
      <c r="C57" s="11" t="str">
        <f ca="1">IFERROR(__xludf.DUMMYFUNCTION("""COMPUTED_VALUE"""),"Caivano")</f>
        <v>Caivano</v>
      </c>
      <c r="D57" s="11" t="str">
        <f ca="1">IFERROR(__xludf.DUMMYFUNCTION("""COMPUTED_VALUE"""),"Buenos aires")</f>
        <v>Buenos aires</v>
      </c>
      <c r="E57" s="12" t="str">
        <f ca="1">IFERROR(__xludf.DUMMYFUNCTION("""COMPUTED_VALUE"""),"ARG")</f>
        <v>ARG</v>
      </c>
      <c r="F57" s="12">
        <f ca="1">IFERROR(__xludf.DUMMYFUNCTION("""COMPUTED_VALUE"""),32133238)</f>
        <v>32133238</v>
      </c>
      <c r="G57" s="13">
        <f ca="1">IFERROR(__xludf.DUMMYFUNCTION("""COMPUTED_VALUE"""),31461)</f>
        <v>31461</v>
      </c>
      <c r="H57" s="14">
        <f ca="1">IFERROR(__xludf.DUMMYFUNCTION("""COMPUTED_VALUE"""),1557930144)</f>
        <v>1557930144</v>
      </c>
      <c r="I57" s="34">
        <f ca="1">IFERROR(__xludf.DUMMYFUNCTION("""COMPUTED_VALUE"""),1557930155)</f>
        <v>1557930155</v>
      </c>
      <c r="J57" s="11" t="str">
        <f ca="1">IFERROR(__xludf.DUMMYFUNCTION("""COMPUTED_VALUE"""),"Felipecaivano@gmail.com")</f>
        <v>Felipecaivano@gmail.com</v>
      </c>
      <c r="K57" s="11" t="str">
        <f ca="1">IFERROR(__xludf.DUMMYFUNCTION("""COMPUTED_VALUE"""),"Masculino")</f>
        <v>Masculino</v>
      </c>
      <c r="L57" s="15" t="str">
        <f ca="1">IFERROR(__xludf.DUMMYFUNCTION("""COMPUTED_VALUE"""),"N olivos")</f>
        <v>N olivos</v>
      </c>
      <c r="M57" s="11"/>
      <c r="N57" s="12" t="str">
        <f ca="1">IFERROR(__xludf.DUMMYFUNCTION("""COMPUTED_VALUE"""),"STAR")</f>
        <v>STAR</v>
      </c>
      <c r="O57" s="12"/>
      <c r="P57" s="12">
        <f ca="1">IFERROR(__xludf.DUMMYFUNCTION("""COMPUTED_VALUE"""),8551)</f>
        <v>8551</v>
      </c>
      <c r="Q57" s="11" t="str">
        <f ca="1">IFERROR(__xludf.DUMMYFUNCTION("""COMPUTED_VALUE"""),"Litle ítalo")</f>
        <v>Litle ítalo</v>
      </c>
      <c r="R57" s="11" t="str">
        <f ca="1">IFERROR(__xludf.DUMMYFUNCTION("""COMPUTED_VALUE"""),"Juan Pablo percossi")</f>
        <v>Juan Pablo percossi</v>
      </c>
      <c r="S57" s="11" t="str">
        <f ca="1">IFERROR(__xludf.DUMMYFUNCTION("""COMPUTED_VALUE"""),"Felipe caivano")</f>
        <v>Felipe caivano</v>
      </c>
      <c r="T57" s="11"/>
      <c r="U57" s="11"/>
      <c r="V57" s="11"/>
      <c r="W57" s="11"/>
      <c r="X57" s="16"/>
      <c r="Y57" s="12" t="str">
        <f ca="1">IFERROR(__xludf.DUMMYFUNCTION("""COMPUTED_VALUE"""),"No")</f>
        <v>No</v>
      </c>
      <c r="Z57" s="12" t="str">
        <f ca="1">IFERROR(__xludf.DUMMYFUNCTION("""COMPUTED_VALUE"""),"Acepto")</f>
        <v>Acepto</v>
      </c>
      <c r="AA57" s="24" t="str">
        <f ca="1">IFERROR(__xludf.DUMMYFUNCTION("""COMPUTED_VALUE"""),"Terminado")</f>
        <v>Terminado</v>
      </c>
      <c r="AB57" s="24">
        <f ca="1">IFERROR(__xludf.DUMMYFUNCTION("""COMPUTED_VALUE"""),60000)</f>
        <v>60000</v>
      </c>
      <c r="AC57" s="6">
        <f ca="1">IFERROR(__xludf.DUMMYFUNCTION("""COMPUTED_VALUE"""),205545)</f>
        <v>205545</v>
      </c>
      <c r="AD57" s="6" t="str">
        <f ca="1">IFERROR(__xludf.DUMMYFUNCTION("""COMPUTED_VALUE"""),"TRF 04-09")</f>
        <v>TRF 04-09</v>
      </c>
      <c r="AE57" s="6"/>
      <c r="AF57" s="12"/>
      <c r="AG57" s="15"/>
    </row>
    <row r="58" spans="1:33" ht="13.2">
      <c r="A58" s="18">
        <f ca="1">IFERROR(__xludf.DUMMYFUNCTION("""COMPUTED_VALUE"""),45537.8639906365)</f>
        <v>45537.863990636499</v>
      </c>
      <c r="B58" s="19" t="str">
        <f ca="1">IFERROR(__xludf.DUMMYFUNCTION("""COMPUTED_VALUE"""),"Fede")</f>
        <v>Fede</v>
      </c>
      <c r="C58" s="19" t="str">
        <f ca="1">IFERROR(__xludf.DUMMYFUNCTION("""COMPUTED_VALUE"""),"Calegari")</f>
        <v>Calegari</v>
      </c>
      <c r="D58" s="19" t="str">
        <f ca="1">IFERROR(__xludf.DUMMYFUNCTION("""COMPUTED_VALUE"""),"Tigre")</f>
        <v>Tigre</v>
      </c>
      <c r="E58" s="20" t="str">
        <f ca="1">IFERROR(__xludf.DUMMYFUNCTION("""COMPUTED_VALUE"""),"ARG")</f>
        <v>ARG</v>
      </c>
      <c r="F58" s="20">
        <f ca="1">IFERROR(__xludf.DUMMYFUNCTION("""COMPUTED_VALUE"""),26435155)</f>
        <v>26435155</v>
      </c>
      <c r="G58" s="21">
        <f ca="1">IFERROR(__xludf.DUMMYFUNCTION("""COMPUTED_VALUE"""),28515)</f>
        <v>28515</v>
      </c>
      <c r="H58" s="20">
        <f ca="1">IFERROR(__xludf.DUMMYFUNCTION("""COMPUTED_VALUE"""),1168536806)</f>
        <v>1168536806</v>
      </c>
      <c r="I58" s="20"/>
      <c r="J58" s="20" t="str">
        <f ca="1">IFERROR(__xludf.DUMMYFUNCTION("""COMPUTED_VALUE"""),"Fedecalegari@gmail.com")</f>
        <v>Fedecalegari@gmail.com</v>
      </c>
      <c r="K58" s="20" t="str">
        <f ca="1">IFERROR(__xludf.DUMMYFUNCTION("""COMPUTED_VALUE"""),"Masculino")</f>
        <v>Masculino</v>
      </c>
      <c r="L58" s="22" t="str">
        <f ca="1">IFERROR(__xludf.DUMMYFUNCTION("""COMPUTED_VALUE"""),"YCA CNO")</f>
        <v>YCA CNO</v>
      </c>
      <c r="M58" s="19"/>
      <c r="N58" s="20" t="str">
        <f ca="1">IFERROR(__xludf.DUMMYFUNCTION("""COMPUTED_VALUE"""),"STAR")</f>
        <v>STAR</v>
      </c>
      <c r="O58" s="20"/>
      <c r="P58" s="20">
        <f ca="1">IFERROR(__xludf.DUMMYFUNCTION("""COMPUTED_VALUE"""),8239)</f>
        <v>8239</v>
      </c>
      <c r="Q58" s="19" t="str">
        <f ca="1">IFERROR(__xludf.DUMMYFUNCTION("""COMPUTED_VALUE"""),"El Sexy")</f>
        <v>El Sexy</v>
      </c>
      <c r="R58" s="33" t="str">
        <f ca="1">IFERROR(__xludf.DUMMYFUNCTION("""COMPUTED_VALUE"""),"Chani González Otharan ")</f>
        <v xml:space="preserve">Chani González Otharan </v>
      </c>
      <c r="S58" s="19"/>
      <c r="T58" s="19"/>
      <c r="U58" s="19"/>
      <c r="V58" s="19"/>
      <c r="W58" s="19"/>
      <c r="X58" s="23"/>
      <c r="Y58" s="20" t="str">
        <f ca="1">IFERROR(__xludf.DUMMYFUNCTION("""COMPUTED_VALUE"""),"No")</f>
        <v>No</v>
      </c>
      <c r="Z58" s="20" t="str">
        <f ca="1">IFERROR(__xludf.DUMMYFUNCTION("""COMPUTED_VALUE"""),"Acepto")</f>
        <v>Acepto</v>
      </c>
      <c r="AA58" s="24" t="str">
        <f ca="1">IFERROR(__xludf.DUMMYFUNCTION("""COMPUTED_VALUE"""),"Pendiente")</f>
        <v>Pendiente</v>
      </c>
      <c r="AB58" s="24"/>
      <c r="AC58" s="6"/>
      <c r="AD58" s="6"/>
      <c r="AE58" s="6"/>
      <c r="AF58" s="20"/>
      <c r="AG58" s="22"/>
    </row>
    <row r="59" spans="1:33" ht="13.2">
      <c r="A59" s="35">
        <f ca="1">IFERROR(__xludf.DUMMYFUNCTION("""COMPUTED_VALUE"""),45534.4447268055)</f>
        <v>45534.444726805501</v>
      </c>
      <c r="B59" s="36" t="str">
        <f ca="1">IFERROR(__xludf.DUMMYFUNCTION("""COMPUTED_VALUE"""),"Lucas")</f>
        <v>Lucas</v>
      </c>
      <c r="C59" s="36" t="str">
        <f ca="1">IFERROR(__xludf.DUMMYFUNCTION("""COMPUTED_VALUE"""),"Calvo")</f>
        <v>Calvo</v>
      </c>
      <c r="D59" s="36" t="str">
        <f ca="1">IFERROR(__xludf.DUMMYFUNCTION("""COMPUTED_VALUE"""),"Victoria")</f>
        <v>Victoria</v>
      </c>
      <c r="E59" s="6" t="str">
        <f ca="1">IFERROR(__xludf.DUMMYFUNCTION("""COMPUTED_VALUE"""),"ARG")</f>
        <v>ARG</v>
      </c>
      <c r="F59" s="6">
        <f ca="1">IFERROR(__xludf.DUMMYFUNCTION("""COMPUTED_VALUE"""),54520706)</f>
        <v>54520706</v>
      </c>
      <c r="G59" s="37">
        <f ca="1">IFERROR(__xludf.DUMMYFUNCTION("""COMPUTED_VALUE"""),42012)</f>
        <v>42012</v>
      </c>
      <c r="H59" s="38">
        <f ca="1">IFERROR(__xludf.DUMMYFUNCTION("""COMPUTED_VALUE"""),91159278173)</f>
        <v>91159278173</v>
      </c>
      <c r="I59" s="38">
        <f ca="1">IFERROR(__xludf.DUMMYFUNCTION("""COMPUTED_VALUE"""),91159278173)</f>
        <v>91159278173</v>
      </c>
      <c r="J59" s="38" t="str">
        <f ca="1">IFERROR(__xludf.DUMMYFUNCTION("""COMPUTED_VALUE"""),"sabhidalgo21@gmail.com")</f>
        <v>sabhidalgo21@gmail.com</v>
      </c>
      <c r="K59" s="38" t="str">
        <f ca="1">IFERROR(__xludf.DUMMYFUNCTION("""COMPUTED_VALUE"""),"Masculino")</f>
        <v>Masculino</v>
      </c>
      <c r="L59" s="36" t="str">
        <f ca="1">IFERROR(__xludf.DUMMYFUNCTION("""COMPUTED_VALUE"""),"CVB")</f>
        <v>CVB</v>
      </c>
      <c r="M59" s="38" t="str">
        <f ca="1">IFERROR(__xludf.DUMMYFUNCTION("""COMPUTED_VALUE"""),"Interior (Optimist)")</f>
        <v>Interior (Optimist)</v>
      </c>
      <c r="N59" s="6" t="str">
        <f ca="1">IFERROR(__xludf.DUMMYFUNCTION("""COMPUTED_VALUE"""),"OPTIMIST PRINCIPIANTES")</f>
        <v>OPTIMIST PRINCIPIANTES</v>
      </c>
      <c r="O59" s="6"/>
      <c r="P59" s="6">
        <f ca="1">IFERROR(__xludf.DUMMYFUNCTION("""COMPUTED_VALUE"""),4056)</f>
        <v>4056</v>
      </c>
      <c r="Q59" s="38"/>
      <c r="R59" s="38"/>
      <c r="S59" s="38"/>
      <c r="T59" s="38"/>
      <c r="U59" s="38"/>
      <c r="V59" s="38"/>
      <c r="W59" s="38"/>
      <c r="X59" s="40" t="str">
        <f ca="1">IFERROR(__xludf.DUMMYFUNCTION("""COMPUTED_VALUE"""),"61 790187 1 04")</f>
        <v>61 790187 1 04</v>
      </c>
      <c r="Y59" s="6" t="str">
        <f ca="1">IFERROR(__xludf.DUMMYFUNCTION("""COMPUTED_VALUE"""),"No")</f>
        <v>No</v>
      </c>
      <c r="Z59" s="6" t="str">
        <f ca="1">IFERROR(__xludf.DUMMYFUNCTION("""COMPUTED_VALUE"""),"Acepto")</f>
        <v>Acepto</v>
      </c>
      <c r="AA59" s="41" t="str">
        <f ca="1">IFERROR(__xludf.DUMMYFUNCTION("""COMPUTED_VALUE"""),"Terminado")</f>
        <v>Terminado</v>
      </c>
      <c r="AB59" s="41">
        <f ca="1">IFERROR(__xludf.DUMMYFUNCTION("""COMPUTED_VALUE"""),50000)</f>
        <v>50000</v>
      </c>
      <c r="AC59" s="6">
        <f ca="1">IFERROR(__xludf.DUMMYFUNCTION("""COMPUTED_VALUE"""),205086)</f>
        <v>205086</v>
      </c>
      <c r="AD59" s="6" t="str">
        <f ca="1">IFERROR(__xludf.DUMMYFUNCTION("""COMPUTED_VALUE"""),"Tarj 30-8")</f>
        <v>Tarj 30-8</v>
      </c>
      <c r="AE59" s="6"/>
      <c r="AF59" s="6"/>
      <c r="AG59" s="36"/>
    </row>
    <row r="60" spans="1:33" ht="13.2">
      <c r="A60" s="35">
        <f ca="1">IFERROR(__xludf.DUMMYFUNCTION("""COMPUTED_VALUE"""),45540.4918726851)</f>
        <v>45540.491872685103</v>
      </c>
      <c r="B60" s="36" t="str">
        <f ca="1">IFERROR(__xludf.DUMMYFUNCTION("""COMPUTED_VALUE"""),"Mariano")</f>
        <v>Mariano</v>
      </c>
      <c r="C60" s="36" t="str">
        <f ca="1">IFERROR(__xludf.DUMMYFUNCTION("""COMPUTED_VALUE"""),"Cambon")</f>
        <v>Cambon</v>
      </c>
      <c r="D60" s="36" t="str">
        <f ca="1">IFERROR(__xludf.DUMMYFUNCTION("""COMPUTED_VALUE"""),"Buenos Aires")</f>
        <v>Buenos Aires</v>
      </c>
      <c r="E60" s="6" t="str">
        <f ca="1">IFERROR(__xludf.DUMMYFUNCTION("""COMPUTED_VALUE"""),"ARG")</f>
        <v>ARG</v>
      </c>
      <c r="F60" s="6">
        <f ca="1">IFERROR(__xludf.DUMMYFUNCTION("""COMPUTED_VALUE"""),38068064)</f>
        <v>38068064</v>
      </c>
      <c r="G60" s="37">
        <f ca="1">IFERROR(__xludf.DUMMYFUNCTION("""COMPUTED_VALUE"""),34346)</f>
        <v>34346</v>
      </c>
      <c r="H60" s="38">
        <f ca="1">IFERROR(__xludf.DUMMYFUNCTION("""COMPUTED_VALUE"""),1165857666)</f>
        <v>1165857666</v>
      </c>
      <c r="I60" s="38"/>
      <c r="J60" s="38" t="str">
        <f ca="1">IFERROR(__xludf.DUMMYFUNCTION("""COMPUTED_VALUE"""),"marianocambon@hotmail.com")</f>
        <v>marianocambon@hotmail.com</v>
      </c>
      <c r="K60" s="38" t="str">
        <f ca="1">IFERROR(__xludf.DUMMYFUNCTION("""COMPUTED_VALUE"""),"Masculino")</f>
        <v>Masculino</v>
      </c>
      <c r="L60" s="36" t="str">
        <f ca="1">IFERROR(__xludf.DUMMYFUNCTION("""COMPUTED_VALUE"""),"YCA-CNO")</f>
        <v>YCA-CNO</v>
      </c>
      <c r="M60" s="38"/>
      <c r="N60" s="6" t="str">
        <f ca="1">IFERROR(__xludf.DUMMYFUNCTION("""COMPUTED_VALUE"""),"STAR")</f>
        <v>STAR</v>
      </c>
      <c r="O60" s="6"/>
      <c r="P60" s="6">
        <f ca="1">IFERROR(__xludf.DUMMYFUNCTION("""COMPUTED_VALUE"""),8251)</f>
        <v>8251</v>
      </c>
      <c r="Q60" s="38" t="str">
        <f ca="1">IFERROR(__xludf.DUMMYFUNCTION("""COMPUTED_VALUE"""),"salsadesetas")</f>
        <v>salsadesetas</v>
      </c>
      <c r="R60" s="38" t="str">
        <f ca="1">IFERROR(__xludf.DUMMYFUNCTION("""COMPUTED_VALUE"""),"Martin Costa")</f>
        <v>Martin Costa</v>
      </c>
      <c r="S60" s="38"/>
      <c r="T60" s="38"/>
      <c r="U60" s="38"/>
      <c r="V60" s="38"/>
      <c r="W60" s="38"/>
      <c r="X60" s="40"/>
      <c r="Y60" s="6" t="str">
        <f ca="1">IFERROR(__xludf.DUMMYFUNCTION("""COMPUTED_VALUE"""),"No")</f>
        <v>No</v>
      </c>
      <c r="Z60" s="6" t="str">
        <f ca="1">IFERROR(__xludf.DUMMYFUNCTION("""COMPUTED_VALUE"""),"Acepto")</f>
        <v>Acepto</v>
      </c>
      <c r="AA60" s="41" t="str">
        <f ca="1">IFERROR(__xludf.DUMMYFUNCTION("""COMPUTED_VALUE"""),"Terminado")</f>
        <v>Terminado</v>
      </c>
      <c r="AB60" s="41">
        <f ca="1">IFERROR(__xludf.DUMMYFUNCTION("""COMPUTED_VALUE"""),60000)</f>
        <v>60000</v>
      </c>
      <c r="AC60" s="6">
        <f ca="1">IFERROR(__xludf.DUMMYFUNCTION("""COMPUTED_VALUE"""),205470)</f>
        <v>205470</v>
      </c>
      <c r="AD60" s="6" t="str">
        <f ca="1">IFERROR(__xludf.DUMMYFUNCTION("""COMPUTED_VALUE"""),"Tarj 05-09")</f>
        <v>Tarj 05-09</v>
      </c>
      <c r="AE60" s="6"/>
      <c r="AF60" s="6" t="str">
        <f ca="1">IFERROR(__xludf.DUMMYFUNCTION("""COMPUTED_VALUE"""),"Si")</f>
        <v>Si</v>
      </c>
      <c r="AG60" s="36"/>
    </row>
    <row r="61" spans="1:33" ht="13.2">
      <c r="A61" s="27">
        <f ca="1">IFERROR(__xludf.DUMMYFUNCTION("""COMPUTED_VALUE"""),45540.7129672106)</f>
        <v>45540.712967210602</v>
      </c>
      <c r="B61" s="11" t="str">
        <f ca="1">IFERROR(__xludf.DUMMYFUNCTION("""COMPUTED_VALUE"""),"Francisco")</f>
        <v>Francisco</v>
      </c>
      <c r="C61" s="11" t="str">
        <f ca="1">IFERROR(__xludf.DUMMYFUNCTION("""COMPUTED_VALUE"""),"Campero")</f>
        <v>Campero</v>
      </c>
      <c r="D61" s="11" t="str">
        <f ca="1">IFERROR(__xludf.DUMMYFUNCTION("""COMPUTED_VALUE"""),"Tiger")</f>
        <v>Tiger</v>
      </c>
      <c r="E61" s="12" t="str">
        <f ca="1">IFERROR(__xludf.DUMMYFUNCTION("""COMPUTED_VALUE"""),"ARG")</f>
        <v>ARG</v>
      </c>
      <c r="F61" s="12">
        <f ca="1">IFERROR(__xludf.DUMMYFUNCTION("""COMPUTED_VALUE"""),17686435)</f>
        <v>17686435</v>
      </c>
      <c r="G61" s="28">
        <f ca="1">IFERROR(__xludf.DUMMYFUNCTION("""COMPUTED_VALUE"""),24038)</f>
        <v>24038</v>
      </c>
      <c r="H61" s="12">
        <f ca="1">IFERROR(__xludf.DUMMYFUNCTION("""COMPUTED_VALUE"""),1135253726)</f>
        <v>1135253726</v>
      </c>
      <c r="I61" s="30">
        <f ca="1">IFERROR(__xludf.DUMMYFUNCTION("""COMPUTED_VALUE"""),1157505890)</f>
        <v>1157505890</v>
      </c>
      <c r="J61" s="12" t="str">
        <f ca="1">IFERROR(__xludf.DUMMYFUNCTION("""COMPUTED_VALUE"""),"fcampero@technicals.us")</f>
        <v>fcampero@technicals.us</v>
      </c>
      <c r="K61" s="12" t="str">
        <f ca="1">IFERROR(__xludf.DUMMYFUNCTION("""COMPUTED_VALUE"""),"Masculino")</f>
        <v>Masculino</v>
      </c>
      <c r="L61" s="15" t="str">
        <f ca="1">IFERROR(__xludf.DUMMYFUNCTION("""COMPUTED_VALUE"""),"CNSI")</f>
        <v>CNSI</v>
      </c>
      <c r="M61" s="11"/>
      <c r="N61" s="12" t="str">
        <f ca="1">IFERROR(__xludf.DUMMYFUNCTION("""COMPUTED_VALUE"""),"J 70")</f>
        <v>J 70</v>
      </c>
      <c r="O61" s="12">
        <f ca="1">IFERROR(__xludf.DUMMYFUNCTION("""COMPUTED_VALUE"""),14)</f>
        <v>14</v>
      </c>
      <c r="P61" s="12">
        <f ca="1">IFERROR(__xludf.DUMMYFUNCTION("""COMPUTED_VALUE"""),1200)</f>
        <v>1200</v>
      </c>
      <c r="Q61" s="12" t="str">
        <f ca="1">IFERROR(__xludf.DUMMYFUNCTION("""COMPUTED_VALUE"""),"AMIGO VII")</f>
        <v>AMIGO VII</v>
      </c>
      <c r="R61" s="12" t="str">
        <f ca="1">IFERROR(__xludf.DUMMYFUNCTION("""COMPUTED_VALUE"""),"Juan Pablo Fregonese")</f>
        <v>Juan Pablo Fregonese</v>
      </c>
      <c r="S61" s="12" t="str">
        <f ca="1">IFERROR(__xludf.DUMMYFUNCTION("""COMPUTED_VALUE"""),"Andres Domato")</f>
        <v>Andres Domato</v>
      </c>
      <c r="T61" s="12" t="str">
        <f ca="1">IFERROR(__xludf.DUMMYFUNCTION("""COMPUTED_VALUE"""),"Raul viola")</f>
        <v>Raul viola</v>
      </c>
      <c r="U61" s="12"/>
      <c r="V61" s="11"/>
      <c r="W61" s="11"/>
      <c r="X61" s="16"/>
      <c r="Y61" s="12" t="str">
        <f ca="1">IFERROR(__xludf.DUMMYFUNCTION("""COMPUTED_VALUE"""),"No")</f>
        <v>No</v>
      </c>
      <c r="Z61" s="12" t="str">
        <f ca="1">IFERROR(__xludf.DUMMYFUNCTION("""COMPUTED_VALUE"""),"Acepto")</f>
        <v>Acepto</v>
      </c>
      <c r="AA61" s="17" t="str">
        <f ca="1">IFERROR(__xludf.DUMMYFUNCTION("""COMPUTED_VALUE"""),"Pendiente")</f>
        <v>Pendiente</v>
      </c>
      <c r="AB61" s="17"/>
      <c r="AC61" s="6"/>
      <c r="AD61" s="6"/>
      <c r="AE61" s="6"/>
      <c r="AF61" s="12"/>
      <c r="AG61" s="15"/>
    </row>
    <row r="62" spans="1:33" ht="13.2">
      <c r="A62" s="18">
        <f ca="1">IFERROR(__xludf.DUMMYFUNCTION("""COMPUTED_VALUE"""),45540.488024456)</f>
        <v>45540.488024455997</v>
      </c>
      <c r="B62" s="19" t="str">
        <f ca="1">IFERROR(__xludf.DUMMYFUNCTION("""COMPUTED_VALUE"""),"Gustavo")</f>
        <v>Gustavo</v>
      </c>
      <c r="C62" s="19" t="str">
        <f ca="1">IFERROR(__xludf.DUMMYFUNCTION("""COMPUTED_VALUE"""),"Capusotto")</f>
        <v>Capusotto</v>
      </c>
      <c r="D62" s="19" t="str">
        <f ca="1">IFERROR(__xludf.DUMMYFUNCTION("""COMPUTED_VALUE"""),"olivos")</f>
        <v>olivos</v>
      </c>
      <c r="E62" s="20" t="str">
        <f ca="1">IFERROR(__xludf.DUMMYFUNCTION("""COMPUTED_VALUE"""),"ARG")</f>
        <v>ARG</v>
      </c>
      <c r="F62" s="20">
        <f ca="1">IFERROR(__xludf.DUMMYFUNCTION("""COMPUTED_VALUE"""),11285703)</f>
        <v>11285703</v>
      </c>
      <c r="G62" s="31">
        <f ca="1">IFERROR(__xludf.DUMMYFUNCTION("""COMPUTED_VALUE"""),19926)</f>
        <v>19926</v>
      </c>
      <c r="H62" s="32">
        <f ca="1">IFERROR(__xludf.DUMMYFUNCTION("""COMPUTED_VALUE"""),1141985636)</f>
        <v>1141985636</v>
      </c>
      <c r="I62" s="33"/>
      <c r="J62" s="19" t="str">
        <f ca="1">IFERROR(__xludf.DUMMYFUNCTION("""COMPUTED_VALUE"""),"gustavocapusotto@gmail.com")</f>
        <v>gustavocapusotto@gmail.com</v>
      </c>
      <c r="K62" s="19" t="str">
        <f ca="1">IFERROR(__xludf.DUMMYFUNCTION("""COMPUTED_VALUE"""),"Masculino")</f>
        <v>Masculino</v>
      </c>
      <c r="L62" s="22" t="str">
        <f ca="1">IFERROR(__xludf.DUMMYFUNCTION("""COMPUTED_VALUE"""),"yca")</f>
        <v>yca</v>
      </c>
      <c r="M62" s="19"/>
      <c r="N62" s="20" t="str">
        <f ca="1">IFERROR(__xludf.DUMMYFUNCTION("""COMPUTED_VALUE"""),"J 70")</f>
        <v>J 70</v>
      </c>
      <c r="O62" s="20">
        <f ca="1">IFERROR(__xludf.DUMMYFUNCTION("""COMPUTED_VALUE"""),25)</f>
        <v>25</v>
      </c>
      <c r="P62" s="20">
        <f ca="1">IFERROR(__xludf.DUMMYFUNCTION("""COMPUTED_VALUE"""),1299)</f>
        <v>1299</v>
      </c>
      <c r="Q62" s="19" t="str">
        <f ca="1">IFERROR(__xludf.DUMMYFUNCTION("""COMPUTED_VALUE"""),"guason forever")</f>
        <v>guason forever</v>
      </c>
      <c r="R62" s="19" t="str">
        <f ca="1">IFERROR(__xludf.DUMMYFUNCTION("""COMPUTED_VALUE"""),"Javier lopez")</f>
        <v>Javier lopez</v>
      </c>
      <c r="S62" s="19" t="str">
        <f ca="1">IFERROR(__xludf.DUMMYFUNCTION("""COMPUTED_VALUE"""),"karina filquenstein")</f>
        <v>karina filquenstein</v>
      </c>
      <c r="T62" s="19" t="str">
        <f ca="1">IFERROR(__xludf.DUMMYFUNCTION("""COMPUTED_VALUE"""),"santiago vodanovich")</f>
        <v>santiago vodanovich</v>
      </c>
      <c r="U62" s="19"/>
      <c r="V62" s="19"/>
      <c r="W62" s="19"/>
      <c r="X62" s="23" t="str">
        <f ca="1">IFERROR(__xludf.DUMMYFUNCTION("""COMPUTED_VALUE"""),"osde binerio plan 3D/ 60709583001")</f>
        <v>osde binerio plan 3D/ 60709583001</v>
      </c>
      <c r="Y62" s="20" t="str">
        <f ca="1">IFERROR(__xludf.DUMMYFUNCTION("""COMPUTED_VALUE"""),"No")</f>
        <v>No</v>
      </c>
      <c r="Z62" s="20" t="str">
        <f ca="1">IFERROR(__xludf.DUMMYFUNCTION("""COMPUTED_VALUE"""),"Acepto")</f>
        <v>Acepto</v>
      </c>
      <c r="AA62" s="17" t="str">
        <f ca="1">IFERROR(__xludf.DUMMYFUNCTION("""COMPUTED_VALUE"""),"Terminado")</f>
        <v>Terminado</v>
      </c>
      <c r="AB62" s="17">
        <f ca="1">IFERROR(__xludf.DUMMYFUNCTION("""COMPUTED_VALUE"""),80000)</f>
        <v>80000</v>
      </c>
      <c r="AC62" s="6">
        <f ca="1">IFERROR(__xludf.DUMMYFUNCTION("""COMPUTED_VALUE"""),205500)</f>
        <v>205500</v>
      </c>
      <c r="AD62" s="6" t="str">
        <f ca="1">IFERROR(__xludf.DUMMYFUNCTION("""COMPUTED_VALUE"""),"TRF 05-09")</f>
        <v>TRF 05-09</v>
      </c>
      <c r="AE62" s="6"/>
      <c r="AF62" s="20"/>
      <c r="AG62" s="22"/>
    </row>
    <row r="63" spans="1:33" ht="13.2">
      <c r="A63" s="29">
        <f ca="1">IFERROR(__xludf.DUMMYFUNCTION("""COMPUTED_VALUE"""),45535.6569247453)</f>
        <v>45535.656924745301</v>
      </c>
      <c r="B63" s="19" t="str">
        <f ca="1">IFERROR(__xludf.DUMMYFUNCTION("""COMPUTED_VALUE"""),"Juan Antonio ")</f>
        <v xml:space="preserve">Juan Antonio </v>
      </c>
      <c r="C63" s="19" t="str">
        <f ca="1">IFERROR(__xludf.DUMMYFUNCTION("""COMPUTED_VALUE"""),"Carosella ")</f>
        <v xml:space="preserve">Carosella </v>
      </c>
      <c r="D63" s="19" t="str">
        <f ca="1">IFERROR(__xludf.DUMMYFUNCTION("""COMPUTED_VALUE"""),"Buenos Aires ")</f>
        <v xml:space="preserve">Buenos Aires </v>
      </c>
      <c r="E63" s="20" t="str">
        <f ca="1">IFERROR(__xludf.DUMMYFUNCTION("""COMPUTED_VALUE"""),"ARG")</f>
        <v>ARG</v>
      </c>
      <c r="F63" s="20">
        <f ca="1">IFERROR(__xludf.DUMMYFUNCTION("""COMPUTED_VALUE"""),13296654)</f>
        <v>13296654</v>
      </c>
      <c r="G63" s="21">
        <f ca="1">IFERROR(__xludf.DUMMYFUNCTION("""COMPUTED_VALUE"""),21789)</f>
        <v>21789</v>
      </c>
      <c r="H63" s="20">
        <f ca="1">IFERROR(__xludf.DUMMYFUNCTION("""COMPUTED_VALUE"""),1140693050)</f>
        <v>1140693050</v>
      </c>
      <c r="I63" s="42"/>
      <c r="J63" s="20" t="str">
        <f ca="1">IFERROR(__xludf.DUMMYFUNCTION("""COMPUTED_VALUE"""),"Jac1@fibertel.com.ar ")</f>
        <v xml:space="preserve">Jac1@fibertel.com.ar </v>
      </c>
      <c r="K63" s="20" t="str">
        <f ca="1">IFERROR(__xludf.DUMMYFUNCTION("""COMPUTED_VALUE"""),"Masculino")</f>
        <v>Masculino</v>
      </c>
      <c r="L63" s="22" t="str">
        <f ca="1">IFERROR(__xludf.DUMMYFUNCTION("""COMPUTED_VALUE"""),"Yco")</f>
        <v>Yco</v>
      </c>
      <c r="M63" s="19" t="str">
        <f ca="1">IFERROR(__xludf.DUMMYFUNCTION("""COMPUTED_VALUE"""),"Master (ILCA)")</f>
        <v>Master (ILCA)</v>
      </c>
      <c r="N63" s="20" t="str">
        <f ca="1">IFERROR(__xludf.DUMMYFUNCTION("""COMPUTED_VALUE"""),"ILCA 7")</f>
        <v>ILCA 7</v>
      </c>
      <c r="O63" s="20"/>
      <c r="P63" s="20">
        <f ca="1">IFERROR(__xludf.DUMMYFUNCTION("""COMPUTED_VALUE"""),222121)</f>
        <v>222121</v>
      </c>
      <c r="Q63" s="19" t="str">
        <f ca="1">IFERROR(__xludf.DUMMYFUNCTION("""COMPUTED_VALUE"""),"Xxx")</f>
        <v>Xxx</v>
      </c>
      <c r="R63" s="19"/>
      <c r="S63" s="19"/>
      <c r="T63" s="19"/>
      <c r="U63" s="19"/>
      <c r="V63" s="19"/>
      <c r="W63" s="19"/>
      <c r="X63" s="23" t="str">
        <f ca="1">IFERROR(__xludf.DUMMYFUNCTION("""COMPUTED_VALUE"""),"Osde 36204060 01")</f>
        <v>Osde 36204060 01</v>
      </c>
      <c r="Y63" s="46" t="str">
        <f ca="1">IFERROR(__xludf.DUMMYFUNCTION("""COMPUTED_VALUE"""),"Si")</f>
        <v>Si</v>
      </c>
      <c r="Z63" s="20" t="str">
        <f ca="1">IFERROR(__xludf.DUMMYFUNCTION("""COMPUTED_VALUE"""),"Acepto")</f>
        <v>Acepto</v>
      </c>
      <c r="AA63" s="17" t="str">
        <f ca="1">IFERROR(__xludf.DUMMYFUNCTION("""COMPUTED_VALUE"""),"Pendiente")</f>
        <v>Pendiente</v>
      </c>
      <c r="AB63" s="17"/>
      <c r="AC63" s="6"/>
      <c r="AD63" s="6"/>
      <c r="AE63" s="6"/>
      <c r="AF63" s="20"/>
      <c r="AG63" s="22"/>
    </row>
    <row r="64" spans="1:33" ht="13.2">
      <c r="A64" s="27">
        <f ca="1">IFERROR(__xludf.DUMMYFUNCTION("""COMPUTED_VALUE"""),45534.4018260069)</f>
        <v>45534.401826006899</v>
      </c>
      <c r="B64" s="11" t="str">
        <f ca="1">IFERROR(__xludf.DUMMYFUNCTION("""COMPUTED_VALUE"""),"Federico Andres")</f>
        <v>Federico Andres</v>
      </c>
      <c r="C64" s="11" t="str">
        <f ca="1">IFERROR(__xludf.DUMMYFUNCTION("""COMPUTED_VALUE"""),"Castelo")</f>
        <v>Castelo</v>
      </c>
      <c r="D64" s="11" t="str">
        <f ca="1">IFERROR(__xludf.DUMMYFUNCTION("""COMPUTED_VALUE"""),"Bs As")</f>
        <v>Bs As</v>
      </c>
      <c r="E64" s="12" t="str">
        <f ca="1">IFERROR(__xludf.DUMMYFUNCTION("""COMPUTED_VALUE"""),"ARG")</f>
        <v>ARG</v>
      </c>
      <c r="F64" s="12">
        <f ca="1">IFERROR(__xludf.DUMMYFUNCTION("""COMPUTED_VALUE"""),51478193)</f>
        <v>51478193</v>
      </c>
      <c r="G64" s="28">
        <f ca="1">IFERROR(__xludf.DUMMYFUNCTION("""COMPUTED_VALUE"""),40872)</f>
        <v>40872</v>
      </c>
      <c r="H64" s="12">
        <f ca="1">IFERROR(__xludf.DUMMYFUNCTION("""COMPUTED_VALUE"""),1551210919)</f>
        <v>1551210919</v>
      </c>
      <c r="I64" s="12">
        <f ca="1">IFERROR(__xludf.DUMMYFUNCTION("""COMPUTED_VALUE"""),1551210919)</f>
        <v>1551210919</v>
      </c>
      <c r="J64" s="12" t="str">
        <f ca="1">IFERROR(__xludf.DUMMYFUNCTION("""COMPUTED_VALUE"""),"estudiocastelo@hotmail.com")</f>
        <v>estudiocastelo@hotmail.com</v>
      </c>
      <c r="K64" s="12" t="str">
        <f ca="1">IFERROR(__xludf.DUMMYFUNCTION("""COMPUTED_VALUE"""),"Masculino")</f>
        <v>Masculino</v>
      </c>
      <c r="L64" s="15" t="str">
        <f ca="1">IFERROR(__xludf.DUMMYFUNCTION("""COMPUTED_VALUE"""),"CPNLB ")</f>
        <v xml:space="preserve">CPNLB </v>
      </c>
      <c r="M64" s="11" t="str">
        <f ca="1">IFERROR(__xludf.DUMMYFUNCTION("""COMPUTED_VALUE"""),"Interior (Optimist)")</f>
        <v>Interior (Optimist)</v>
      </c>
      <c r="N64" s="12" t="str">
        <f ca="1">IFERROR(__xludf.DUMMYFUNCTION("""COMPUTED_VALUE"""),"OPTIMIST PRINCIPIANTES")</f>
        <v>OPTIMIST PRINCIPIANTES</v>
      </c>
      <c r="O64" s="12"/>
      <c r="P64" s="12">
        <f ca="1">IFERROR(__xludf.DUMMYFUNCTION("""COMPUTED_VALUE"""),3560)</f>
        <v>3560</v>
      </c>
      <c r="Q64" s="12" t="str">
        <f ca="1">IFERROR(__xludf.DUMMYFUNCTION("""COMPUTED_VALUE"""),"Chispa")</f>
        <v>Chispa</v>
      </c>
      <c r="R64" s="12"/>
      <c r="S64" s="12"/>
      <c r="T64" s="12"/>
      <c r="U64" s="12"/>
      <c r="V64" s="11"/>
      <c r="W64" s="11"/>
      <c r="X64" s="16" t="str">
        <f ca="1">IFERROR(__xludf.DUMMYFUNCTION("""COMPUTED_VALUE"""),"No tiene")</f>
        <v>No tiene</v>
      </c>
      <c r="Y64" s="12" t="str">
        <f ca="1">IFERROR(__xludf.DUMMYFUNCTION("""COMPUTED_VALUE"""),"Si")</f>
        <v>Si</v>
      </c>
      <c r="Z64" s="12" t="str">
        <f ca="1">IFERROR(__xludf.DUMMYFUNCTION("""COMPUTED_VALUE"""),"Acepto")</f>
        <v>Acepto</v>
      </c>
      <c r="AA64" s="24" t="str">
        <f ca="1">IFERROR(__xludf.DUMMYFUNCTION("""COMPUTED_VALUE"""),"Terminado")</f>
        <v>Terminado</v>
      </c>
      <c r="AB64" s="24">
        <f ca="1">IFERROR(__xludf.DUMMYFUNCTION("""COMPUTED_VALUE"""),50000)</f>
        <v>50000</v>
      </c>
      <c r="AC64" s="6">
        <f ca="1">IFERROR(__xludf.DUMMYFUNCTION("""COMPUTED_VALUE"""),205088)</f>
        <v>205088</v>
      </c>
      <c r="AD64" s="6" t="str">
        <f ca="1">IFERROR(__xludf.DUMMYFUNCTION("""COMPUTED_VALUE"""),"TRF 30-08")</f>
        <v>TRF 30-08</v>
      </c>
      <c r="AE64" s="6"/>
      <c r="AF64" s="12"/>
      <c r="AG64" s="15"/>
    </row>
    <row r="65" spans="1:33" ht="13.2">
      <c r="A65" s="29">
        <f ca="1">IFERROR(__xludf.DUMMYFUNCTION("""COMPUTED_VALUE"""),45529.9018271527)</f>
        <v>45529.901827152702</v>
      </c>
      <c r="B65" s="19" t="str">
        <f ca="1">IFERROR(__xludf.DUMMYFUNCTION("""COMPUTED_VALUE"""),"Paco")</f>
        <v>Paco</v>
      </c>
      <c r="C65" s="19" t="str">
        <f ca="1">IFERROR(__xludf.DUMMYFUNCTION("""COMPUTED_VALUE"""),"Castiglioni ")</f>
        <v xml:space="preserve">Castiglioni </v>
      </c>
      <c r="D65" s="19" t="str">
        <f ca="1">IFERROR(__xludf.DUMMYFUNCTION("""COMPUTED_VALUE"""),"CABA")</f>
        <v>CABA</v>
      </c>
      <c r="E65" s="20" t="str">
        <f ca="1">IFERROR(__xludf.DUMMYFUNCTION("""COMPUTED_VALUE"""),"ARG")</f>
        <v>ARG</v>
      </c>
      <c r="F65" s="20">
        <f ca="1">IFERROR(__xludf.DUMMYFUNCTION("""COMPUTED_VALUE"""),53584723)</f>
        <v>53584723</v>
      </c>
      <c r="G65" s="21">
        <f ca="1">IFERROR(__xludf.DUMMYFUNCTION("""COMPUTED_VALUE"""),41603)</f>
        <v>41603</v>
      </c>
      <c r="H65" s="20">
        <f ca="1">IFERROR(__xludf.DUMMYFUNCTION("""COMPUTED_VALUE"""),1130061435)</f>
        <v>1130061435</v>
      </c>
      <c r="I65" s="20"/>
      <c r="J65" s="20" t="str">
        <f ca="1">IFERROR(__xludf.DUMMYFUNCTION("""COMPUTED_VALUE"""),"rjcastiglioni@hotmail.com")</f>
        <v>rjcastiglioni@hotmail.com</v>
      </c>
      <c r="K65" s="20" t="str">
        <f ca="1">IFERROR(__xludf.DUMMYFUNCTION("""COMPUTED_VALUE"""),"Masculino")</f>
        <v>Masculino</v>
      </c>
      <c r="L65" s="22" t="str">
        <f ca="1">IFERROR(__xludf.DUMMYFUNCTION("""COMPUTED_VALUE"""),"CNSI")</f>
        <v>CNSI</v>
      </c>
      <c r="M65" s="19" t="str">
        <f ca="1">IFERROR(__xludf.DUMMYFUNCTION("""COMPUTED_VALUE"""),"Sub 12")</f>
        <v>Sub 12</v>
      </c>
      <c r="N65" s="20" t="str">
        <f ca="1">IFERROR(__xludf.DUMMYFUNCTION("""COMPUTED_VALUE"""),"OPTIMIST PRINCIPIANTES")</f>
        <v>OPTIMIST PRINCIPIANTES</v>
      </c>
      <c r="O65" s="20"/>
      <c r="P65" s="20">
        <f ca="1">IFERROR(__xludf.DUMMYFUNCTION("""COMPUTED_VALUE"""),3475)</f>
        <v>3475</v>
      </c>
      <c r="Q65" s="19" t="str">
        <f ca="1">IFERROR(__xludf.DUMMYFUNCTION("""COMPUTED_VALUE"""),"Ruby")</f>
        <v>Ruby</v>
      </c>
      <c r="R65" s="19"/>
      <c r="S65" s="19"/>
      <c r="T65" s="19"/>
      <c r="U65" s="19"/>
      <c r="V65" s="19"/>
      <c r="W65" s="19"/>
      <c r="X65" s="23" t="str">
        <f ca="1">IFERROR(__xludf.DUMMYFUNCTION("""COMPUTED_VALUE"""),"OSDE")</f>
        <v>OSDE</v>
      </c>
      <c r="Y65" s="20" t="str">
        <f ca="1">IFERROR(__xludf.DUMMYFUNCTION("""COMPUTED_VALUE"""),"No")</f>
        <v>No</v>
      </c>
      <c r="Z65" s="20" t="str">
        <f ca="1">IFERROR(__xludf.DUMMYFUNCTION("""COMPUTED_VALUE"""),"Acepto")</f>
        <v>Acepto</v>
      </c>
      <c r="AA65" s="17" t="str">
        <f ca="1">IFERROR(__xludf.DUMMYFUNCTION("""COMPUTED_VALUE"""),"Terminado")</f>
        <v>Terminado</v>
      </c>
      <c r="AB65" s="17">
        <f ca="1">IFERROR(__xludf.DUMMYFUNCTION("""COMPUTED_VALUE"""),50000)</f>
        <v>50000</v>
      </c>
      <c r="AC65" s="6"/>
      <c r="AD65" s="6" t="str">
        <f ca="1">IFERROR(__xludf.DUMMYFUNCTION("""COMPUTED_VALUE"""),"TRF 30-08")</f>
        <v>TRF 30-08</v>
      </c>
      <c r="AE65" s="6"/>
      <c r="AF65" s="20"/>
      <c r="AG65" s="22"/>
    </row>
    <row r="66" spans="1:33" ht="13.2">
      <c r="A66" s="18">
        <f ca="1">IFERROR(__xludf.DUMMYFUNCTION("""COMPUTED_VALUE"""),45531.7474724305)</f>
        <v>45531.747472430499</v>
      </c>
      <c r="B66" s="19" t="str">
        <f ca="1">IFERROR(__xludf.DUMMYFUNCTION("""COMPUTED_VALUE"""),"Carlos ")</f>
        <v xml:space="preserve">Carlos </v>
      </c>
      <c r="C66" s="19" t="str">
        <f ca="1">IFERROR(__xludf.DUMMYFUNCTION("""COMPUTED_VALUE"""),"Castrillo")</f>
        <v>Castrillo</v>
      </c>
      <c r="D66" s="19" t="str">
        <f ca="1">IFERROR(__xludf.DUMMYFUNCTION("""COMPUTED_VALUE"""),"Caba")</f>
        <v>Caba</v>
      </c>
      <c r="E66" s="20" t="str">
        <f ca="1">IFERROR(__xludf.DUMMYFUNCTION("""COMPUTED_VALUE"""),"ARG")</f>
        <v>ARG</v>
      </c>
      <c r="F66" s="20">
        <f ca="1">IFERROR(__xludf.DUMMYFUNCTION("""COMPUTED_VALUE"""),16977775)</f>
        <v>16977775</v>
      </c>
      <c r="G66" s="31">
        <f ca="1">IFERROR(__xludf.DUMMYFUNCTION("""COMPUTED_VALUE"""),23377)</f>
        <v>23377</v>
      </c>
      <c r="H66" s="19">
        <f ca="1">IFERROR(__xludf.DUMMYFUNCTION("""COMPUTED_VALUE"""),1141859147)</f>
        <v>1141859147</v>
      </c>
      <c r="I66" s="19">
        <f ca="1">IFERROR(__xludf.DUMMYFUNCTION("""COMPUTED_VALUE"""),1145288592)</f>
        <v>1145288592</v>
      </c>
      <c r="J66" s="19" t="str">
        <f ca="1">IFERROR(__xludf.DUMMYFUNCTION("""COMPUTED_VALUE"""),"Carlos.castrillo@castrillo.com.ar")</f>
        <v>Carlos.castrillo@castrillo.com.ar</v>
      </c>
      <c r="K66" s="19" t="str">
        <f ca="1">IFERROR(__xludf.DUMMYFUNCTION("""COMPUTED_VALUE"""),"Masculino")</f>
        <v>Masculino</v>
      </c>
      <c r="L66" s="22" t="str">
        <f ca="1">IFERROR(__xludf.DUMMYFUNCTION("""COMPUTED_VALUE"""),"YCA CUBA")</f>
        <v>YCA CUBA</v>
      </c>
      <c r="M66" s="19"/>
      <c r="N66" s="20" t="str">
        <f ca="1">IFERROR(__xludf.DUMMYFUNCTION("""COMPUTED_VALUE"""),"SNIPE")</f>
        <v>SNIPE</v>
      </c>
      <c r="O66" s="20"/>
      <c r="P66" s="20">
        <f ca="1">IFERROR(__xludf.DUMMYFUNCTION("""COMPUTED_VALUE"""),31402)</f>
        <v>31402</v>
      </c>
      <c r="Q66" s="19" t="str">
        <f ca="1">IFERROR(__xludf.DUMMYFUNCTION("""COMPUTED_VALUE"""),"Guadalupe")</f>
        <v>Guadalupe</v>
      </c>
      <c r="R66" s="19" t="str">
        <f ca="1">IFERROR(__xludf.DUMMYFUNCTION("""COMPUTED_VALUE"""),"Martin Gruenberg")</f>
        <v>Martin Gruenberg</v>
      </c>
      <c r="S66" s="19"/>
      <c r="T66" s="19"/>
      <c r="U66" s="19"/>
      <c r="V66" s="19"/>
      <c r="W66" s="19"/>
      <c r="X66" s="23"/>
      <c r="Y66" s="20" t="str">
        <f ca="1">IFERROR(__xludf.DUMMYFUNCTION("""COMPUTED_VALUE"""),"Si")</f>
        <v>Si</v>
      </c>
      <c r="Z66" s="20" t="str">
        <f ca="1">IFERROR(__xludf.DUMMYFUNCTION("""COMPUTED_VALUE"""),"Acepto")</f>
        <v>Acepto</v>
      </c>
      <c r="AA66" s="17" t="str">
        <f ca="1">IFERROR(__xludf.DUMMYFUNCTION("""COMPUTED_VALUE"""),"Terminado")</f>
        <v>Terminado</v>
      </c>
      <c r="AB66" s="17">
        <f ca="1">IFERROR(__xludf.DUMMYFUNCTION("""COMPUTED_VALUE"""),60000)</f>
        <v>60000</v>
      </c>
      <c r="AC66" s="6">
        <f ca="1">IFERROR(__xludf.DUMMYFUNCTION("""COMPUTED_VALUE"""),205059)</f>
        <v>205059</v>
      </c>
      <c r="AD66" s="6" t="str">
        <f ca="1">IFERROR(__xludf.DUMMYFUNCTION("""COMPUTED_VALUE"""),"TRF 27-08")</f>
        <v>TRF 27-08</v>
      </c>
      <c r="AE66" s="6"/>
      <c r="AF66" s="20"/>
      <c r="AG66" s="22"/>
    </row>
    <row r="67" spans="1:33" ht="13.2">
      <c r="A67" s="27">
        <f ca="1">IFERROR(__xludf.DUMMYFUNCTION("""COMPUTED_VALUE"""),45532.8080511689)</f>
        <v>45532.808051168897</v>
      </c>
      <c r="B67" s="11" t="str">
        <f ca="1">IFERROR(__xludf.DUMMYFUNCTION("""COMPUTED_VALUE"""),"Alberto ")</f>
        <v xml:space="preserve">Alberto </v>
      </c>
      <c r="C67" s="11" t="str">
        <f ca="1">IFERROR(__xludf.DUMMYFUNCTION("""COMPUTED_VALUE"""),"Catena")</f>
        <v>Catena</v>
      </c>
      <c r="D67" s="11" t="str">
        <f ca="1">IFERROR(__xludf.DUMMYFUNCTION("""COMPUTED_VALUE"""),"Quilmes")</f>
        <v>Quilmes</v>
      </c>
      <c r="E67" s="12" t="str">
        <f ca="1">IFERROR(__xludf.DUMMYFUNCTION("""COMPUTED_VALUE"""),"ARG")</f>
        <v>ARG</v>
      </c>
      <c r="F67" s="12">
        <f ca="1">IFERROR(__xludf.DUMMYFUNCTION("""COMPUTED_VALUE"""),28141748)</f>
        <v>28141748</v>
      </c>
      <c r="G67" s="13">
        <f ca="1">IFERROR(__xludf.DUMMYFUNCTION("""COMPUTED_VALUE"""),29480)</f>
        <v>29480</v>
      </c>
      <c r="H67" s="14">
        <f ca="1">IFERROR(__xludf.DUMMYFUNCTION("""COMPUTED_VALUE"""),1149920550)</f>
        <v>1149920550</v>
      </c>
      <c r="I67" s="14"/>
      <c r="J67" s="11" t="str">
        <f ca="1">IFERROR(__xludf.DUMMYFUNCTION("""COMPUTED_VALUE"""),"Acatena80@gmail.com")</f>
        <v>Acatena80@gmail.com</v>
      </c>
      <c r="K67" s="11" t="str">
        <f ca="1">IFERROR(__xludf.DUMMYFUNCTION("""COMPUTED_VALUE"""),"Masculino")</f>
        <v>Masculino</v>
      </c>
      <c r="L67" s="15" t="str">
        <f ca="1">IFERROR(__xludf.DUMMYFUNCTION("""COMPUTED_VALUE"""),"CNQ")</f>
        <v>CNQ</v>
      </c>
      <c r="M67" s="11" t="str">
        <f ca="1">IFERROR(__xludf.DUMMYFUNCTION("""COMPUTED_VALUE"""),"Wing")</f>
        <v>Wing</v>
      </c>
      <c r="N67" s="12" t="str">
        <f ca="1">IFERROR(__xludf.DUMMYFUNCTION("""COMPUTED_VALUE"""),"WING FOIL")</f>
        <v>WING FOIL</v>
      </c>
      <c r="O67" s="12"/>
      <c r="P67" s="12">
        <f ca="1">IFERROR(__xludf.DUMMYFUNCTION("""COMPUTED_VALUE"""),83)</f>
        <v>83</v>
      </c>
      <c r="Q67" s="11"/>
      <c r="R67" s="11">
        <f ca="1">IFERROR(__xludf.DUMMYFUNCTION("""COMPUTED_VALUE"""),83)</f>
        <v>83</v>
      </c>
      <c r="S67" s="11"/>
      <c r="T67" s="11"/>
      <c r="U67" s="11"/>
      <c r="V67" s="11"/>
      <c r="W67" s="11"/>
      <c r="X67" s="16" t="str">
        <f ca="1">IFERROR(__xludf.DUMMYFUNCTION("""COMPUTED_VALUE"""),"Construir salud ")</f>
        <v xml:space="preserve">Construir salud </v>
      </c>
      <c r="Y67" s="12" t="str">
        <f ca="1">IFERROR(__xludf.DUMMYFUNCTION("""COMPUTED_VALUE"""),"No")</f>
        <v>No</v>
      </c>
      <c r="Z67" s="12" t="str">
        <f ca="1">IFERROR(__xludf.DUMMYFUNCTION("""COMPUTED_VALUE"""),"Acepto")</f>
        <v>Acepto</v>
      </c>
      <c r="AA67" s="24" t="str">
        <f ca="1">IFERROR(__xludf.DUMMYFUNCTION("""COMPUTED_VALUE"""),"Pendiente")</f>
        <v>Pendiente</v>
      </c>
      <c r="AB67" s="24"/>
      <c r="AC67" s="6"/>
      <c r="AD67" s="6"/>
      <c r="AE67" s="6"/>
      <c r="AF67" s="12"/>
      <c r="AG67" s="15"/>
    </row>
    <row r="68" spans="1:33" ht="13.2">
      <c r="A68" s="18">
        <f ca="1">IFERROR(__xludf.DUMMYFUNCTION("""COMPUTED_VALUE"""),45533.5980669097)</f>
        <v>45533.598066909697</v>
      </c>
      <c r="B68" s="19" t="str">
        <f ca="1">IFERROR(__xludf.DUMMYFUNCTION("""COMPUTED_VALUE"""),"Francisco")</f>
        <v>Francisco</v>
      </c>
      <c r="C68" s="19" t="str">
        <f ca="1">IFERROR(__xludf.DUMMYFUNCTION("""COMPUTED_VALUE"""),"Cerrato")</f>
        <v>Cerrato</v>
      </c>
      <c r="D68" s="19" t="str">
        <f ca="1">IFERROR(__xludf.DUMMYFUNCTION("""COMPUTED_VALUE"""),"Buenos Aires ")</f>
        <v xml:space="preserve">Buenos Aires </v>
      </c>
      <c r="E68" s="20" t="str">
        <f ca="1">IFERROR(__xludf.DUMMYFUNCTION("""COMPUTED_VALUE"""),"ARG")</f>
        <v>ARG</v>
      </c>
      <c r="F68" s="20">
        <f ca="1">IFERROR(__xludf.DUMMYFUNCTION("""COMPUTED_VALUE"""),51584319)</f>
        <v>51584319</v>
      </c>
      <c r="G68" s="31">
        <f ca="1">IFERROR(__xludf.DUMMYFUNCTION("""COMPUTED_VALUE"""),40857)</f>
        <v>40857</v>
      </c>
      <c r="H68" s="32">
        <f ca="1">IFERROR(__xludf.DUMMYFUNCTION("""COMPUTED_VALUE"""),1169476129)</f>
        <v>1169476129</v>
      </c>
      <c r="I68" s="33">
        <f ca="1">IFERROR(__xludf.DUMMYFUNCTION("""COMPUTED_VALUE"""),1169476129)</f>
        <v>1169476129</v>
      </c>
      <c r="J68" s="19" t="str">
        <f ca="1">IFERROR(__xludf.DUMMYFUNCTION("""COMPUTED_VALUE"""),"cerramar432@yahoo.com.ar")</f>
        <v>cerramar432@yahoo.com.ar</v>
      </c>
      <c r="K68" s="19" t="str">
        <f ca="1">IFERROR(__xludf.DUMMYFUNCTION("""COMPUTED_VALUE"""),"Masculino")</f>
        <v>Masculino</v>
      </c>
      <c r="L68" s="22" t="str">
        <f ca="1">IFERROR(__xludf.DUMMYFUNCTION("""COMPUTED_VALUE"""),"CGLNM")</f>
        <v>CGLNM</v>
      </c>
      <c r="M68" s="19" t="str">
        <f ca="1">IFERROR(__xludf.DUMMYFUNCTION("""COMPUTED_VALUE"""),"Optimist Timonel")</f>
        <v>Optimist Timonel</v>
      </c>
      <c r="N68" s="20" t="str">
        <f ca="1">IFERROR(__xludf.DUMMYFUNCTION("""COMPUTED_VALUE"""),"OPTIMIST TIMONELES")</f>
        <v>OPTIMIST TIMONELES</v>
      </c>
      <c r="O68" s="20"/>
      <c r="P68" s="20">
        <f ca="1">IFERROR(__xludf.DUMMYFUNCTION("""COMPUTED_VALUE"""),3801)</f>
        <v>3801</v>
      </c>
      <c r="Q68" s="19"/>
      <c r="R68" s="19"/>
      <c r="S68" s="19"/>
      <c r="T68" s="19"/>
      <c r="U68" s="19"/>
      <c r="V68" s="19"/>
      <c r="W68" s="19"/>
      <c r="X68" s="23" t="str">
        <f ca="1">IFERROR(__xludf.DUMMYFUNCTION("""COMPUTED_VALUE"""),"Swiss Medical")</f>
        <v>Swiss Medical</v>
      </c>
      <c r="Y68" s="20" t="str">
        <f ca="1">IFERROR(__xludf.DUMMYFUNCTION("""COMPUTED_VALUE"""),"Si")</f>
        <v>Si</v>
      </c>
      <c r="Z68" s="20" t="str">
        <f ca="1">IFERROR(__xludf.DUMMYFUNCTION("""COMPUTED_VALUE"""),"Acepto")</f>
        <v>Acepto</v>
      </c>
      <c r="AA68" s="17" t="str">
        <f ca="1">IFERROR(__xludf.DUMMYFUNCTION("""COMPUTED_VALUE"""),"Terminado")</f>
        <v>Terminado</v>
      </c>
      <c r="AB68" s="17">
        <f ca="1">IFERROR(__xludf.DUMMYFUNCTION("""COMPUTED_VALUE"""),50000)</f>
        <v>50000</v>
      </c>
      <c r="AC68" s="6">
        <f ca="1">IFERROR(__xludf.DUMMYFUNCTION("""COMPUTED_VALUE"""),205082)</f>
        <v>205082</v>
      </c>
      <c r="AD68" s="6" t="str">
        <f ca="1">IFERROR(__xludf.DUMMYFUNCTION("""COMPUTED_VALUE"""),"TRF 29-08")</f>
        <v>TRF 29-08</v>
      </c>
      <c r="AE68" s="6"/>
      <c r="AF68" s="20"/>
      <c r="AG68" s="22"/>
    </row>
    <row r="69" spans="1:33" ht="13.2">
      <c r="A69" s="18">
        <f ca="1">IFERROR(__xludf.DUMMYFUNCTION("""COMPUTED_VALUE"""),45535.6269066666)</f>
        <v>45535.626906666599</v>
      </c>
      <c r="B69" s="19" t="str">
        <f ca="1">IFERROR(__xludf.DUMMYFUNCTION("""COMPUTED_VALUE"""),"Luis")</f>
        <v>Luis</v>
      </c>
      <c r="C69" s="19" t="str">
        <f ca="1">IFERROR(__xludf.DUMMYFUNCTION("""COMPUTED_VALUE"""),"Cerrato")</f>
        <v>Cerrato</v>
      </c>
      <c r="D69" s="19" t="str">
        <f ca="1">IFERROR(__xludf.DUMMYFUNCTION("""COMPUTED_VALUE"""),"Buenos Aires")</f>
        <v>Buenos Aires</v>
      </c>
      <c r="E69" s="20" t="str">
        <f ca="1">IFERROR(__xludf.DUMMYFUNCTION("""COMPUTED_VALUE"""),"ARG")</f>
        <v>ARG</v>
      </c>
      <c r="F69" s="20">
        <f ca="1">IFERROR(__xludf.DUMMYFUNCTION("""COMPUTED_VALUE"""),17749448)</f>
        <v>17749448</v>
      </c>
      <c r="G69" s="21">
        <f ca="1">IFERROR(__xludf.DUMMYFUNCTION("""COMPUTED_VALUE"""),23867)</f>
        <v>23867</v>
      </c>
      <c r="H69" s="20">
        <f ca="1">IFERROR(__xludf.DUMMYFUNCTION("""COMPUTED_VALUE"""),1150041298)</f>
        <v>1150041298</v>
      </c>
      <c r="I69" s="20">
        <f ca="1">IFERROR(__xludf.DUMMYFUNCTION("""COMPUTED_VALUE"""),1121939562)</f>
        <v>1121939562</v>
      </c>
      <c r="J69" s="20" t="str">
        <f ca="1">IFERROR(__xludf.DUMMYFUNCTION("""COMPUTED_VALUE"""),"luis.a.cerrato@gmail.com")</f>
        <v>luis.a.cerrato@gmail.com</v>
      </c>
      <c r="K69" s="20" t="str">
        <f ca="1">IFERROR(__xludf.DUMMYFUNCTION("""COMPUTED_VALUE"""),"Masculino")</f>
        <v>Masculino</v>
      </c>
      <c r="L69" s="22" t="str">
        <f ca="1">IFERROR(__xludf.DUMMYFUNCTION("""COMPUTED_VALUE"""),"YCO")</f>
        <v>YCO</v>
      </c>
      <c r="M69" s="19" t="str">
        <f ca="1">IFERROR(__xludf.DUMMYFUNCTION("""COMPUTED_VALUE"""),"Master (ILCA)")</f>
        <v>Master (ILCA)</v>
      </c>
      <c r="N69" s="20" t="str">
        <f ca="1">IFERROR(__xludf.DUMMYFUNCTION("""COMPUTED_VALUE"""),"ILCA 6")</f>
        <v>ILCA 6</v>
      </c>
      <c r="O69" s="20"/>
      <c r="P69" s="20">
        <f ca="1">IFERROR(__xludf.DUMMYFUNCTION("""COMPUTED_VALUE"""),184290)</f>
        <v>184290</v>
      </c>
      <c r="Q69" s="19" t="str">
        <f ca="1">IFERROR(__xludf.DUMMYFUNCTION("""COMPUTED_VALUE"""),"Sandro")</f>
        <v>Sandro</v>
      </c>
      <c r="R69" s="33"/>
      <c r="S69" s="19"/>
      <c r="T69" s="19"/>
      <c r="U69" s="19"/>
      <c r="V69" s="19"/>
      <c r="W69" s="19"/>
      <c r="X69" s="23" t="str">
        <f ca="1">IFERROR(__xludf.DUMMYFUNCTION("""COMPUTED_VALUE"""),"Osde")</f>
        <v>Osde</v>
      </c>
      <c r="Y69" s="20" t="str">
        <f ca="1">IFERROR(__xludf.DUMMYFUNCTION("""COMPUTED_VALUE"""),"Si")</f>
        <v>Si</v>
      </c>
      <c r="Z69" s="20" t="str">
        <f ca="1">IFERROR(__xludf.DUMMYFUNCTION("""COMPUTED_VALUE"""),"Acepto")</f>
        <v>Acepto</v>
      </c>
      <c r="AA69" s="24" t="str">
        <f ca="1">IFERROR(__xludf.DUMMYFUNCTION("""COMPUTED_VALUE"""),"Terminado")</f>
        <v>Terminado</v>
      </c>
      <c r="AB69" s="24">
        <f ca="1">IFERROR(__xludf.DUMMYFUNCTION("""COMPUTED_VALUE"""),45000)</f>
        <v>45000</v>
      </c>
      <c r="AC69" s="6">
        <f ca="1">IFERROR(__xludf.DUMMYFUNCTION("""COMPUTED_VALUE"""),205168)</f>
        <v>205168</v>
      </c>
      <c r="AD69" s="6" t="str">
        <f ca="1">IFERROR(__xludf.DUMMYFUNCTION("""COMPUTED_VALUE"""),"TRF 31-08")</f>
        <v>TRF 31-08</v>
      </c>
      <c r="AE69" s="6"/>
      <c r="AF69" s="20"/>
      <c r="AG69" s="22"/>
    </row>
    <row r="70" spans="1:33" ht="13.2">
      <c r="A70" s="27">
        <f ca="1">IFERROR(__xludf.DUMMYFUNCTION("""COMPUTED_VALUE"""),45538.8518777662)</f>
        <v>45538.851877766203</v>
      </c>
      <c r="B70" s="11" t="str">
        <f ca="1">IFERROR(__xludf.DUMMYFUNCTION("""COMPUTED_VALUE"""),"valentin")</f>
        <v>valentin</v>
      </c>
      <c r="C70" s="11" t="str">
        <f ca="1">IFERROR(__xludf.DUMMYFUNCTION("""COMPUTED_VALUE"""),"chavarria")</f>
        <v>chavarria</v>
      </c>
      <c r="D70" s="11" t="str">
        <f ca="1">IFERROR(__xludf.DUMMYFUNCTION("""COMPUTED_VALUE"""),"zarate")</f>
        <v>zarate</v>
      </c>
      <c r="E70" s="12" t="str">
        <f ca="1">IFERROR(__xludf.DUMMYFUNCTION("""COMPUTED_VALUE"""),"ARG")</f>
        <v>ARG</v>
      </c>
      <c r="F70" s="12">
        <f ca="1">IFERROR(__xludf.DUMMYFUNCTION("""COMPUTED_VALUE"""),53084562)</f>
        <v>53084562</v>
      </c>
      <c r="G70" s="13">
        <f ca="1">IFERROR(__xludf.DUMMYFUNCTION("""COMPUTED_VALUE"""),41330)</f>
        <v>41330</v>
      </c>
      <c r="H70" s="14" t="str">
        <f ca="1">IFERROR(__xludf.DUMMYFUNCTION("""COMPUTED_VALUE"""),"3487-675440")</f>
        <v>3487-675440</v>
      </c>
      <c r="I70" s="14" t="str">
        <f ca="1">IFERROR(__xludf.DUMMYFUNCTION("""COMPUTED_VALUE"""),"3487-675440")</f>
        <v>3487-675440</v>
      </c>
      <c r="J70" s="11" t="str">
        <f ca="1">IFERROR(__xludf.DUMMYFUNCTION("""COMPUTED_VALUE"""),"miguelymale15@gmail.com")</f>
        <v>miguelymale15@gmail.com</v>
      </c>
      <c r="K70" s="11" t="str">
        <f ca="1">IFERROR(__xludf.DUMMYFUNCTION("""COMPUTED_VALUE"""),"Masculino")</f>
        <v>Masculino</v>
      </c>
      <c r="L70" s="15" t="str">
        <f ca="1">IFERROR(__xludf.DUMMYFUNCTION("""COMPUTED_VALUE"""),"CNZ")</f>
        <v>CNZ</v>
      </c>
      <c r="M70" s="11" t="str">
        <f ca="1">IFERROR(__xludf.DUMMYFUNCTION("""COMPUTED_VALUE"""),"Interior (Optimist)")</f>
        <v>Interior (Optimist)</v>
      </c>
      <c r="N70" s="12" t="str">
        <f ca="1">IFERROR(__xludf.DUMMYFUNCTION("""COMPUTED_VALUE"""),"OPTIMIST PRINCIPIANTES")</f>
        <v>OPTIMIST PRINCIPIANTES</v>
      </c>
      <c r="O70" s="12"/>
      <c r="P70" s="12">
        <f ca="1">IFERROR(__xludf.DUMMYFUNCTION("""COMPUTED_VALUE"""),402)</f>
        <v>402</v>
      </c>
      <c r="Q70" s="11"/>
      <c r="R70" s="11"/>
      <c r="S70" s="11"/>
      <c r="T70" s="11"/>
      <c r="U70" s="11"/>
      <c r="V70" s="11"/>
      <c r="W70" s="11"/>
      <c r="X70" s="16"/>
      <c r="Y70" s="12" t="str">
        <f ca="1">IFERROR(__xludf.DUMMYFUNCTION("""COMPUTED_VALUE"""),"Si")</f>
        <v>Si</v>
      </c>
      <c r="Z70" s="12" t="str">
        <f ca="1">IFERROR(__xludf.DUMMYFUNCTION("""COMPUTED_VALUE"""),"Acepto")</f>
        <v>Acepto</v>
      </c>
      <c r="AA70" s="24" t="str">
        <f ca="1">IFERROR(__xludf.DUMMYFUNCTION("""COMPUTED_VALUE"""),"Terminado")</f>
        <v>Terminado</v>
      </c>
      <c r="AB70" s="24">
        <f ca="1">IFERROR(__xludf.DUMMYFUNCTION("""COMPUTED_VALUE"""),50000)</f>
        <v>50000</v>
      </c>
      <c r="AC70" s="6">
        <f ca="1">IFERROR(__xludf.DUMMYFUNCTION("""COMPUTED_VALUE"""),205425)</f>
        <v>205425</v>
      </c>
      <c r="AD70" s="6" t="str">
        <f ca="1">IFERROR(__xludf.DUMMYFUNCTION("""COMPUTED_VALUE"""),"TRF 03-09")</f>
        <v>TRF 03-09</v>
      </c>
      <c r="AE70" s="6"/>
      <c r="AF70" s="12"/>
      <c r="AG70" s="15"/>
    </row>
    <row r="71" spans="1:33" ht="13.2">
      <c r="A71" s="27">
        <f ca="1">IFERROR(__xludf.DUMMYFUNCTION("""COMPUTED_VALUE"""),45531.6513959953)</f>
        <v>45531.651395995301</v>
      </c>
      <c r="B71" s="11" t="str">
        <f ca="1">IFERROR(__xludf.DUMMYFUNCTION("""COMPUTED_VALUE"""),"Catalina")</f>
        <v>Catalina</v>
      </c>
      <c r="C71" s="11" t="str">
        <f ca="1">IFERROR(__xludf.DUMMYFUNCTION("""COMPUTED_VALUE"""),"Cherro")</f>
        <v>Cherro</v>
      </c>
      <c r="D71" s="11" t="str">
        <f ca="1">IFERROR(__xludf.DUMMYFUNCTION("""COMPUTED_VALUE"""),"Buenos Aires")</f>
        <v>Buenos Aires</v>
      </c>
      <c r="E71" s="12" t="str">
        <f ca="1">IFERROR(__xludf.DUMMYFUNCTION("""COMPUTED_VALUE"""),"ARG")</f>
        <v>ARG</v>
      </c>
      <c r="F71" s="12">
        <f ca="1">IFERROR(__xludf.DUMMYFUNCTION("""COMPUTED_VALUE"""),48386142)</f>
        <v>48386142</v>
      </c>
      <c r="G71" s="13">
        <f ca="1">IFERROR(__xludf.DUMMYFUNCTION("""COMPUTED_VALUE"""),39417)</f>
        <v>39417</v>
      </c>
      <c r="H71" s="14">
        <f ca="1">IFERROR(__xludf.DUMMYFUNCTION("""COMPUTED_VALUE"""),1156395103)</f>
        <v>1156395103</v>
      </c>
      <c r="I71" s="14">
        <f ca="1">IFERROR(__xludf.DUMMYFUNCTION("""COMPUTED_VALUE"""),1123929511)</f>
        <v>1123929511</v>
      </c>
      <c r="J71" s="11" t="str">
        <f ca="1">IFERROR(__xludf.DUMMYFUNCTION("""COMPUTED_VALUE"""),"ccherrocatalina@gmail.com")</f>
        <v>ccherrocatalina@gmail.com</v>
      </c>
      <c r="K71" s="11" t="str">
        <f ca="1">IFERROR(__xludf.DUMMYFUNCTION("""COMPUTED_VALUE"""),"Femenino")</f>
        <v>Femenino</v>
      </c>
      <c r="L71" s="15" t="str">
        <f ca="1">IFERROR(__xludf.DUMMYFUNCTION("""COMPUTED_VALUE"""),"CPNLB")</f>
        <v>CPNLB</v>
      </c>
      <c r="M71" s="11"/>
      <c r="N71" s="12" t="str">
        <f ca="1">IFERROR(__xludf.DUMMYFUNCTION("""COMPUTED_VALUE"""),"GRUMETE")</f>
        <v>GRUMETE</v>
      </c>
      <c r="O71" s="12" t="str">
        <f ca="1">IFERROR(__xludf.DUMMYFUNCTION("""COMPUTED_VALUE"""),"-")</f>
        <v>-</v>
      </c>
      <c r="P71" s="12">
        <f ca="1">IFERROR(__xludf.DUMMYFUNCTION("""COMPUTED_VALUE"""),7)</f>
        <v>7</v>
      </c>
      <c r="Q71" s="11" t="str">
        <f ca="1">IFERROR(__xludf.DUMMYFUNCTION("""COMPUTED_VALUE"""),"Nadine")</f>
        <v>Nadine</v>
      </c>
      <c r="R71" s="11" t="str">
        <f ca="1">IFERROR(__xludf.DUMMYFUNCTION("""COMPUTED_VALUE"""),"Alejandro Cherro")</f>
        <v>Alejandro Cherro</v>
      </c>
      <c r="S71" s="11" t="str">
        <f ca="1">IFERROR(__xludf.DUMMYFUNCTION("""COMPUTED_VALUE"""),"Fabián Vinciguerra")</f>
        <v>Fabián Vinciguerra</v>
      </c>
      <c r="T71" s="11" t="str">
        <f ca="1">IFERROR(__xludf.DUMMYFUNCTION("""COMPUTED_VALUE"""),"Catu Cherro")</f>
        <v>Catu Cherro</v>
      </c>
      <c r="U71" s="11"/>
      <c r="V71" s="11"/>
      <c r="W71" s="11"/>
      <c r="X71" s="16" t="str">
        <f ca="1">IFERROR(__xludf.DUMMYFUNCTION("""COMPUTED_VALUE"""),"-")</f>
        <v>-</v>
      </c>
      <c r="Y71" s="12" t="str">
        <f ca="1">IFERROR(__xludf.DUMMYFUNCTION("""COMPUTED_VALUE"""),"No")</f>
        <v>No</v>
      </c>
      <c r="Z71" s="12" t="str">
        <f ca="1">IFERROR(__xludf.DUMMYFUNCTION("""COMPUTED_VALUE"""),"Acepto")</f>
        <v>Acepto</v>
      </c>
      <c r="AA71" s="17" t="str">
        <f ca="1">IFERROR(__xludf.DUMMYFUNCTION("""COMPUTED_VALUE"""),"Terminado")</f>
        <v>Terminado</v>
      </c>
      <c r="AB71" s="17">
        <f ca="1">IFERROR(__xludf.DUMMYFUNCTION("""COMPUTED_VALUE"""),60000)</f>
        <v>60000</v>
      </c>
      <c r="AC71" s="6">
        <f ca="1">IFERROR(__xludf.DUMMYFUNCTION("""COMPUTED_VALUE"""),205416)</f>
        <v>205416</v>
      </c>
      <c r="AD71" s="6" t="str">
        <f ca="1">IFERROR(__xludf.DUMMYFUNCTION("""COMPUTED_VALUE"""),"TRF 03-09")</f>
        <v>TRF 03-09</v>
      </c>
      <c r="AE71" s="6"/>
      <c r="AF71" s="12" t="str">
        <f ca="1">IFERROR(__xludf.DUMMYFUNCTION("""COMPUTED_VALUE"""),"Si")</f>
        <v>Si</v>
      </c>
      <c r="AG71" s="15"/>
    </row>
    <row r="72" spans="1:33" ht="13.2">
      <c r="A72" s="27">
        <f ca="1">IFERROR(__xludf.DUMMYFUNCTION("""COMPUTED_VALUE"""),45526.4163209838)</f>
        <v>45526.416320983801</v>
      </c>
      <c r="B72" s="11" t="str">
        <f ca="1">IFERROR(__xludf.DUMMYFUNCTION("""COMPUTED_VALUE"""),"MARCELO ")</f>
        <v xml:space="preserve">MARCELO </v>
      </c>
      <c r="C72" s="11" t="str">
        <f ca="1">IFERROR(__xludf.DUMMYFUNCTION("""COMPUTED_VALUE"""),"CHIRICO")</f>
        <v>CHIRICO</v>
      </c>
      <c r="D72" s="11" t="str">
        <f ca="1">IFERROR(__xludf.DUMMYFUNCTION("""COMPUTED_VALUE"""),"VIEDMA")</f>
        <v>VIEDMA</v>
      </c>
      <c r="E72" s="12" t="str">
        <f ca="1">IFERROR(__xludf.DUMMYFUNCTION("""COMPUTED_VALUE"""),"ARG")</f>
        <v>ARG</v>
      </c>
      <c r="F72" s="12">
        <f ca="1">IFERROR(__xludf.DUMMYFUNCTION("""COMPUTED_VALUE"""),29898026)</f>
        <v>29898026</v>
      </c>
      <c r="G72" s="13">
        <f ca="1">IFERROR(__xludf.DUMMYFUNCTION("""COMPUTED_VALUE"""),30391)</f>
        <v>30391</v>
      </c>
      <c r="H72" s="14">
        <f ca="1">IFERROR(__xludf.DUMMYFUNCTION("""COMPUTED_VALUE"""),2920309841)</f>
        <v>2920309841</v>
      </c>
      <c r="I72" s="34"/>
      <c r="J72" s="11" t="str">
        <f ca="1">IFERROR(__xludf.DUMMYFUNCTION("""COMPUTED_VALUE"""),"marcelochirico83@gmail.com")</f>
        <v>marcelochirico83@gmail.com</v>
      </c>
      <c r="K72" s="11" t="str">
        <f ca="1">IFERROR(__xludf.DUMMYFUNCTION("""COMPUTED_VALUE"""),"Masculino")</f>
        <v>Masculino</v>
      </c>
      <c r="L72" s="15" t="str">
        <f ca="1">IFERROR(__xludf.DUMMYFUNCTION("""COMPUTED_VALUE"""),"ESCUELA NÁUTICA PROVINCIAL VIEDMA")</f>
        <v>ESCUELA NÁUTICA PROVINCIAL VIEDMA</v>
      </c>
      <c r="M72" s="11" t="str">
        <f ca="1">IFERROR(__xludf.DUMMYFUNCTION("""COMPUTED_VALUE"""),"PAMPERO MIXTO")</f>
        <v>PAMPERO MIXTO</v>
      </c>
      <c r="N72" s="12" t="str">
        <f ca="1">IFERROR(__xludf.DUMMYFUNCTION("""COMPUTED_VALUE"""),"PAMPERO")</f>
        <v>PAMPERO</v>
      </c>
      <c r="O72" s="12"/>
      <c r="P72" s="12">
        <f ca="1">IFERROR(__xludf.DUMMYFUNCTION("""COMPUTED_VALUE"""),269)</f>
        <v>269</v>
      </c>
      <c r="Q72" s="11" t="str">
        <f ca="1">IFERROR(__xludf.DUMMYFUNCTION("""COMPUTED_VALUE"""),"COCOON")</f>
        <v>COCOON</v>
      </c>
      <c r="R72" s="11" t="str">
        <f ca="1">IFERROR(__xludf.DUMMYFUNCTION("""COMPUTED_VALUE"""),"LUCRECIA OSÁN")</f>
        <v>LUCRECIA OSÁN</v>
      </c>
      <c r="S72" s="11"/>
      <c r="T72" s="11"/>
      <c r="U72" s="11"/>
      <c r="V72" s="11"/>
      <c r="W72" s="11"/>
      <c r="X72" s="16"/>
      <c r="Y72" s="12" t="str">
        <f ca="1">IFERROR(__xludf.DUMMYFUNCTION("""COMPUTED_VALUE"""),"Si")</f>
        <v>Si</v>
      </c>
      <c r="Z72" s="12" t="str">
        <f ca="1">IFERROR(__xludf.DUMMYFUNCTION("""COMPUTED_VALUE"""),"Acepto")</f>
        <v>Acepto</v>
      </c>
      <c r="AA72" s="24" t="str">
        <f ca="1">IFERROR(__xludf.DUMMYFUNCTION("""COMPUTED_VALUE"""),"Terminado")</f>
        <v>Terminado</v>
      </c>
      <c r="AB72" s="24">
        <f ca="1">IFERROR(__xludf.DUMMYFUNCTION("""COMPUTED_VALUE"""),51000)</f>
        <v>51000</v>
      </c>
      <c r="AC72" s="6">
        <f ca="1">IFERROR(__xludf.DUMMYFUNCTION("""COMPUTED_VALUE"""),205038)</f>
        <v>205038</v>
      </c>
      <c r="AD72" s="6" t="str">
        <f ca="1">IFERROR(__xludf.DUMMYFUNCTION("""COMPUTED_VALUE"""),"TRF 22-08")</f>
        <v>TRF 22-08</v>
      </c>
      <c r="AE72" s="6"/>
      <c r="AF72" s="12" t="str">
        <f ca="1">IFERROR(__xludf.DUMMYFUNCTION("""COMPUTED_VALUE"""),"Si")</f>
        <v>Si</v>
      </c>
      <c r="AG72" s="15"/>
    </row>
    <row r="73" spans="1:33" ht="13.2">
      <c r="A73" s="35">
        <f ca="1">IFERROR(__xludf.DUMMYFUNCTION("""COMPUTED_VALUE"""),45538.4155449074)</f>
        <v>45538.415544907402</v>
      </c>
      <c r="B73" s="36" t="str">
        <f ca="1">IFERROR(__xludf.DUMMYFUNCTION("""COMPUTED_VALUE"""),"Sebastián ")</f>
        <v xml:space="preserve">Sebastián </v>
      </c>
      <c r="C73" s="36" t="str">
        <f ca="1">IFERROR(__xludf.DUMMYFUNCTION("""COMPUTED_VALUE"""),"Clua D'alessandro ")</f>
        <v xml:space="preserve">Clua D'alessandro </v>
      </c>
      <c r="D73" s="36" t="str">
        <f ca="1">IFERROR(__xludf.DUMMYFUNCTION("""COMPUTED_VALUE"""),"La plata")</f>
        <v>La plata</v>
      </c>
      <c r="E73" s="6" t="str">
        <f ca="1">IFERROR(__xludf.DUMMYFUNCTION("""COMPUTED_VALUE"""),"ARG")</f>
        <v>ARG</v>
      </c>
      <c r="F73" s="6">
        <f ca="1">IFERROR(__xludf.DUMMYFUNCTION("""COMPUTED_VALUE"""),33850814)</f>
        <v>33850814</v>
      </c>
      <c r="G73" s="37">
        <f ca="1">IFERROR(__xludf.DUMMYFUNCTION("""COMPUTED_VALUE"""),32299)</f>
        <v>32299</v>
      </c>
      <c r="H73" s="38">
        <f ca="1">IFERROR(__xludf.DUMMYFUNCTION("""COMPUTED_VALUE"""),2215343741)</f>
        <v>2215343741</v>
      </c>
      <c r="I73" s="39">
        <f ca="1">IFERROR(__xludf.DUMMYFUNCTION("""COMPUTED_VALUE"""),2215411548)</f>
        <v>2215411548</v>
      </c>
      <c r="J73" s="38" t="str">
        <f ca="1">IFERROR(__xludf.DUMMYFUNCTION("""COMPUTED_VALUE"""),"sebas.clua@gmail.com")</f>
        <v>sebas.clua@gmail.com</v>
      </c>
      <c r="K73" s="38" t="str">
        <f ca="1">IFERROR(__xludf.DUMMYFUNCTION("""COMPUTED_VALUE"""),"Masculino")</f>
        <v>Masculino</v>
      </c>
      <c r="L73" s="36" t="str">
        <f ca="1">IFERROR(__xludf.DUMMYFUNCTION("""COMPUTED_VALUE"""),"Gasav")</f>
        <v>Gasav</v>
      </c>
      <c r="M73" s="38" t="str">
        <f ca="1">IFERROR(__xludf.DUMMYFUNCTION("""COMPUTED_VALUE"""),"Master (ILCA)")</f>
        <v>Master (ILCA)</v>
      </c>
      <c r="N73" s="6" t="str">
        <f ca="1">IFERROR(__xludf.DUMMYFUNCTION("""COMPUTED_VALUE"""),"ILCA 6")</f>
        <v>ILCA 6</v>
      </c>
      <c r="O73" s="6"/>
      <c r="P73" s="6" t="str">
        <f ca="1">IFERROR(__xludf.DUMMYFUNCTION("""COMPUTED_VALUE"""),"ALA 2")</f>
        <v>ALA 2</v>
      </c>
      <c r="Q73" s="38" t="str">
        <f ca="1">IFERROR(__xludf.DUMMYFUNCTION("""COMPUTED_VALUE"""),"Gollo")</f>
        <v>Gollo</v>
      </c>
      <c r="R73" s="38"/>
      <c r="S73" s="38"/>
      <c r="T73" s="38"/>
      <c r="U73" s="38"/>
      <c r="V73" s="38"/>
      <c r="W73" s="38"/>
      <c r="X73" s="40"/>
      <c r="Y73" s="6" t="str">
        <f ca="1">IFERROR(__xludf.DUMMYFUNCTION("""COMPUTED_VALUE"""),"Si")</f>
        <v>Si</v>
      </c>
      <c r="Z73" s="6" t="str">
        <f ca="1">IFERROR(__xludf.DUMMYFUNCTION("""COMPUTED_VALUE"""),"Acepto")</f>
        <v>Acepto</v>
      </c>
      <c r="AA73" s="41" t="str">
        <f ca="1">IFERROR(__xludf.DUMMYFUNCTION("""COMPUTED_VALUE"""),"Pendiente")</f>
        <v>Pendiente</v>
      </c>
      <c r="AB73" s="41"/>
      <c r="AC73" s="6"/>
      <c r="AD73" s="6"/>
      <c r="AE73" s="6"/>
      <c r="AF73" s="6"/>
      <c r="AG73" s="36"/>
    </row>
    <row r="74" spans="1:33" ht="13.2">
      <c r="A74" s="35">
        <f ca="1">IFERROR(__xludf.DUMMYFUNCTION("""COMPUTED_VALUE"""),45534.3597876157)</f>
        <v>45534.3597876157</v>
      </c>
      <c r="B74" s="36" t="str">
        <f ca="1">IFERROR(__xludf.DUMMYFUNCTION("""COMPUTED_VALUE"""),"Julia")</f>
        <v>Julia</v>
      </c>
      <c r="C74" s="36" t="str">
        <f ca="1">IFERROR(__xludf.DUMMYFUNCTION("""COMPUTED_VALUE"""),"Cocozza")</f>
        <v>Cocozza</v>
      </c>
      <c r="D74" s="36" t="str">
        <f ca="1">IFERROR(__xludf.DUMMYFUNCTION("""COMPUTED_VALUE"""),"San fernando")</f>
        <v>San fernando</v>
      </c>
      <c r="E74" s="6" t="str">
        <f ca="1">IFERROR(__xludf.DUMMYFUNCTION("""COMPUTED_VALUE"""),"ARG")</f>
        <v>ARG</v>
      </c>
      <c r="F74" s="6">
        <f ca="1">IFERROR(__xludf.DUMMYFUNCTION("""COMPUTED_VALUE"""),53204460)</f>
        <v>53204460</v>
      </c>
      <c r="G74" s="37">
        <f ca="1">IFERROR(__xludf.DUMMYFUNCTION("""COMPUTED_VALUE"""),41418)</f>
        <v>41418</v>
      </c>
      <c r="H74" s="38">
        <f ca="1">IFERROR(__xludf.DUMMYFUNCTION("""COMPUTED_VALUE"""),1159965995)</f>
        <v>1159965995</v>
      </c>
      <c r="I74" s="39">
        <f ca="1">IFERROR(__xludf.DUMMYFUNCTION("""COMPUTED_VALUE"""),1159965995)</f>
        <v>1159965995</v>
      </c>
      <c r="J74" s="38" t="str">
        <f ca="1">IFERROR(__xludf.DUMMYFUNCTION("""COMPUTED_VALUE"""),"Anaigoni@hotmail.com")</f>
        <v>Anaigoni@hotmail.com</v>
      </c>
      <c r="K74" s="38" t="str">
        <f ca="1">IFERROR(__xludf.DUMMYFUNCTION("""COMPUTED_VALUE"""),"Femenino")</f>
        <v>Femenino</v>
      </c>
      <c r="L74" s="36" t="str">
        <f ca="1">IFERROR(__xludf.DUMMYFUNCTION("""COMPUTED_VALUE"""),"YCA")</f>
        <v>YCA</v>
      </c>
      <c r="M74" s="38" t="str">
        <f ca="1">IFERROR(__xludf.DUMMYFUNCTION("""COMPUTED_VALUE"""),"Femenino")</f>
        <v>Femenino</v>
      </c>
      <c r="N74" s="6" t="str">
        <f ca="1">IFERROR(__xludf.DUMMYFUNCTION("""COMPUTED_VALUE"""),"OPTIMIST PRINCIPIANTES")</f>
        <v>OPTIMIST PRINCIPIANTES</v>
      </c>
      <c r="O74" s="6"/>
      <c r="P74" s="6">
        <f ca="1">IFERROR(__xludf.DUMMYFUNCTION("""COMPUTED_VALUE"""),3040)</f>
        <v>3040</v>
      </c>
      <c r="Q74" s="38" t="str">
        <f ca="1">IFERROR(__xludf.DUMMYFUNCTION("""COMPUTED_VALUE"""),"AKUÄ ")</f>
        <v xml:space="preserve">AKUÄ </v>
      </c>
      <c r="R74" s="38"/>
      <c r="S74" s="38"/>
      <c r="T74" s="38"/>
      <c r="U74" s="38"/>
      <c r="V74" s="38"/>
      <c r="W74" s="38"/>
      <c r="X74" s="40">
        <f ca="1">IFERROR(__xludf.DUMMYFUNCTION("""COMPUTED_VALUE"""),61132626303)</f>
        <v>61132626303</v>
      </c>
      <c r="Y74" s="6" t="str">
        <f ca="1">IFERROR(__xludf.DUMMYFUNCTION("""COMPUTED_VALUE"""),"No")</f>
        <v>No</v>
      </c>
      <c r="Z74" s="6" t="str">
        <f ca="1">IFERROR(__xludf.DUMMYFUNCTION("""COMPUTED_VALUE"""),"Acepto")</f>
        <v>Acepto</v>
      </c>
      <c r="AA74" s="41" t="str">
        <f ca="1">IFERROR(__xludf.DUMMYFUNCTION("""COMPUTED_VALUE"""),"Terminado")</f>
        <v>Terminado</v>
      </c>
      <c r="AB74" s="41">
        <f ca="1">IFERROR(__xludf.DUMMYFUNCTION("""COMPUTED_VALUE"""),50000)</f>
        <v>50000</v>
      </c>
      <c r="AC74" s="6">
        <f ca="1">IFERROR(__xludf.DUMMYFUNCTION("""COMPUTED_VALUE"""),205093)</f>
        <v>205093</v>
      </c>
      <c r="AD74" s="6" t="str">
        <f ca="1">IFERROR(__xludf.DUMMYFUNCTION("""COMPUTED_VALUE"""),"TRF 30-08")</f>
        <v>TRF 30-08</v>
      </c>
      <c r="AE74" s="6"/>
      <c r="AF74" s="6"/>
      <c r="AG74" s="36"/>
    </row>
    <row r="75" spans="1:33" ht="13.2">
      <c r="A75" s="35">
        <f ca="1">IFERROR(__xludf.DUMMYFUNCTION("""COMPUTED_VALUE"""),45535.8734967939)</f>
        <v>45535.873496793902</v>
      </c>
      <c r="B75" s="36" t="str">
        <f ca="1">IFERROR(__xludf.DUMMYFUNCTION("""COMPUTED_VALUE"""),"Isabella")</f>
        <v>Isabella</v>
      </c>
      <c r="C75" s="36" t="str">
        <f ca="1">IFERROR(__xludf.DUMMYFUNCTION("""COMPUTED_VALUE"""),"Conde")</f>
        <v>Conde</v>
      </c>
      <c r="D75" s="36" t="str">
        <f ca="1">IFERROR(__xludf.DUMMYFUNCTION("""COMPUTED_VALUE"""),"Montevideo")</f>
        <v>Montevideo</v>
      </c>
      <c r="E75" s="6" t="str">
        <f ca="1">IFERROR(__xludf.DUMMYFUNCTION("""COMPUTED_VALUE"""),"URU")</f>
        <v>URU</v>
      </c>
      <c r="F75" s="6">
        <f ca="1">IFERROR(__xludf.DUMMYFUNCTION("""COMPUTED_VALUE"""),59054813)</f>
        <v>59054813</v>
      </c>
      <c r="G75" s="37">
        <f ca="1">IFERROR(__xludf.DUMMYFUNCTION("""COMPUTED_VALUE"""),40638)</f>
        <v>40638</v>
      </c>
      <c r="H75" s="38" t="str">
        <f ca="1">IFERROR(__xludf.DUMMYFUNCTION("""COMPUTED_VALUE"""),"+59899827662")</f>
        <v>+59899827662</v>
      </c>
      <c r="I75" s="38" t="str">
        <f ca="1">IFERROR(__xludf.DUMMYFUNCTION("""COMPUTED_VALUE"""),"+59899827662")</f>
        <v>+59899827662</v>
      </c>
      <c r="J75" s="38" t="str">
        <f ca="1">IFERROR(__xludf.DUMMYFUNCTION("""COMPUTED_VALUE"""),"analiabianco@vera.com.uy")</f>
        <v>analiabianco@vera.com.uy</v>
      </c>
      <c r="K75" s="38" t="str">
        <f ca="1">IFERROR(__xludf.DUMMYFUNCTION("""COMPUTED_VALUE"""),"Femenino")</f>
        <v>Femenino</v>
      </c>
      <c r="L75" s="36" t="str">
        <f ca="1">IFERROR(__xludf.DUMMYFUNCTION("""COMPUTED_VALUE"""),"NYC")</f>
        <v>NYC</v>
      </c>
      <c r="M75" s="38" t="str">
        <f ca="1">IFERROR(__xludf.DUMMYFUNCTION("""COMPUTED_VALUE"""),"Interior (Optimist)")</f>
        <v>Interior (Optimist)</v>
      </c>
      <c r="N75" s="6" t="str">
        <f ca="1">IFERROR(__xludf.DUMMYFUNCTION("""COMPUTED_VALUE"""),"OPTIMIST PRINCIPIANTES")</f>
        <v>OPTIMIST PRINCIPIANTES</v>
      </c>
      <c r="O75" s="6"/>
      <c r="P75" s="6" t="str">
        <f ca="1">IFERROR(__xludf.DUMMYFUNCTION("""COMPUTED_VALUE"""),"NYC")</f>
        <v>NYC</v>
      </c>
      <c r="Q75" s="38"/>
      <c r="R75" s="38"/>
      <c r="S75" s="38"/>
      <c r="T75" s="38"/>
      <c r="U75" s="38"/>
      <c r="V75" s="38"/>
      <c r="W75" s="38"/>
      <c r="X75" s="40"/>
      <c r="Y75" s="6" t="str">
        <f ca="1">IFERROR(__xludf.DUMMYFUNCTION("""COMPUTED_VALUE"""),"Si")</f>
        <v>Si</v>
      </c>
      <c r="Z75" s="6" t="str">
        <f ca="1">IFERROR(__xludf.DUMMYFUNCTION("""COMPUTED_VALUE"""),"Acepto")</f>
        <v>Acepto</v>
      </c>
      <c r="AA75" s="41" t="str">
        <f ca="1">IFERROR(__xludf.DUMMYFUNCTION("""COMPUTED_VALUE"""),"Terminado")</f>
        <v>Terminado</v>
      </c>
      <c r="AB75" s="41">
        <f ca="1">IFERROR(__xludf.DUMMYFUNCTION("""COMPUTED_VALUE"""),42500)</f>
        <v>42500</v>
      </c>
      <c r="AC75" s="6">
        <f ca="1">IFERROR(__xludf.DUMMYFUNCTION("""COMPUTED_VALUE"""),205391)</f>
        <v>205391</v>
      </c>
      <c r="AD75" s="6" t="str">
        <f ca="1">IFERROR(__xludf.DUMMYFUNCTION("""COMPUTED_VALUE"""),"TRF 02-09")</f>
        <v>TRF 02-09</v>
      </c>
      <c r="AE75" s="6"/>
      <c r="AF75" s="6"/>
      <c r="AG75" s="36"/>
    </row>
    <row r="76" spans="1:33" ht="13.2">
      <c r="A76" s="35">
        <f ca="1">IFERROR(__xludf.DUMMYFUNCTION("""COMPUTED_VALUE"""),45535.737996956)</f>
        <v>45535.737996955999</v>
      </c>
      <c r="B76" s="36" t="str">
        <f ca="1">IFERROR(__xludf.DUMMYFUNCTION("""COMPUTED_VALUE"""),"MAXIMO")</f>
        <v>MAXIMO</v>
      </c>
      <c r="C76" s="36" t="str">
        <f ca="1">IFERROR(__xludf.DUMMYFUNCTION("""COMPUTED_VALUE"""),"COROMINAS")</f>
        <v>COROMINAS</v>
      </c>
      <c r="D76" s="36" t="str">
        <f ca="1">IFERROR(__xludf.DUMMYFUNCTION("""COMPUTED_VALUE"""),"ZARATE")</f>
        <v>ZARATE</v>
      </c>
      <c r="E76" s="6" t="str">
        <f ca="1">IFERROR(__xludf.DUMMYFUNCTION("""COMPUTED_VALUE"""),"ARG")</f>
        <v>ARG</v>
      </c>
      <c r="F76" s="6">
        <f ca="1">IFERROR(__xludf.DUMMYFUNCTION("""COMPUTED_VALUE"""),52192618)</f>
        <v>52192618</v>
      </c>
      <c r="G76" s="37">
        <f ca="1">IFERROR(__xludf.DUMMYFUNCTION("""COMPUTED_VALUE"""),40970)</f>
        <v>40970</v>
      </c>
      <c r="H76" s="38">
        <f ca="1">IFERROR(__xludf.DUMMYFUNCTION("""COMPUTED_VALUE"""),3487314537)</f>
        <v>3487314537</v>
      </c>
      <c r="I76" s="38">
        <f ca="1">IFERROR(__xludf.DUMMYFUNCTION("""COMPUTED_VALUE"""),3487314537)</f>
        <v>3487314537</v>
      </c>
      <c r="J76" s="38" t="str">
        <f ca="1">IFERROR(__xludf.DUMMYFUNCTION("""COMPUTED_VALUE"""),"vanesamledo@gmail.com")</f>
        <v>vanesamledo@gmail.com</v>
      </c>
      <c r="K76" s="38" t="str">
        <f ca="1">IFERROR(__xludf.DUMMYFUNCTION("""COMPUTED_VALUE"""),"Masculino")</f>
        <v>Masculino</v>
      </c>
      <c r="L76" s="36" t="str">
        <f ca="1">IFERROR(__xludf.DUMMYFUNCTION("""COMPUTED_VALUE"""),"CNZ")</f>
        <v>CNZ</v>
      </c>
      <c r="M76" s="38" t="str">
        <f ca="1">IFERROR(__xludf.DUMMYFUNCTION("""COMPUTED_VALUE"""),"Interior (Optimist)")</f>
        <v>Interior (Optimist)</v>
      </c>
      <c r="N76" s="6" t="str">
        <f ca="1">IFERROR(__xludf.DUMMYFUNCTION("""COMPUTED_VALUE"""),"OPTIMIST TIMONELES")</f>
        <v>OPTIMIST TIMONELES</v>
      </c>
      <c r="O76" s="6"/>
      <c r="P76" s="6">
        <f ca="1">IFERROR(__xludf.DUMMYFUNCTION("""COMPUTED_VALUE"""),3819)</f>
        <v>3819</v>
      </c>
      <c r="Q76" s="38"/>
      <c r="R76" s="38"/>
      <c r="S76" s="38"/>
      <c r="T76" s="38"/>
      <c r="U76" s="38"/>
      <c r="V76" s="38"/>
      <c r="W76" s="38"/>
      <c r="X76" s="40" t="str">
        <f ca="1">IFERROR(__xludf.DUMMYFUNCTION("""COMPUTED_VALUE"""),"SWISS MEDICAL")</f>
        <v>SWISS MEDICAL</v>
      </c>
      <c r="Y76" s="6" t="str">
        <f ca="1">IFERROR(__xludf.DUMMYFUNCTION("""COMPUTED_VALUE"""),"Si")</f>
        <v>Si</v>
      </c>
      <c r="Z76" s="6" t="str">
        <f ca="1">IFERROR(__xludf.DUMMYFUNCTION("""COMPUTED_VALUE"""),"Acepto")</f>
        <v>Acepto</v>
      </c>
      <c r="AA76" s="41" t="str">
        <f ca="1">IFERROR(__xludf.DUMMYFUNCTION("""COMPUTED_VALUE"""),"Terminado")</f>
        <v>Terminado</v>
      </c>
      <c r="AB76" s="41">
        <f ca="1">IFERROR(__xludf.DUMMYFUNCTION("""COMPUTED_VALUE"""),50000)</f>
        <v>50000</v>
      </c>
      <c r="AC76" s="6">
        <f ca="1">IFERROR(__xludf.DUMMYFUNCTION("""COMPUTED_VALUE"""),205411)</f>
        <v>205411</v>
      </c>
      <c r="AD76" s="6" t="str">
        <f ca="1">IFERROR(__xludf.DUMMYFUNCTION("""COMPUTED_VALUE"""),"TRF 02-09")</f>
        <v>TRF 02-09</v>
      </c>
      <c r="AE76" s="6"/>
      <c r="AF76" s="6"/>
      <c r="AG76" s="36"/>
    </row>
    <row r="77" spans="1:33" ht="13.2">
      <c r="A77" s="35">
        <f ca="1">IFERROR(__xludf.DUMMYFUNCTION("""COMPUTED_VALUE"""),45539.6338984027)</f>
        <v>45539.633898402702</v>
      </c>
      <c r="B77" s="36" t="str">
        <f ca="1">IFERROR(__xludf.DUMMYFUNCTION("""COMPUTED_VALUE"""),"Paulo M.")</f>
        <v>Paulo M.</v>
      </c>
      <c r="C77" s="36" t="str">
        <f ca="1">IFERROR(__xludf.DUMMYFUNCTION("""COMPUTED_VALUE"""),"Cosentino")</f>
        <v>Cosentino</v>
      </c>
      <c r="D77" s="36" t="str">
        <f ca="1">IFERROR(__xludf.DUMMYFUNCTION("""COMPUTED_VALUE"""),"Buenos Aires")</f>
        <v>Buenos Aires</v>
      </c>
      <c r="E77" s="38" t="str">
        <f ca="1">IFERROR(__xludf.DUMMYFUNCTION("""COMPUTED_VALUE"""),"ARG")</f>
        <v>ARG</v>
      </c>
      <c r="F77" s="6"/>
      <c r="G77" s="37">
        <f ca="1">IFERROR(__xludf.DUMMYFUNCTION("""COMPUTED_VALUE"""),23430)</f>
        <v>23430</v>
      </c>
      <c r="H77" s="38">
        <f ca="1">IFERROR(__xludf.DUMMYFUNCTION("""COMPUTED_VALUE"""),1168285009)</f>
        <v>1168285009</v>
      </c>
      <c r="I77" s="38"/>
      <c r="J77" s="38" t="str">
        <f ca="1">IFERROR(__xludf.DUMMYFUNCTION("""COMPUTED_VALUE"""),"paulo.cosentino@gmail.com")</f>
        <v>paulo.cosentino@gmail.com</v>
      </c>
      <c r="K77" s="38" t="str">
        <f ca="1">IFERROR(__xludf.DUMMYFUNCTION("""COMPUTED_VALUE"""),"Masculino")</f>
        <v>Masculino</v>
      </c>
      <c r="L77" s="36" t="str">
        <f ca="1">IFERROR(__xludf.DUMMYFUNCTION("""COMPUTED_VALUE"""),"YCA")</f>
        <v>YCA</v>
      </c>
      <c r="M77" s="38"/>
      <c r="N77" s="6" t="str">
        <f ca="1">IFERROR(__xludf.DUMMYFUNCTION("""COMPUTED_VALUE"""),"J 70")</f>
        <v>J 70</v>
      </c>
      <c r="O77" s="6" t="str">
        <f ca="1">IFERROR(__xludf.DUMMYFUNCTION("""COMPUTED_VALUE"""),"05")</f>
        <v>05</v>
      </c>
      <c r="P77" s="6" t="str">
        <f ca="1">IFERROR(__xludf.DUMMYFUNCTION("""COMPUTED_VALUE"""),"ARG 1191")</f>
        <v>ARG 1191</v>
      </c>
      <c r="Q77" s="38"/>
      <c r="R77" s="38" t="str">
        <f ca="1">IFERROR(__xludf.DUMMYFUNCTION("""COMPUTED_VALUE"""),"John Lake")</f>
        <v>John Lake</v>
      </c>
      <c r="S77" s="38"/>
      <c r="T77" s="38" t="str">
        <f ca="1">IFERROR(__xludf.DUMMYFUNCTION("""COMPUTED_VALUE"""),"Chavo")</f>
        <v>Chavo</v>
      </c>
      <c r="U77" s="38" t="str">
        <f ca="1">IFERROR(__xludf.DUMMYFUNCTION("""COMPUTED_VALUE"""),"Ninio")</f>
        <v>Ninio</v>
      </c>
      <c r="V77" s="38"/>
      <c r="W77" s="38"/>
      <c r="X77" s="40" t="str">
        <f ca="1">IFERROR(__xludf.DUMMYFUNCTION("""COMPUTED_VALUE"""),"OSDE")</f>
        <v>OSDE</v>
      </c>
      <c r="Y77" s="6" t="str">
        <f ca="1">IFERROR(__xludf.DUMMYFUNCTION("""COMPUTED_VALUE"""),"No")</f>
        <v>No</v>
      </c>
      <c r="Z77" s="6" t="str">
        <f ca="1">IFERROR(__xludf.DUMMYFUNCTION("""COMPUTED_VALUE"""),"Acepto")</f>
        <v>Acepto</v>
      </c>
      <c r="AA77" s="41" t="str">
        <f ca="1">IFERROR(__xludf.DUMMYFUNCTION("""COMPUTED_VALUE"""),"Terminado")</f>
        <v>Terminado</v>
      </c>
      <c r="AB77" s="41">
        <f ca="1">IFERROR(__xludf.DUMMYFUNCTION("""COMPUTED_VALUE"""),80000)</f>
        <v>80000</v>
      </c>
      <c r="AC77" s="6">
        <f ca="1">IFERROR(__xludf.DUMMYFUNCTION("""COMPUTED_VALUE"""),205501)</f>
        <v>205501</v>
      </c>
      <c r="AD77" s="6" t="str">
        <f ca="1">IFERROR(__xludf.DUMMYFUNCTION("""COMPUTED_VALUE"""),"TRF 05-09")</f>
        <v>TRF 05-09</v>
      </c>
      <c r="AE77" s="6"/>
      <c r="AF77" s="6"/>
      <c r="AG77" s="36"/>
    </row>
    <row r="78" spans="1:33" ht="13.2">
      <c r="A78" s="27">
        <f ca="1">IFERROR(__xludf.DUMMYFUNCTION("""COMPUTED_VALUE"""),45535.7324017708)</f>
        <v>45535.732401770802</v>
      </c>
      <c r="B78" s="11" t="str">
        <f ca="1">IFERROR(__xludf.DUMMYFUNCTION("""COMPUTED_VALUE"""),"Marcos")</f>
        <v>Marcos</v>
      </c>
      <c r="C78" s="11" t="str">
        <f ca="1">IFERROR(__xludf.DUMMYFUNCTION("""COMPUTED_VALUE"""),"Costa Urquiza")</f>
        <v>Costa Urquiza</v>
      </c>
      <c r="D78" s="11" t="str">
        <f ca="1">IFERROR(__xludf.DUMMYFUNCTION("""COMPUTED_VALUE"""),"SAN ISIDRO - MARTINEZ")</f>
        <v>SAN ISIDRO - MARTINEZ</v>
      </c>
      <c r="E78" s="12" t="str">
        <f ca="1">IFERROR(__xludf.DUMMYFUNCTION("""COMPUTED_VALUE"""),"ARG")</f>
        <v>ARG</v>
      </c>
      <c r="F78" s="12">
        <f ca="1">IFERROR(__xludf.DUMMYFUNCTION("""COMPUTED_VALUE"""),52764604)</f>
        <v>52764604</v>
      </c>
      <c r="G78" s="28">
        <f ca="1">IFERROR(__xludf.DUMMYFUNCTION("""COMPUTED_VALUE"""),41190)</f>
        <v>41190</v>
      </c>
      <c r="H78" s="12">
        <f ca="1">IFERROR(__xludf.DUMMYFUNCTION("""COMPUTED_VALUE"""),1136972482)</f>
        <v>1136972482</v>
      </c>
      <c r="I78" s="12">
        <f ca="1">IFERROR(__xludf.DUMMYFUNCTION("""COMPUTED_VALUE"""),1150246852)</f>
        <v>1150246852</v>
      </c>
      <c r="J78" s="12" t="str">
        <f ca="1">IFERROR(__xludf.DUMMYFUNCTION("""COMPUTED_VALUE"""),"jcostaurquiza@gmail.com")</f>
        <v>jcostaurquiza@gmail.com</v>
      </c>
      <c r="K78" s="12" t="str">
        <f ca="1">IFERROR(__xludf.DUMMYFUNCTION("""COMPUTED_VALUE"""),"Masculino")</f>
        <v>Masculino</v>
      </c>
      <c r="L78" s="15" t="str">
        <f ca="1">IFERROR(__xludf.DUMMYFUNCTION("""COMPUTED_VALUE"""),"Barrancas")</f>
        <v>Barrancas</v>
      </c>
      <c r="M78" s="11"/>
      <c r="N78" s="12" t="str">
        <f ca="1">IFERROR(__xludf.DUMMYFUNCTION("""COMPUTED_VALUE"""),"OPTIMIST TIMONELES")</f>
        <v>OPTIMIST TIMONELES</v>
      </c>
      <c r="O78" s="12"/>
      <c r="P78" s="12">
        <f ca="1">IFERROR(__xludf.DUMMYFUNCTION("""COMPUTED_VALUE"""),3090)</f>
        <v>3090</v>
      </c>
      <c r="Q78" s="12"/>
      <c r="R78" s="12"/>
      <c r="S78" s="12"/>
      <c r="T78" s="12"/>
      <c r="U78" s="12"/>
      <c r="V78" s="11"/>
      <c r="W78" s="11"/>
      <c r="X78" s="16" t="str">
        <f ca="1">IFERROR(__xludf.DUMMYFUNCTION("""COMPUTED_VALUE"""),"OSDE 61096214004")</f>
        <v>OSDE 61096214004</v>
      </c>
      <c r="Y78" s="12" t="str">
        <f ca="1">IFERROR(__xludf.DUMMYFUNCTION("""COMPUTED_VALUE"""),"Si")</f>
        <v>Si</v>
      </c>
      <c r="Z78" s="12" t="str">
        <f ca="1">IFERROR(__xludf.DUMMYFUNCTION("""COMPUTED_VALUE"""),"Acepto")</f>
        <v>Acepto</v>
      </c>
      <c r="AA78" s="17" t="str">
        <f ca="1">IFERROR(__xludf.DUMMYFUNCTION("""COMPUTED_VALUE"""),"Terminado")</f>
        <v>Terminado</v>
      </c>
      <c r="AB78" s="17">
        <f ca="1">IFERROR(__xludf.DUMMYFUNCTION("""COMPUTED_VALUE"""),50000)</f>
        <v>50000</v>
      </c>
      <c r="AC78" s="6">
        <f ca="1">IFERROR(__xludf.DUMMYFUNCTION("""COMPUTED_VALUE"""),205409)</f>
        <v>205409</v>
      </c>
      <c r="AD78" s="6" t="str">
        <f ca="1">IFERROR(__xludf.DUMMYFUNCTION("""COMPUTED_VALUE"""),"TRF 02-09")</f>
        <v>TRF 02-09</v>
      </c>
      <c r="AE78" s="6"/>
      <c r="AF78" s="12"/>
      <c r="AG78" s="15"/>
    </row>
    <row r="79" spans="1:33" ht="13.2">
      <c r="A79" s="27">
        <f ca="1">IFERROR(__xludf.DUMMYFUNCTION("""COMPUTED_VALUE"""),45531.7845023958)</f>
        <v>45531.7845023958</v>
      </c>
      <c r="B79" s="11" t="str">
        <f ca="1">IFERROR(__xludf.DUMMYFUNCTION("""COMPUTED_VALUE"""),"maría ")</f>
        <v xml:space="preserve">maría </v>
      </c>
      <c r="C79" s="11" t="str">
        <f ca="1">IFERROR(__xludf.DUMMYFUNCTION("""COMPUTED_VALUE"""),"couyet")</f>
        <v>couyet</v>
      </c>
      <c r="D79" s="11" t="str">
        <f ca="1">IFERROR(__xludf.DUMMYFUNCTION("""COMPUTED_VALUE"""),"la plata ")</f>
        <v xml:space="preserve">la plata </v>
      </c>
      <c r="E79" s="12" t="str">
        <f ca="1">IFERROR(__xludf.DUMMYFUNCTION("""COMPUTED_VALUE"""),"ARG")</f>
        <v>ARG</v>
      </c>
      <c r="F79" s="12">
        <f ca="1">IFERROR(__xludf.DUMMYFUNCTION("""COMPUTED_VALUE"""),48094863)</f>
        <v>48094863</v>
      </c>
      <c r="G79" s="28">
        <f ca="1">IFERROR(__xludf.DUMMYFUNCTION("""COMPUTED_VALUE"""),39203)</f>
        <v>39203</v>
      </c>
      <c r="H79" s="12">
        <f ca="1">IFERROR(__xludf.DUMMYFUNCTION("""COMPUTED_VALUE"""),2213041655)</f>
        <v>2213041655</v>
      </c>
      <c r="I79" s="30">
        <f ca="1">IFERROR(__xludf.DUMMYFUNCTION("""COMPUTED_VALUE"""),2214635268)</f>
        <v>2214635268</v>
      </c>
      <c r="J79" s="12" t="str">
        <f ca="1">IFERROR(__xludf.DUMMYFUNCTION("""COMPUTED_VALUE"""),"mariacouyet1@gmail.com")</f>
        <v>mariacouyet1@gmail.com</v>
      </c>
      <c r="K79" s="12" t="str">
        <f ca="1">IFERROR(__xludf.DUMMYFUNCTION("""COMPUTED_VALUE"""),"Femenino")</f>
        <v>Femenino</v>
      </c>
      <c r="L79" s="15" t="str">
        <f ca="1">IFERROR(__xludf.DUMMYFUNCTION("""COMPUTED_VALUE"""),"CRLP")</f>
        <v>CRLP</v>
      </c>
      <c r="M79" s="11" t="str">
        <f ca="1">IFERROR(__xludf.DUMMYFUNCTION("""COMPUTED_VALUE"""),"Femenino")</f>
        <v>Femenino</v>
      </c>
      <c r="N79" s="12" t="str">
        <f ca="1">IFERROR(__xludf.DUMMYFUNCTION("""COMPUTED_VALUE"""),"ILCA 4")</f>
        <v>ILCA 4</v>
      </c>
      <c r="O79" s="12"/>
      <c r="P79" s="12">
        <f ca="1">IFERROR(__xludf.DUMMYFUNCTION("""COMPUTED_VALUE"""),195348)</f>
        <v>195348</v>
      </c>
      <c r="Q79" s="12"/>
      <c r="R79" s="12"/>
      <c r="S79" s="12"/>
      <c r="T79" s="12"/>
      <c r="U79" s="12"/>
      <c r="V79" s="11"/>
      <c r="W79" s="11"/>
      <c r="X79" s="16" t="str">
        <f ca="1">IFERROR(__xludf.DUMMYFUNCTION("""COMPUTED_VALUE"""),"IOMA")</f>
        <v>IOMA</v>
      </c>
      <c r="Y79" s="12" t="str">
        <f ca="1">IFERROR(__xludf.DUMMYFUNCTION("""COMPUTED_VALUE"""),"No")</f>
        <v>No</v>
      </c>
      <c r="Z79" s="12" t="str">
        <f ca="1">IFERROR(__xludf.DUMMYFUNCTION("""COMPUTED_VALUE"""),"Acepto")</f>
        <v>Acepto</v>
      </c>
      <c r="AA79" s="24" t="str">
        <f ca="1">IFERROR(__xludf.DUMMYFUNCTION("""COMPUTED_VALUE"""),"Parcial")</f>
        <v>Parcial</v>
      </c>
      <c r="AB79" s="24">
        <f ca="1">IFERROR(__xludf.DUMMYFUNCTION("""COMPUTED_VALUE"""),40000)</f>
        <v>40000</v>
      </c>
      <c r="AC79" s="6">
        <f ca="1">IFERROR(__xludf.DUMMYFUNCTION("""COMPUTED_VALUE"""),205069)</f>
        <v>205069</v>
      </c>
      <c r="AD79" s="6" t="str">
        <f ca="1">IFERROR(__xludf.DUMMYFUNCTION("""COMPUTED_VALUE"""),"TRF 27-08")</f>
        <v>TRF 27-08</v>
      </c>
      <c r="AE79" s="6"/>
      <c r="AF79" s="12" t="str">
        <f ca="1">IFERROR(__xludf.DUMMYFUNCTION("""COMPUTED_VALUE"""),"Debe saldo")</f>
        <v>Debe saldo</v>
      </c>
      <c r="AG79" s="15"/>
    </row>
    <row r="80" spans="1:33" ht="13.2">
      <c r="A80" s="18">
        <f ca="1">IFERROR(__xludf.DUMMYFUNCTION("""COMPUTED_VALUE"""),45531.4447735879)</f>
        <v>45531.4447735879</v>
      </c>
      <c r="B80" s="19" t="str">
        <f ca="1">IFERROR(__xludf.DUMMYFUNCTION("""COMPUTED_VALUE"""),"Paloma")</f>
        <v>Paloma</v>
      </c>
      <c r="C80" s="19" t="str">
        <f ca="1">IFERROR(__xludf.DUMMYFUNCTION("""COMPUTED_VALUE"""),"Cozar Giuliani")</f>
        <v>Cozar Giuliani</v>
      </c>
      <c r="D80" s="19" t="str">
        <f ca="1">IFERROR(__xludf.DUMMYFUNCTION("""COMPUTED_VALUE"""),"CABA")</f>
        <v>CABA</v>
      </c>
      <c r="E80" s="20" t="str">
        <f ca="1">IFERROR(__xludf.DUMMYFUNCTION("""COMPUTED_VALUE"""),"ARG")</f>
        <v>ARG</v>
      </c>
      <c r="F80" s="20">
        <f ca="1">IFERROR(__xludf.DUMMYFUNCTION("""COMPUTED_VALUE"""),52762420)</f>
        <v>52762420</v>
      </c>
      <c r="G80" s="21">
        <f ca="1">IFERROR(__xludf.DUMMYFUNCTION("""COMPUTED_VALUE"""),41207)</f>
        <v>41207</v>
      </c>
      <c r="H80" s="20">
        <f ca="1">IFERROR(__xludf.DUMMYFUNCTION("""COMPUTED_VALUE"""),1154284469)</f>
        <v>1154284469</v>
      </c>
      <c r="I80" s="20">
        <f ca="1">IFERROR(__xludf.DUMMYFUNCTION("""COMPUTED_VALUE"""),1161298429)</f>
        <v>1161298429</v>
      </c>
      <c r="J80" s="20" t="str">
        <f ca="1">IFERROR(__xludf.DUMMYFUNCTION("""COMPUTED_VALUE"""),"cozarmarcelo@hotmail.com")</f>
        <v>cozarmarcelo@hotmail.com</v>
      </c>
      <c r="K80" s="20" t="str">
        <f ca="1">IFERROR(__xludf.DUMMYFUNCTION("""COMPUTED_VALUE"""),"Femenino")</f>
        <v>Femenino</v>
      </c>
      <c r="L80" s="22" t="str">
        <f ca="1">IFERROR(__xludf.DUMMYFUNCTION("""COMPUTED_VALUE"""),"CNA")</f>
        <v>CNA</v>
      </c>
      <c r="M80" s="19" t="str">
        <f ca="1">IFERROR(__xludf.DUMMYFUNCTION("""COMPUTED_VALUE"""),"Femenino")</f>
        <v>Femenino</v>
      </c>
      <c r="N80" s="20" t="str">
        <f ca="1">IFERROR(__xludf.DUMMYFUNCTION("""COMPUTED_VALUE"""),"OPTIMIST TIMONELES")</f>
        <v>OPTIMIST TIMONELES</v>
      </c>
      <c r="O80" s="20"/>
      <c r="P80" s="20">
        <f ca="1">IFERROR(__xludf.DUMMYFUNCTION("""COMPUTED_VALUE"""),4026)</f>
        <v>4026</v>
      </c>
      <c r="Q80" s="19" t="str">
        <f ca="1">IFERROR(__xludf.DUMMYFUNCTION("""COMPUTED_VALUE"""),"Desafiante")</f>
        <v>Desafiante</v>
      </c>
      <c r="R80" s="33"/>
      <c r="S80" s="19"/>
      <c r="T80" s="19"/>
      <c r="U80" s="19"/>
      <c r="V80" s="19"/>
      <c r="W80" s="19"/>
      <c r="X80" s="23">
        <f ca="1">IFERROR(__xludf.DUMMYFUNCTION("""COMPUTED_VALUE"""),6123142703)</f>
        <v>6123142703</v>
      </c>
      <c r="Y80" s="20" t="str">
        <f ca="1">IFERROR(__xludf.DUMMYFUNCTION("""COMPUTED_VALUE"""),"Si")</f>
        <v>Si</v>
      </c>
      <c r="Z80" s="20" t="str">
        <f ca="1">IFERROR(__xludf.DUMMYFUNCTION("""COMPUTED_VALUE"""),"Acepto")</f>
        <v>Acepto</v>
      </c>
      <c r="AA80" s="24" t="str">
        <f ca="1">IFERROR(__xludf.DUMMYFUNCTION("""COMPUTED_VALUE"""),"Terminado")</f>
        <v>Terminado</v>
      </c>
      <c r="AB80" s="24">
        <f ca="1">IFERROR(__xludf.DUMMYFUNCTION("""COMPUTED_VALUE"""),50000)</f>
        <v>50000</v>
      </c>
      <c r="AC80" s="6">
        <f ca="1">IFERROR(__xludf.DUMMYFUNCTION("""COMPUTED_VALUE"""),205056)</f>
        <v>205056</v>
      </c>
      <c r="AD80" s="6" t="str">
        <f ca="1">IFERROR(__xludf.DUMMYFUNCTION("""COMPUTED_VALUE"""),"TRF 27-08")</f>
        <v>TRF 27-08</v>
      </c>
      <c r="AE80" s="6"/>
      <c r="AF80" s="20"/>
      <c r="AG80" s="22"/>
    </row>
    <row r="81" spans="1:33" ht="13.2">
      <c r="A81" s="27">
        <f ca="1">IFERROR(__xludf.DUMMYFUNCTION("""COMPUTED_VALUE"""),45535.5574080671)</f>
        <v>45535.557408067099</v>
      </c>
      <c r="B81" s="11" t="str">
        <f ca="1">IFERROR(__xludf.DUMMYFUNCTION("""COMPUTED_VALUE"""),"Francisco")</f>
        <v>Francisco</v>
      </c>
      <c r="C81" s="11" t="str">
        <f ca="1">IFERROR(__xludf.DUMMYFUNCTION("""COMPUTED_VALUE"""),"Crespi")</f>
        <v>Crespi</v>
      </c>
      <c r="D81" s="11" t="str">
        <f ca="1">IFERROR(__xludf.DUMMYFUNCTION("""COMPUTED_VALUE"""),"Puerto Madryn")</f>
        <v>Puerto Madryn</v>
      </c>
      <c r="E81" s="12" t="str">
        <f ca="1">IFERROR(__xludf.DUMMYFUNCTION("""COMPUTED_VALUE"""),"ARG")</f>
        <v>ARG</v>
      </c>
      <c r="F81" s="12">
        <f ca="1">IFERROR(__xludf.DUMMYFUNCTION("""COMPUTED_VALUE"""),51104355)</f>
        <v>51104355</v>
      </c>
      <c r="G81" s="28">
        <f ca="1">IFERROR(__xludf.DUMMYFUNCTION("""COMPUTED_VALUE"""),40813)</f>
        <v>40813</v>
      </c>
      <c r="H81" s="12">
        <f ca="1">IFERROR(__xludf.DUMMYFUNCTION("""COMPUTED_VALUE"""),2804567157)</f>
        <v>2804567157</v>
      </c>
      <c r="I81" s="12">
        <f ca="1">IFERROR(__xludf.DUMMYFUNCTION("""COMPUTED_VALUE"""),2804567157)</f>
        <v>2804567157</v>
      </c>
      <c r="J81" s="12" t="str">
        <f ca="1">IFERROR(__xludf.DUMMYFUNCTION("""COMPUTED_VALUE"""),"augustocrespi@gmail.com")</f>
        <v>augustocrespi@gmail.com</v>
      </c>
      <c r="K81" s="12" t="str">
        <f ca="1">IFERROR(__xludf.DUMMYFUNCTION("""COMPUTED_VALUE"""),"Masculino")</f>
        <v>Masculino</v>
      </c>
      <c r="L81" s="15" t="str">
        <f ca="1">IFERROR(__xludf.DUMMYFUNCTION("""COMPUTED_VALUE"""),"CNAS")</f>
        <v>CNAS</v>
      </c>
      <c r="M81" s="11" t="str">
        <f ca="1">IFERROR(__xludf.DUMMYFUNCTION("""COMPUTED_VALUE"""),"Interior (Optimist)")</f>
        <v>Interior (Optimist)</v>
      </c>
      <c r="N81" s="12" t="str">
        <f ca="1">IFERROR(__xludf.DUMMYFUNCTION("""COMPUTED_VALUE"""),"OPTIMIST TIMONELES")</f>
        <v>OPTIMIST TIMONELES</v>
      </c>
      <c r="O81" s="12"/>
      <c r="P81" s="12">
        <f ca="1">IFERROR(__xludf.DUMMYFUNCTION("""COMPUTED_VALUE"""),3766)</f>
        <v>3766</v>
      </c>
      <c r="Q81" s="12" t="str">
        <f ca="1">IFERROR(__xludf.DUMMYFUNCTION("""COMPUTED_VALUE"""),"Hau Pai")</f>
        <v>Hau Pai</v>
      </c>
      <c r="R81" s="12"/>
      <c r="S81" s="12"/>
      <c r="T81" s="12"/>
      <c r="U81" s="12"/>
      <c r="V81" s="11"/>
      <c r="W81" s="11"/>
      <c r="X81" s="16" t="str">
        <f ca="1">IFERROR(__xludf.DUMMYFUNCTION("""COMPUTED_VALUE"""),"SEROS 51104355")</f>
        <v>SEROS 51104355</v>
      </c>
      <c r="Y81" s="12" t="str">
        <f ca="1">IFERROR(__xludf.DUMMYFUNCTION("""COMPUTED_VALUE"""),"Si")</f>
        <v>Si</v>
      </c>
      <c r="Z81" s="12" t="str">
        <f ca="1">IFERROR(__xludf.DUMMYFUNCTION("""COMPUTED_VALUE"""),"Acepto")</f>
        <v>Acepto</v>
      </c>
      <c r="AA81" s="24" t="str">
        <f ca="1">IFERROR(__xludf.DUMMYFUNCTION("""COMPUTED_VALUE"""),"Terminado")</f>
        <v>Terminado</v>
      </c>
      <c r="AB81" s="24">
        <f ca="1">IFERROR(__xludf.DUMMYFUNCTION("""COMPUTED_VALUE"""),42500)</f>
        <v>42500</v>
      </c>
      <c r="AC81" s="6">
        <f ca="1">IFERROR(__xludf.DUMMYFUNCTION("""COMPUTED_VALUE"""),205153)</f>
        <v>205153</v>
      </c>
      <c r="AD81" s="6" t="str">
        <f ca="1">IFERROR(__xludf.DUMMYFUNCTION("""COMPUTED_VALUE"""),"TRF 31-08")</f>
        <v>TRF 31-08</v>
      </c>
      <c r="AE81" s="6"/>
      <c r="AF81" s="12"/>
      <c r="AG81" s="15"/>
    </row>
    <row r="82" spans="1:33" ht="13.2">
      <c r="A82" s="18">
        <f ca="1">IFERROR(__xludf.DUMMYFUNCTION("""COMPUTED_VALUE"""),45535.6785269791)</f>
        <v>45535.6785269791</v>
      </c>
      <c r="B82" s="19" t="str">
        <f ca="1">IFERROR(__xludf.DUMMYFUNCTION("""COMPUTED_VALUE"""),"Juana")</f>
        <v>Juana</v>
      </c>
      <c r="C82" s="19" t="str">
        <f ca="1">IFERROR(__xludf.DUMMYFUNCTION("""COMPUTED_VALUE"""),"Crola")</f>
        <v>Crola</v>
      </c>
      <c r="D82" s="19" t="str">
        <f ca="1">IFERROR(__xludf.DUMMYFUNCTION("""COMPUTED_VALUE"""),"La Plata")</f>
        <v>La Plata</v>
      </c>
      <c r="E82" s="20" t="str">
        <f ca="1">IFERROR(__xludf.DUMMYFUNCTION("""COMPUTED_VALUE"""),"ARG")</f>
        <v>ARG</v>
      </c>
      <c r="F82" s="20">
        <f ca="1">IFERROR(__xludf.DUMMYFUNCTION("""COMPUTED_VALUE"""),46269301)</f>
        <v>46269301</v>
      </c>
      <c r="G82" s="31">
        <f ca="1">IFERROR(__xludf.DUMMYFUNCTION("""COMPUTED_VALUE"""),38303)</f>
        <v>38303</v>
      </c>
      <c r="H82" s="19">
        <f ca="1">IFERROR(__xludf.DUMMYFUNCTION("""COMPUTED_VALUE"""),92214976531)</f>
        <v>92214976531</v>
      </c>
      <c r="I82" s="19">
        <f ca="1">IFERROR(__xludf.DUMMYFUNCTION("""COMPUTED_VALUE"""),92214976531)</f>
        <v>92214976531</v>
      </c>
      <c r="J82" s="19" t="str">
        <f ca="1">IFERROR(__xludf.DUMMYFUNCTION("""COMPUTED_VALUE"""),"juanacrola1@gmail.com")</f>
        <v>juanacrola1@gmail.com</v>
      </c>
      <c r="K82" s="19" t="str">
        <f ca="1">IFERROR(__xludf.DUMMYFUNCTION("""COMPUTED_VALUE"""),"Femenino")</f>
        <v>Femenino</v>
      </c>
      <c r="L82" s="22" t="str">
        <f ca="1">IFERROR(__xludf.DUMMYFUNCTION("""COMPUTED_VALUE"""),"CRLP")</f>
        <v>CRLP</v>
      </c>
      <c r="M82" s="19" t="str">
        <f ca="1">IFERROR(__xludf.DUMMYFUNCTION("""COMPUTED_VALUE"""),"Femenino")</f>
        <v>Femenino</v>
      </c>
      <c r="N82" s="20" t="str">
        <f ca="1">IFERROR(__xludf.DUMMYFUNCTION("""COMPUTED_VALUE"""),"ILCA 4")</f>
        <v>ILCA 4</v>
      </c>
      <c r="O82" s="20"/>
      <c r="P82" s="20">
        <f ca="1">IFERROR(__xludf.DUMMYFUNCTION("""COMPUTED_VALUE"""),195396)</f>
        <v>195396</v>
      </c>
      <c r="Q82" s="19"/>
      <c r="R82" s="19"/>
      <c r="S82" s="19"/>
      <c r="T82" s="19"/>
      <c r="U82" s="19"/>
      <c r="V82" s="19"/>
      <c r="W82" s="19"/>
      <c r="X82" s="23">
        <f ca="1">IFERROR(__xludf.DUMMYFUNCTION("""COMPUTED_VALUE"""),2217367204)</f>
        <v>2217367204</v>
      </c>
      <c r="Y82" s="20" t="str">
        <f ca="1">IFERROR(__xludf.DUMMYFUNCTION("""COMPUTED_VALUE"""),"No")</f>
        <v>No</v>
      </c>
      <c r="Z82" s="20" t="str">
        <f ca="1">IFERROR(__xludf.DUMMYFUNCTION("""COMPUTED_VALUE"""),"Acepto")</f>
        <v>Acepto</v>
      </c>
      <c r="AA82" s="17" t="str">
        <f ca="1">IFERROR(__xludf.DUMMYFUNCTION("""COMPUTED_VALUE"""),"Terminado")</f>
        <v>Terminado</v>
      </c>
      <c r="AB82" s="17">
        <f ca="1">IFERROR(__xludf.DUMMYFUNCTION("""COMPUTED_VALUE"""),45000)</f>
        <v>45000</v>
      </c>
      <c r="AC82" s="6" t="str">
        <f ca="1">IFERROR(__xludf.DUMMYFUNCTION("""COMPUTED_VALUE"""),"205170/205365")</f>
        <v>205170/205365</v>
      </c>
      <c r="AD82" s="6" t="str">
        <f ca="1">IFERROR(__xludf.DUMMYFUNCTION("""COMPUTED_VALUE"""),"TRF 31-08")</f>
        <v>TRF 31-08</v>
      </c>
      <c r="AE82" s="6"/>
      <c r="AF82" s="20"/>
      <c r="AG82" s="22"/>
    </row>
    <row r="83" spans="1:33" ht="13.2">
      <c r="A83" s="18">
        <f ca="1">IFERROR(__xludf.DUMMYFUNCTION("""COMPUTED_VALUE"""),45536.359248993)</f>
        <v>45536.359248993002</v>
      </c>
      <c r="B83" s="19" t="str">
        <f ca="1">IFERROR(__xludf.DUMMYFUNCTION("""COMPUTED_VALUE"""),"Maria Emilia")</f>
        <v>Maria Emilia</v>
      </c>
      <c r="C83" s="19" t="str">
        <f ca="1">IFERROR(__xludf.DUMMYFUNCTION("""COMPUTED_VALUE"""),"D’ottavio")</f>
        <v>D’ottavio</v>
      </c>
      <c r="D83" s="19" t="str">
        <f ca="1">IFERROR(__xludf.DUMMYFUNCTION("""COMPUTED_VALUE"""),"Rosario")</f>
        <v>Rosario</v>
      </c>
      <c r="E83" s="20" t="str">
        <f ca="1">IFERROR(__xludf.DUMMYFUNCTION("""COMPUTED_VALUE"""),"ARG")</f>
        <v>ARG</v>
      </c>
      <c r="F83" s="20">
        <f ca="1">IFERROR(__xludf.DUMMYFUNCTION("""COMPUTED_VALUE"""),50240962)</f>
        <v>50240962</v>
      </c>
      <c r="G83" s="21">
        <f ca="1">IFERROR(__xludf.DUMMYFUNCTION("""COMPUTED_VALUE"""),40257)</f>
        <v>40257</v>
      </c>
      <c r="H83" s="20">
        <f ca="1">IFERROR(__xludf.DUMMYFUNCTION("""COMPUTED_VALUE"""),3415694188)</f>
        <v>3415694188</v>
      </c>
      <c r="I83" s="42">
        <f ca="1">IFERROR(__xludf.DUMMYFUNCTION("""COMPUTED_VALUE"""),3415694188)</f>
        <v>3415694188</v>
      </c>
      <c r="J83" s="20" t="str">
        <f ca="1">IFERROR(__xludf.DUMMYFUNCTION("""COMPUTED_VALUE"""),"gabrielavicentin@hotmail.com")</f>
        <v>gabrielavicentin@hotmail.com</v>
      </c>
      <c r="K83" s="20" t="str">
        <f ca="1">IFERROR(__xludf.DUMMYFUNCTION("""COMPUTED_VALUE"""),"Femenino")</f>
        <v>Femenino</v>
      </c>
      <c r="L83" s="22" t="str">
        <f ca="1">IFERROR(__xludf.DUMMYFUNCTION("""COMPUTED_VALUE"""),"CVR")</f>
        <v>CVR</v>
      </c>
      <c r="M83" s="19" t="str">
        <f ca="1">IFERROR(__xludf.DUMMYFUNCTION("""COMPUTED_VALUE"""),"Interior (Optimist)")</f>
        <v>Interior (Optimist)</v>
      </c>
      <c r="N83" s="20" t="str">
        <f ca="1">IFERROR(__xludf.DUMMYFUNCTION("""COMPUTED_VALUE"""),"OPTIMIST TIMONELES")</f>
        <v>OPTIMIST TIMONELES</v>
      </c>
      <c r="O83" s="20" t="str">
        <f ca="1">IFERROR(__xludf.DUMMYFUNCTION("""COMPUTED_VALUE"""),"Ni idea")</f>
        <v>Ni idea</v>
      </c>
      <c r="P83" s="20">
        <f ca="1">IFERROR(__xludf.DUMMYFUNCTION("""COMPUTED_VALUE"""),3984)</f>
        <v>3984</v>
      </c>
      <c r="Q83" s="19">
        <f ca="1">IFERROR(__xludf.DUMMYFUNCTION("""COMPUTED_VALUE"""),3984)</f>
        <v>3984</v>
      </c>
      <c r="R83" s="19"/>
      <c r="S83" s="19"/>
      <c r="T83" s="19"/>
      <c r="U83" s="19"/>
      <c r="V83" s="19"/>
      <c r="W83" s="19"/>
      <c r="X83" s="23" t="str">
        <f ca="1">IFERROR(__xludf.DUMMYFUNCTION("""COMPUTED_VALUE"""),"OSPAC")</f>
        <v>OSPAC</v>
      </c>
      <c r="Y83" s="20" t="str">
        <f ca="1">IFERROR(__xludf.DUMMYFUNCTION("""COMPUTED_VALUE"""),"No")</f>
        <v>No</v>
      </c>
      <c r="Z83" s="20" t="str">
        <f ca="1">IFERROR(__xludf.DUMMYFUNCTION("""COMPUTED_VALUE"""),"Acepto")</f>
        <v>Acepto</v>
      </c>
      <c r="AA83" s="17" t="str">
        <f ca="1">IFERROR(__xludf.DUMMYFUNCTION("""COMPUTED_VALUE"""),"Terminado")</f>
        <v>Terminado</v>
      </c>
      <c r="AB83" s="17">
        <f ca="1">IFERROR(__xludf.DUMMYFUNCTION("""COMPUTED_VALUE"""),70000)</f>
        <v>70000</v>
      </c>
      <c r="AC83" s="6">
        <f ca="1">IFERROR(__xludf.DUMMYFUNCTION("""COMPUTED_VALUE"""),205335)</f>
        <v>205335</v>
      </c>
      <c r="AD83" s="6" t="str">
        <f ca="1">IFERROR(__xludf.DUMMYFUNCTION("""COMPUTED_VALUE"""),"TRF 01-09")</f>
        <v>TRF 01-09</v>
      </c>
      <c r="AE83" s="6"/>
      <c r="AF83" s="20"/>
      <c r="AG83" s="22"/>
    </row>
    <row r="84" spans="1:33" ht="13.2">
      <c r="A84" s="35">
        <f ca="1">IFERROR(__xludf.DUMMYFUNCTION("""COMPUTED_VALUE"""),45536.356720949)</f>
        <v>45536.356720948999</v>
      </c>
      <c r="B84" s="36" t="str">
        <f ca="1">IFERROR(__xludf.DUMMYFUNCTION("""COMPUTED_VALUE"""),"Bautista ")</f>
        <v xml:space="preserve">Bautista </v>
      </c>
      <c r="C84" s="36" t="str">
        <f ca="1">IFERROR(__xludf.DUMMYFUNCTION("""COMPUTED_VALUE"""),"D’Ottavio ")</f>
        <v xml:space="preserve">D’Ottavio </v>
      </c>
      <c r="D84" s="36" t="str">
        <f ca="1">IFERROR(__xludf.DUMMYFUNCTION("""COMPUTED_VALUE"""),"Rosario")</f>
        <v>Rosario</v>
      </c>
      <c r="E84" s="6" t="str">
        <f ca="1">IFERROR(__xludf.DUMMYFUNCTION("""COMPUTED_VALUE"""),"ARG")</f>
        <v>ARG</v>
      </c>
      <c r="F84" s="6">
        <f ca="1">IFERROR(__xludf.DUMMYFUNCTION("""COMPUTED_VALUE"""),52366183)</f>
        <v>52366183</v>
      </c>
      <c r="G84" s="37">
        <f ca="1">IFERROR(__xludf.DUMMYFUNCTION("""COMPUTED_VALUE"""),40963)</f>
        <v>40963</v>
      </c>
      <c r="H84" s="38">
        <f ca="1">IFERROR(__xludf.DUMMYFUNCTION("""COMPUTED_VALUE"""),3415694188)</f>
        <v>3415694188</v>
      </c>
      <c r="I84" s="39">
        <f ca="1">IFERROR(__xludf.DUMMYFUNCTION("""COMPUTED_VALUE"""),3415694188)</f>
        <v>3415694188</v>
      </c>
      <c r="J84" s="38" t="str">
        <f ca="1">IFERROR(__xludf.DUMMYFUNCTION("""COMPUTED_VALUE"""),"gabrielavicentin@hotmail.com")</f>
        <v>gabrielavicentin@hotmail.com</v>
      </c>
      <c r="K84" s="38" t="str">
        <f ca="1">IFERROR(__xludf.DUMMYFUNCTION("""COMPUTED_VALUE"""),"Masculino")</f>
        <v>Masculino</v>
      </c>
      <c r="L84" s="36" t="str">
        <f ca="1">IFERROR(__xludf.DUMMYFUNCTION("""COMPUTED_VALUE"""),"CVR")</f>
        <v>CVR</v>
      </c>
      <c r="M84" s="38" t="str">
        <f ca="1">IFERROR(__xludf.DUMMYFUNCTION("""COMPUTED_VALUE"""),"Interior (Optimist)")</f>
        <v>Interior (Optimist)</v>
      </c>
      <c r="N84" s="6" t="str">
        <f ca="1">IFERROR(__xludf.DUMMYFUNCTION("""COMPUTED_VALUE"""),"OPTIMIST TIMONELES")</f>
        <v>OPTIMIST TIMONELES</v>
      </c>
      <c r="O84" s="6" t="str">
        <f ca="1">IFERROR(__xludf.DUMMYFUNCTION("""COMPUTED_VALUE"""),"Ni idea")</f>
        <v>Ni idea</v>
      </c>
      <c r="P84" s="6">
        <f ca="1">IFERROR(__xludf.DUMMYFUNCTION("""COMPUTED_VALUE"""),3996)</f>
        <v>3996</v>
      </c>
      <c r="Q84" s="38">
        <f ca="1">IFERROR(__xludf.DUMMYFUNCTION("""COMPUTED_VALUE"""),3996)</f>
        <v>3996</v>
      </c>
      <c r="R84" s="38"/>
      <c r="S84" s="38"/>
      <c r="T84" s="38"/>
      <c r="U84" s="38"/>
      <c r="V84" s="38"/>
      <c r="W84" s="38"/>
      <c r="X84" s="40" t="str">
        <f ca="1">IFERROR(__xludf.DUMMYFUNCTION("""COMPUTED_VALUE"""),"OSPAC ")</f>
        <v xml:space="preserve">OSPAC </v>
      </c>
      <c r="Y84" s="6" t="str">
        <f ca="1">IFERROR(__xludf.DUMMYFUNCTION("""COMPUTED_VALUE"""),"No")</f>
        <v>No</v>
      </c>
      <c r="Z84" s="6" t="str">
        <f ca="1">IFERROR(__xludf.DUMMYFUNCTION("""COMPUTED_VALUE"""),"Acepto")</f>
        <v>Acepto</v>
      </c>
      <c r="AA84" s="41" t="str">
        <f ca="1">IFERROR(__xludf.DUMMYFUNCTION("""COMPUTED_VALUE"""),"Terminado")</f>
        <v>Terminado</v>
      </c>
      <c r="AB84" s="41">
        <f ca="1">IFERROR(__xludf.DUMMYFUNCTION("""COMPUTED_VALUE"""),70000)</f>
        <v>70000</v>
      </c>
      <c r="AC84" s="6">
        <f ca="1">IFERROR(__xludf.DUMMYFUNCTION("""COMPUTED_VALUE"""),205335)</f>
        <v>205335</v>
      </c>
      <c r="AD84" s="6" t="str">
        <f ca="1">IFERROR(__xludf.DUMMYFUNCTION("""COMPUTED_VALUE"""),"TRF 01-09")</f>
        <v>TRF 01-09</v>
      </c>
      <c r="AE84" s="6"/>
      <c r="AF84" s="6"/>
      <c r="AG84" s="36"/>
    </row>
    <row r="85" spans="1:33" ht="13.2">
      <c r="A85" s="27">
        <f ca="1">IFERROR(__xludf.DUMMYFUNCTION("""COMPUTED_VALUE"""),45536.7139624305)</f>
        <v>45536.713962430498</v>
      </c>
      <c r="B85" s="11" t="str">
        <f ca="1">IFERROR(__xludf.DUMMYFUNCTION("""COMPUTED_VALUE"""),"Oscar")</f>
        <v>Oscar</v>
      </c>
      <c r="C85" s="11" t="str">
        <f ca="1">IFERROR(__xludf.DUMMYFUNCTION("""COMPUTED_VALUE"""),"Dagnino")</f>
        <v>Dagnino</v>
      </c>
      <c r="D85" s="11" t="str">
        <f ca="1">IFERROR(__xludf.DUMMYFUNCTION("""COMPUTED_VALUE"""),"Caba")</f>
        <v>Caba</v>
      </c>
      <c r="E85" s="12" t="str">
        <f ca="1">IFERROR(__xludf.DUMMYFUNCTION("""COMPUTED_VALUE"""),"ARG")</f>
        <v>ARG</v>
      </c>
      <c r="F85" s="12">
        <f ca="1">IFERROR(__xludf.DUMMYFUNCTION("""COMPUTED_VALUE"""),26194526)</f>
        <v>26194526</v>
      </c>
      <c r="G85" s="13">
        <f ca="1">IFERROR(__xludf.DUMMYFUNCTION("""COMPUTED_VALUE"""),28349)</f>
        <v>28349</v>
      </c>
      <c r="H85" s="14">
        <f ca="1">IFERROR(__xludf.DUMMYFUNCTION("""COMPUTED_VALUE"""),1151214394)</f>
        <v>1151214394</v>
      </c>
      <c r="I85" s="34"/>
      <c r="J85" s="11" t="str">
        <f ca="1">IFERROR(__xludf.DUMMYFUNCTION("""COMPUTED_VALUE"""),"ventas@yeseriadagnino.com.ar")</f>
        <v>ventas@yeseriadagnino.com.ar</v>
      </c>
      <c r="K85" s="11" t="str">
        <f ca="1">IFERROR(__xludf.DUMMYFUNCTION("""COMPUTED_VALUE"""),"Masculino")</f>
        <v>Masculino</v>
      </c>
      <c r="L85" s="15" t="str">
        <f ca="1">IFERROR(__xludf.DUMMYFUNCTION("""COMPUTED_VALUE"""),"Cno-Cngsm")</f>
        <v>Cno-Cngsm</v>
      </c>
      <c r="M85" s="11" t="str">
        <f ca="1">IFERROR(__xludf.DUMMYFUNCTION("""COMPUTED_VALUE"""),"Corinthians")</f>
        <v>Corinthians</v>
      </c>
      <c r="N85" s="12" t="str">
        <f ca="1">IFERROR(__xludf.DUMMYFUNCTION("""COMPUTED_VALUE"""),"J 70")</f>
        <v>J 70</v>
      </c>
      <c r="O85" s="12">
        <f ca="1">IFERROR(__xludf.DUMMYFUNCTION("""COMPUTED_VALUE"""),41)</f>
        <v>41</v>
      </c>
      <c r="P85" s="12">
        <f ca="1">IFERROR(__xludf.DUMMYFUNCTION("""COMPUTED_VALUE"""),1552)</f>
        <v>1552</v>
      </c>
      <c r="Q85" s="11" t="str">
        <f ca="1">IFERROR(__xludf.DUMMYFUNCTION("""COMPUTED_VALUE"""),"Project")</f>
        <v>Project</v>
      </c>
      <c r="R85" s="11" t="str">
        <f ca="1">IFERROR(__xludf.DUMMYFUNCTION("""COMPUTED_VALUE"""),"Pablo Giannavola ")</f>
        <v xml:space="preserve">Pablo Giannavola </v>
      </c>
      <c r="S85" s="11" t="str">
        <f ca="1">IFERROR(__xludf.DUMMYFUNCTION("""COMPUTED_VALUE"""),"Pablo Piñeyro ")</f>
        <v xml:space="preserve">Pablo Piñeyro </v>
      </c>
      <c r="T85" s="11" t="str">
        <f ca="1">IFERROR(__xludf.DUMMYFUNCTION("""COMPUTED_VALUE"""),"Anabella Dagnino")</f>
        <v>Anabella Dagnino</v>
      </c>
      <c r="U85" s="11"/>
      <c r="V85" s="11"/>
      <c r="W85" s="11"/>
      <c r="X85" s="16"/>
      <c r="Y85" s="12" t="str">
        <f ca="1">IFERROR(__xludf.DUMMYFUNCTION("""COMPUTED_VALUE"""),"No")</f>
        <v>No</v>
      </c>
      <c r="Z85" s="12" t="str">
        <f ca="1">IFERROR(__xludf.DUMMYFUNCTION("""COMPUTED_VALUE"""),"Acepto")</f>
        <v>Acepto</v>
      </c>
      <c r="AA85" s="24" t="str">
        <f ca="1">IFERROR(__xludf.DUMMYFUNCTION("""COMPUTED_VALUE"""),"Terminado")</f>
        <v>Terminado</v>
      </c>
      <c r="AB85" s="24">
        <f ca="1">IFERROR(__xludf.DUMMYFUNCTION("""COMPUTED_VALUE"""),80000)</f>
        <v>80000</v>
      </c>
      <c r="AC85" s="6">
        <f ca="1">IFERROR(__xludf.DUMMYFUNCTION("""COMPUTED_VALUE"""),205406)</f>
        <v>205406</v>
      </c>
      <c r="AD85" s="6" t="str">
        <f ca="1">IFERROR(__xludf.DUMMYFUNCTION("""COMPUTED_VALUE"""),"TRF 02-09")</f>
        <v>TRF 02-09</v>
      </c>
      <c r="AE85" s="6"/>
      <c r="AF85" s="12" t="str">
        <f ca="1">IFERROR(__xludf.DUMMYFUNCTION("""COMPUTED_VALUE"""),"Si")</f>
        <v>Si</v>
      </c>
      <c r="AG85" s="15"/>
    </row>
    <row r="86" spans="1:33" ht="13.2">
      <c r="A86" s="18">
        <f ca="1">IFERROR(__xludf.DUMMYFUNCTION("""COMPUTED_VALUE"""),45531.7889308333)</f>
        <v>45531.788930833303</v>
      </c>
      <c r="B86" s="19" t="str">
        <f ca="1">IFERROR(__xludf.DUMMYFUNCTION("""COMPUTED_VALUE"""),"Isabel")</f>
        <v>Isabel</v>
      </c>
      <c r="C86" s="19" t="str">
        <f ca="1">IFERROR(__xludf.DUMMYFUNCTION("""COMPUTED_VALUE"""),"de Arriba")</f>
        <v>de Arriba</v>
      </c>
      <c r="D86" s="19" t="str">
        <f ca="1">IFERROR(__xludf.DUMMYFUNCTION("""COMPUTED_VALUE"""),"República de Saavedra, Capital Federal")</f>
        <v>República de Saavedra, Capital Federal</v>
      </c>
      <c r="E86" s="20" t="str">
        <f ca="1">IFERROR(__xludf.DUMMYFUNCTION("""COMPUTED_VALUE"""),"ARG")</f>
        <v>ARG</v>
      </c>
      <c r="F86" s="20">
        <f ca="1">IFERROR(__xludf.DUMMYFUNCTION("""COMPUTED_VALUE"""),52440140)</f>
        <v>52440140</v>
      </c>
      <c r="G86" s="31">
        <f ca="1">IFERROR(__xludf.DUMMYFUNCTION("""COMPUTED_VALUE"""),41015)</f>
        <v>41015</v>
      </c>
      <c r="H86" s="19">
        <f ca="1">IFERROR(__xludf.DUMMYFUNCTION("""COMPUTED_VALUE"""),1161681234)</f>
        <v>1161681234</v>
      </c>
      <c r="I86" s="19">
        <f ca="1">IFERROR(__xludf.DUMMYFUNCTION("""COMPUTED_VALUE"""),1131710227)</f>
        <v>1131710227</v>
      </c>
      <c r="J86" s="19" t="str">
        <f ca="1">IFERROR(__xludf.DUMMYFUNCTION("""COMPUTED_VALUE"""),"dearribaisabel@gmail.com")</f>
        <v>dearribaisabel@gmail.com</v>
      </c>
      <c r="K86" s="19" t="str">
        <f ca="1">IFERROR(__xludf.DUMMYFUNCTION("""COMPUTED_VALUE"""),"Femenino")</f>
        <v>Femenino</v>
      </c>
      <c r="L86" s="22" t="str">
        <f ca="1">IFERROR(__xludf.DUMMYFUNCTION("""COMPUTED_VALUE"""),"CGLNM")</f>
        <v>CGLNM</v>
      </c>
      <c r="M86" s="19" t="str">
        <f ca="1">IFERROR(__xludf.DUMMYFUNCTION("""COMPUTED_VALUE"""),"Femenino")</f>
        <v>Femenino</v>
      </c>
      <c r="N86" s="20" t="str">
        <f ca="1">IFERROR(__xludf.DUMMYFUNCTION("""COMPUTED_VALUE"""),"OPTIMIST PRINCIPIANTES")</f>
        <v>OPTIMIST PRINCIPIANTES</v>
      </c>
      <c r="O86" s="20"/>
      <c r="P86" s="20">
        <f ca="1">IFERROR(__xludf.DUMMYFUNCTION("""COMPUTED_VALUE"""),3625)</f>
        <v>3625</v>
      </c>
      <c r="Q86" s="19" t="str">
        <f ca="1">IFERROR(__xludf.DUMMYFUNCTION("""COMPUTED_VALUE"""),"Merluza")</f>
        <v>Merluza</v>
      </c>
      <c r="R86" s="19" t="str">
        <f ca="1">IFERROR(__xludf.DUMMYFUNCTION("""COMPUTED_VALUE"""),"Isabel de Arriba")</f>
        <v>Isabel de Arriba</v>
      </c>
      <c r="S86" s="19"/>
      <c r="T86" s="19"/>
      <c r="U86" s="19"/>
      <c r="V86" s="19"/>
      <c r="W86" s="19"/>
      <c r="X86" s="23">
        <f ca="1">IFERROR(__xludf.DUMMYFUNCTION("""COMPUTED_VALUE"""),61407799002)</f>
        <v>61407799002</v>
      </c>
      <c r="Y86" s="20" t="str">
        <f ca="1">IFERROR(__xludf.DUMMYFUNCTION("""COMPUTED_VALUE"""),"Si")</f>
        <v>Si</v>
      </c>
      <c r="Z86" s="20" t="str">
        <f ca="1">IFERROR(__xludf.DUMMYFUNCTION("""COMPUTED_VALUE"""),"Acepto")</f>
        <v>Acepto</v>
      </c>
      <c r="AA86" s="17" t="str">
        <f ca="1">IFERROR(__xludf.DUMMYFUNCTION("""COMPUTED_VALUE"""),"Pendiente")</f>
        <v>Pendiente</v>
      </c>
      <c r="AB86" s="17"/>
      <c r="AC86" s="6"/>
      <c r="AD86" s="6"/>
      <c r="AE86" s="6"/>
      <c r="AF86" s="20"/>
      <c r="AG86" s="22"/>
    </row>
    <row r="87" spans="1:33" ht="13.2">
      <c r="A87" s="27">
        <f ca="1">IFERROR(__xludf.DUMMYFUNCTION("""COMPUTED_VALUE"""),45535.4469629861)</f>
        <v>45535.446962986098</v>
      </c>
      <c r="B87" s="11" t="str">
        <f ca="1">IFERROR(__xludf.DUMMYFUNCTION("""COMPUTED_VALUE"""),"Lautaro Julián")</f>
        <v>Lautaro Julián</v>
      </c>
      <c r="C87" s="11" t="str">
        <f ca="1">IFERROR(__xludf.DUMMYFUNCTION("""COMPUTED_VALUE"""),"DE BAGGE")</f>
        <v>DE BAGGE</v>
      </c>
      <c r="D87" s="11" t="str">
        <f ca="1">IFERROR(__xludf.DUMMYFUNCTION("""COMPUTED_VALUE"""),"CABA")</f>
        <v>CABA</v>
      </c>
      <c r="E87" s="12" t="str">
        <f ca="1">IFERROR(__xludf.DUMMYFUNCTION("""COMPUTED_VALUE"""),"ARG")</f>
        <v>ARG</v>
      </c>
      <c r="F87" s="12">
        <f ca="1">IFERROR(__xludf.DUMMYFUNCTION("""COMPUTED_VALUE"""),49961664)</f>
        <v>49961664</v>
      </c>
      <c r="G87" s="28">
        <f ca="1">IFERROR(__xludf.DUMMYFUNCTION("""COMPUTED_VALUE"""),40198)</f>
        <v>40198</v>
      </c>
      <c r="H87" s="12">
        <f ca="1">IFERROR(__xludf.DUMMYFUNCTION("""COMPUTED_VALUE"""),1156549521)</f>
        <v>1156549521</v>
      </c>
      <c r="I87" s="12">
        <f ca="1">IFERROR(__xludf.DUMMYFUNCTION("""COMPUTED_VALUE"""),1156549521)</f>
        <v>1156549521</v>
      </c>
      <c r="J87" s="12" t="str">
        <f ca="1">IFERROR(__xludf.DUMMYFUNCTION("""COMPUTED_VALUE"""),"mdebagge@hotmail.com")</f>
        <v>mdebagge@hotmail.com</v>
      </c>
      <c r="K87" s="12" t="str">
        <f ca="1">IFERROR(__xludf.DUMMYFUNCTION("""COMPUTED_VALUE"""),"Masculino")</f>
        <v>Masculino</v>
      </c>
      <c r="L87" s="15" t="str">
        <f ca="1">IFERROR(__xludf.DUMMYFUNCTION("""COMPUTED_VALUE"""),"CVB")</f>
        <v>CVB</v>
      </c>
      <c r="M87" s="11"/>
      <c r="N87" s="12" t="str">
        <f ca="1">IFERROR(__xludf.DUMMYFUNCTION("""COMPUTED_VALUE"""),"OPTIMIST TIMONELES")</f>
        <v>OPTIMIST TIMONELES</v>
      </c>
      <c r="O87" s="12"/>
      <c r="P87" s="12">
        <f ca="1">IFERROR(__xludf.DUMMYFUNCTION("""COMPUTED_VALUE"""),3712)</f>
        <v>3712</v>
      </c>
      <c r="Q87" s="12"/>
      <c r="R87" s="12"/>
      <c r="S87" s="12"/>
      <c r="T87" s="12"/>
      <c r="U87" s="12"/>
      <c r="V87" s="11"/>
      <c r="W87" s="11"/>
      <c r="X87" s="16">
        <f ca="1">IFERROR(__xludf.DUMMYFUNCTION("""COMPUTED_VALUE"""),61354126904)</f>
        <v>61354126904</v>
      </c>
      <c r="Y87" s="12" t="str">
        <f ca="1">IFERROR(__xludf.DUMMYFUNCTION("""COMPUTED_VALUE"""),"No")</f>
        <v>No</v>
      </c>
      <c r="Z87" s="12" t="str">
        <f ca="1">IFERROR(__xludf.DUMMYFUNCTION("""COMPUTED_VALUE"""),"Acepto")</f>
        <v>Acepto</v>
      </c>
      <c r="AA87" s="24" t="str">
        <f ca="1">IFERROR(__xludf.DUMMYFUNCTION("""COMPUTED_VALUE"""),"Terminado")</f>
        <v>Terminado</v>
      </c>
      <c r="AB87" s="24">
        <f ca="1">IFERROR(__xludf.DUMMYFUNCTION("""COMPUTED_VALUE"""),60000)</f>
        <v>60000</v>
      </c>
      <c r="AC87" s="6">
        <f ca="1">IFERROR(__xludf.DUMMYFUNCTION("""COMPUTED_VALUE"""),205167)</f>
        <v>205167</v>
      </c>
      <c r="AD87" s="6" t="str">
        <f ca="1">IFERROR(__xludf.DUMMYFUNCTION("""COMPUTED_VALUE"""),"TRF 31-08")</f>
        <v>TRF 31-08</v>
      </c>
      <c r="AE87" s="6"/>
      <c r="AF87" s="12"/>
      <c r="AG87" s="15"/>
    </row>
    <row r="88" spans="1:33" ht="13.2">
      <c r="A88" s="27">
        <f ca="1">IFERROR(__xludf.DUMMYFUNCTION("""COMPUTED_VALUE"""),45535.9223474074)</f>
        <v>45535.922347407402</v>
      </c>
      <c r="B88" s="11" t="str">
        <f ca="1">IFERROR(__xludf.DUMMYFUNCTION("""COMPUTED_VALUE"""),"Tomás ")</f>
        <v xml:space="preserve">Tomás </v>
      </c>
      <c r="C88" s="11" t="str">
        <f ca="1">IFERROR(__xludf.DUMMYFUNCTION("""COMPUTED_VALUE"""),"De ezcurra")</f>
        <v>De ezcurra</v>
      </c>
      <c r="D88" s="11" t="str">
        <f ca="1">IFERROR(__xludf.DUMMYFUNCTION("""COMPUTED_VALUE"""),"Bs as")</f>
        <v>Bs as</v>
      </c>
      <c r="E88" s="12" t="str">
        <f ca="1">IFERROR(__xludf.DUMMYFUNCTION("""COMPUTED_VALUE"""),"ARG")</f>
        <v>ARG</v>
      </c>
      <c r="F88" s="12">
        <f ca="1">IFERROR(__xludf.DUMMYFUNCTION("""COMPUTED_VALUE"""),49064224)</f>
        <v>49064224</v>
      </c>
      <c r="G88" s="13">
        <f ca="1">IFERROR(__xludf.DUMMYFUNCTION("""COMPUTED_VALUE"""),39731)</f>
        <v>39731</v>
      </c>
      <c r="H88" s="14">
        <f ca="1">IFERROR(__xludf.DUMMYFUNCTION("""COMPUTED_VALUE"""),1540279334)</f>
        <v>1540279334</v>
      </c>
      <c r="I88" s="14">
        <f ca="1">IFERROR(__xludf.DUMMYFUNCTION("""COMPUTED_VALUE"""),1540279334)</f>
        <v>1540279334</v>
      </c>
      <c r="J88" s="11" t="str">
        <f ca="1">IFERROR(__xludf.DUMMYFUNCTION("""COMPUTED_VALUE"""),"tdezcu@gmail.com")</f>
        <v>tdezcu@gmail.com</v>
      </c>
      <c r="K88" s="11" t="str">
        <f ca="1">IFERROR(__xludf.DUMMYFUNCTION("""COMPUTED_VALUE"""),"Masculino")</f>
        <v>Masculino</v>
      </c>
      <c r="L88" s="15" t="str">
        <f ca="1">IFERROR(__xludf.DUMMYFUNCTION("""COMPUTED_VALUE"""),"Cnsi")</f>
        <v>Cnsi</v>
      </c>
      <c r="M88" s="11"/>
      <c r="N88" s="12" t="str">
        <f ca="1">IFERROR(__xludf.DUMMYFUNCTION("""COMPUTED_VALUE"""),"ILCA 6")</f>
        <v>ILCA 6</v>
      </c>
      <c r="O88" s="12"/>
      <c r="P88" s="12">
        <f ca="1">IFERROR(__xludf.DUMMYFUNCTION("""COMPUTED_VALUE"""),222112)</f>
        <v>222112</v>
      </c>
      <c r="Q88" s="11"/>
      <c r="R88" s="11"/>
      <c r="S88" s="11"/>
      <c r="T88" s="11"/>
      <c r="U88" s="11"/>
      <c r="V88" s="11"/>
      <c r="W88" s="11"/>
      <c r="X88" s="16">
        <f ca="1">IFERROR(__xludf.DUMMYFUNCTION("""COMPUTED_VALUE"""),61721757103)</f>
        <v>61721757103</v>
      </c>
      <c r="Y88" s="12" t="str">
        <f ca="1">IFERROR(__xludf.DUMMYFUNCTION("""COMPUTED_VALUE"""),"No")</f>
        <v>No</v>
      </c>
      <c r="Z88" s="12" t="str">
        <f ca="1">IFERROR(__xludf.DUMMYFUNCTION("""COMPUTED_VALUE"""),"Acepto")</f>
        <v>Acepto</v>
      </c>
      <c r="AA88" s="24" t="str">
        <f ca="1">IFERROR(__xludf.DUMMYFUNCTION("""COMPUTED_VALUE"""),"Terminado")</f>
        <v>Terminado</v>
      </c>
      <c r="AB88" s="24">
        <f ca="1">IFERROR(__xludf.DUMMYFUNCTION("""COMPUTED_VALUE"""),45000)</f>
        <v>45000</v>
      </c>
      <c r="AC88" s="6">
        <f ca="1">IFERROR(__xludf.DUMMYFUNCTION("""COMPUTED_VALUE"""),205340)</f>
        <v>205340</v>
      </c>
      <c r="AD88" s="6" t="str">
        <f ca="1">IFERROR(__xludf.DUMMYFUNCTION("""COMPUTED_VALUE"""),"TRF 31-08")</f>
        <v>TRF 31-08</v>
      </c>
      <c r="AE88" s="6"/>
      <c r="AF88" s="12"/>
      <c r="AG88" s="15"/>
    </row>
    <row r="89" spans="1:33" ht="13.2">
      <c r="A89" s="18">
        <f ca="1">IFERROR(__xludf.DUMMYFUNCTION("""COMPUTED_VALUE"""),45533.6308780439)</f>
        <v>45533.630878043899</v>
      </c>
      <c r="B89" s="19" t="str">
        <f ca="1">IFERROR(__xludf.DUMMYFUNCTION("""COMPUTED_VALUE"""),"Juan cruz ")</f>
        <v xml:space="preserve">Juan cruz </v>
      </c>
      <c r="C89" s="19" t="str">
        <f ca="1">IFERROR(__xludf.DUMMYFUNCTION("""COMPUTED_VALUE"""),"De Valais ")</f>
        <v xml:space="preserve">De Valais </v>
      </c>
      <c r="D89" s="19" t="str">
        <f ca="1">IFERROR(__xludf.DUMMYFUNCTION("""COMPUTED_VALUE"""),"CABA")</f>
        <v>CABA</v>
      </c>
      <c r="E89" s="20" t="str">
        <f ca="1">IFERROR(__xludf.DUMMYFUNCTION("""COMPUTED_VALUE"""),"ARG")</f>
        <v>ARG</v>
      </c>
      <c r="F89" s="20">
        <f ca="1">IFERROR(__xludf.DUMMYFUNCTION("""COMPUTED_VALUE"""),50414789)</f>
        <v>50414789</v>
      </c>
      <c r="G89" s="21">
        <f ca="1">IFERROR(__xludf.DUMMYFUNCTION("""COMPUTED_VALUE"""),40367)</f>
        <v>40367</v>
      </c>
      <c r="H89" s="20">
        <f ca="1">IFERROR(__xludf.DUMMYFUNCTION("""COMPUTED_VALUE"""),1144345575)</f>
        <v>1144345575</v>
      </c>
      <c r="I89" s="20">
        <f ca="1">IFERROR(__xludf.DUMMYFUNCTION("""COMPUTED_VALUE"""),1140290151)</f>
        <v>1140290151</v>
      </c>
      <c r="J89" s="20" t="str">
        <f ca="1">IFERROR(__xludf.DUMMYFUNCTION("""COMPUTED_VALUE"""),"fmeiller@hotmail.com")</f>
        <v>fmeiller@hotmail.com</v>
      </c>
      <c r="K89" s="20" t="str">
        <f ca="1">IFERROR(__xludf.DUMMYFUNCTION("""COMPUTED_VALUE"""),"Masculino")</f>
        <v>Masculino</v>
      </c>
      <c r="L89" s="22" t="str">
        <f ca="1">IFERROR(__xludf.DUMMYFUNCTION("""COMPUTED_VALUE"""),"CVB")</f>
        <v>CVB</v>
      </c>
      <c r="M89" s="19" t="str">
        <f ca="1">IFERROR(__xludf.DUMMYFUNCTION("""COMPUTED_VALUE"""),"Interior (Optimist), Optimist timonel")</f>
        <v>Interior (Optimist), Optimist timonel</v>
      </c>
      <c r="N89" s="20" t="str">
        <f ca="1">IFERROR(__xludf.DUMMYFUNCTION("""COMPUTED_VALUE"""),"OPTIMIST TIMONELES")</f>
        <v>OPTIMIST TIMONELES</v>
      </c>
      <c r="O89" s="20"/>
      <c r="P89" s="20">
        <f ca="1">IFERROR(__xludf.DUMMYFUNCTION("""COMPUTED_VALUE"""),3852)</f>
        <v>3852</v>
      </c>
      <c r="Q89" s="19" t="str">
        <f ca="1">IFERROR(__xludf.DUMMYFUNCTION("""COMPUTED_VALUE"""),"Pájaro loco")</f>
        <v>Pájaro loco</v>
      </c>
      <c r="R89" s="19"/>
      <c r="S89" s="19"/>
      <c r="T89" s="19"/>
      <c r="U89" s="19"/>
      <c r="V89" s="19"/>
      <c r="W89" s="19"/>
      <c r="X89" s="23" t="str">
        <f ca="1">IFERROR(__xludf.DUMMYFUNCTION("""COMPUTED_VALUE"""),"Plan médico del hospital alemán ")</f>
        <v xml:space="preserve">Plan médico del hospital alemán </v>
      </c>
      <c r="Y89" s="20" t="str">
        <f ca="1">IFERROR(__xludf.DUMMYFUNCTION("""COMPUTED_VALUE"""),"Si")</f>
        <v>Si</v>
      </c>
      <c r="Z89" s="20" t="str">
        <f ca="1">IFERROR(__xludf.DUMMYFUNCTION("""COMPUTED_VALUE"""),"Acepto")</f>
        <v>Acepto</v>
      </c>
      <c r="AA89" s="24" t="str">
        <f ca="1">IFERROR(__xludf.DUMMYFUNCTION("""COMPUTED_VALUE"""),"Terminado")</f>
        <v>Terminado</v>
      </c>
      <c r="AB89" s="24">
        <f ca="1">IFERROR(__xludf.DUMMYFUNCTION("""COMPUTED_VALUE"""),50000)</f>
        <v>50000</v>
      </c>
      <c r="AC89" s="6">
        <f ca="1">IFERROR(__xludf.DUMMYFUNCTION("""COMPUTED_VALUE"""),205103)</f>
        <v>205103</v>
      </c>
      <c r="AD89" s="6" t="str">
        <f ca="1">IFERROR(__xludf.DUMMYFUNCTION("""COMPUTED_VALUE"""),"TRF 30-08")</f>
        <v>TRF 30-08</v>
      </c>
      <c r="AE89" s="6"/>
      <c r="AF89" s="20"/>
      <c r="AG89" s="22"/>
    </row>
    <row r="90" spans="1:33" ht="13.2">
      <c r="A90" s="35">
        <f ca="1">IFERROR(__xludf.DUMMYFUNCTION("""COMPUTED_VALUE"""),45537.414796875)</f>
        <v>45537.414796874997</v>
      </c>
      <c r="B90" s="36" t="str">
        <f ca="1">IFERROR(__xludf.DUMMYFUNCTION("""COMPUTED_VALUE"""),"Camila")</f>
        <v>Camila</v>
      </c>
      <c r="C90" s="36" t="str">
        <f ca="1">IFERROR(__xludf.DUMMYFUNCTION("""COMPUTED_VALUE"""),"Del carril")</f>
        <v>Del carril</v>
      </c>
      <c r="D90" s="36" t="str">
        <f ca="1">IFERROR(__xludf.DUMMYFUNCTION("""COMPUTED_VALUE"""),"Buenos aires")</f>
        <v>Buenos aires</v>
      </c>
      <c r="E90" s="6" t="str">
        <f ca="1">IFERROR(__xludf.DUMMYFUNCTION("""COMPUTED_VALUE"""),"ARG")</f>
        <v>ARG</v>
      </c>
      <c r="F90" s="6">
        <f ca="1">IFERROR(__xludf.DUMMYFUNCTION("""COMPUTED_VALUE"""),48793632)</f>
        <v>48793632</v>
      </c>
      <c r="G90" s="37">
        <f ca="1">IFERROR(__xludf.DUMMYFUNCTION("""COMPUTED_VALUE"""),39631)</f>
        <v>39631</v>
      </c>
      <c r="H90" s="38">
        <f ca="1">IFERROR(__xludf.DUMMYFUNCTION("""COMPUTED_VALUE"""),1165318147)</f>
        <v>1165318147</v>
      </c>
      <c r="I90" s="39">
        <f ca="1">IFERROR(__xludf.DUMMYFUNCTION("""COMPUTED_VALUE"""),150575173)</f>
        <v>150575173</v>
      </c>
      <c r="J90" s="38" t="str">
        <f ca="1">IFERROR(__xludf.DUMMYFUNCTION("""COMPUTED_VALUE"""),"camiladelcarril55@gmail.com")</f>
        <v>camiladelcarril55@gmail.com</v>
      </c>
      <c r="K90" s="38" t="str">
        <f ca="1">IFERROR(__xludf.DUMMYFUNCTION("""COMPUTED_VALUE"""),"Femenino")</f>
        <v>Femenino</v>
      </c>
      <c r="L90" s="36" t="str">
        <f ca="1">IFERROR(__xludf.DUMMYFUNCTION("""COMPUTED_VALUE"""),"CNSI")</f>
        <v>CNSI</v>
      </c>
      <c r="M90" s="38"/>
      <c r="N90" s="6">
        <f ca="1">IFERROR(__xludf.DUMMYFUNCTION("""COMPUTED_VALUE"""),420)</f>
        <v>420</v>
      </c>
      <c r="O90" s="6" t="str">
        <f ca="1">IFERROR(__xludf.DUMMYFUNCTION("""COMPUTED_VALUE"""),"04")</f>
        <v>04</v>
      </c>
      <c r="P90" s="6">
        <f ca="1">IFERROR(__xludf.DUMMYFUNCTION("""COMPUTED_VALUE"""),551819)</f>
        <v>551819</v>
      </c>
      <c r="Q90" s="38"/>
      <c r="R90" s="38" t="str">
        <f ca="1">IFERROR(__xludf.DUMMYFUNCTION("""COMPUTED_VALUE"""),"Eugenio bradley")</f>
        <v>Eugenio bradley</v>
      </c>
      <c r="S90" s="38"/>
      <c r="T90" s="38"/>
      <c r="U90" s="38"/>
      <c r="V90" s="38"/>
      <c r="W90" s="38"/>
      <c r="X90" s="40" t="str">
        <f ca="1">IFERROR(__xludf.DUMMYFUNCTION("""COMPUTED_VALUE"""),"Hospital alemán 10639810773803")</f>
        <v>Hospital alemán 10639810773803</v>
      </c>
      <c r="Y90" s="6" t="str">
        <f ca="1">IFERROR(__xludf.DUMMYFUNCTION("""COMPUTED_VALUE"""),"No")</f>
        <v>No</v>
      </c>
      <c r="Z90" s="6" t="str">
        <f ca="1">IFERROR(__xludf.DUMMYFUNCTION("""COMPUTED_VALUE"""),"Acepto")</f>
        <v>Acepto</v>
      </c>
      <c r="AA90" s="41" t="str">
        <f ca="1">IFERROR(__xludf.DUMMYFUNCTION("""COMPUTED_VALUE"""),"Pendiente")</f>
        <v>Pendiente</v>
      </c>
      <c r="AB90" s="41"/>
      <c r="AC90" s="6"/>
      <c r="AD90" s="6"/>
      <c r="AE90" s="6"/>
      <c r="AF90" s="6"/>
      <c r="AG90" s="36"/>
    </row>
    <row r="91" spans="1:33" ht="13.2">
      <c r="A91" s="27">
        <f ca="1">IFERROR(__xludf.DUMMYFUNCTION("""COMPUTED_VALUE"""),45531.5414580439)</f>
        <v>45531.541458043903</v>
      </c>
      <c r="B91" s="11" t="str">
        <f ca="1">IFERROR(__xludf.DUMMYFUNCTION("""COMPUTED_VALUE"""),"Clara")</f>
        <v>Clara</v>
      </c>
      <c r="C91" s="11" t="str">
        <f ca="1">IFERROR(__xludf.DUMMYFUNCTION("""COMPUTED_VALUE"""),"Deleo")</f>
        <v>Deleo</v>
      </c>
      <c r="D91" s="11" t="str">
        <f ca="1">IFERROR(__xludf.DUMMYFUNCTION("""COMPUTED_VALUE"""),"La Plata")</f>
        <v>La Plata</v>
      </c>
      <c r="E91" s="12" t="str">
        <f ca="1">IFERROR(__xludf.DUMMYFUNCTION("""COMPUTED_VALUE"""),"ARG")</f>
        <v>ARG</v>
      </c>
      <c r="F91" s="12">
        <f ca="1">IFERROR(__xludf.DUMMYFUNCTION("""COMPUTED_VALUE"""),52725158)</f>
        <v>52725158</v>
      </c>
      <c r="G91" s="28">
        <f ca="1">IFERROR(__xludf.DUMMYFUNCTION("""COMPUTED_VALUE"""),41167)</f>
        <v>41167</v>
      </c>
      <c r="H91" s="12">
        <f ca="1">IFERROR(__xludf.DUMMYFUNCTION("""COMPUTED_VALUE"""),2215909668)</f>
        <v>2215909668</v>
      </c>
      <c r="I91" s="12">
        <f ca="1">IFERROR(__xludf.DUMMYFUNCTION("""COMPUTED_VALUE"""),2215909668)</f>
        <v>2215909668</v>
      </c>
      <c r="J91" s="12" t="str">
        <f ca="1">IFERROR(__xludf.DUMMYFUNCTION("""COMPUTED_VALUE"""),"deleosabino@gmail.com")</f>
        <v>deleosabino@gmail.com</v>
      </c>
      <c r="K91" s="12" t="str">
        <f ca="1">IFERROR(__xludf.DUMMYFUNCTION("""COMPUTED_VALUE"""),"Femenino")</f>
        <v>Femenino</v>
      </c>
      <c r="L91" s="15" t="str">
        <f ca="1">IFERROR(__xludf.DUMMYFUNCTION("""COMPUTED_VALUE"""),"CRLP")</f>
        <v>CRLP</v>
      </c>
      <c r="M91" s="11" t="str">
        <f ca="1">IFERROR(__xludf.DUMMYFUNCTION("""COMPUTED_VALUE"""),"Femenino")</f>
        <v>Femenino</v>
      </c>
      <c r="N91" s="12" t="str">
        <f ca="1">IFERROR(__xludf.DUMMYFUNCTION("""COMPUTED_VALUE"""),"OPTIMIST TIMONELES")</f>
        <v>OPTIMIST TIMONELES</v>
      </c>
      <c r="O91" s="12"/>
      <c r="P91" s="12">
        <f ca="1">IFERROR(__xludf.DUMMYFUNCTION("""COMPUTED_VALUE"""),4160)</f>
        <v>4160</v>
      </c>
      <c r="Q91" s="12"/>
      <c r="R91" s="30"/>
      <c r="S91" s="12"/>
      <c r="T91" s="12"/>
      <c r="U91" s="12"/>
      <c r="V91" s="11"/>
      <c r="W91" s="11"/>
      <c r="X91" s="16" t="str">
        <f ca="1">IFERROR(__xludf.DUMMYFUNCTION("""COMPUTED_VALUE"""),"IOMA")</f>
        <v>IOMA</v>
      </c>
      <c r="Y91" s="12" t="str">
        <f ca="1">IFERROR(__xludf.DUMMYFUNCTION("""COMPUTED_VALUE"""),"Si")</f>
        <v>Si</v>
      </c>
      <c r="Z91" s="12" t="str">
        <f ca="1">IFERROR(__xludf.DUMMYFUNCTION("""COMPUTED_VALUE"""),"Acepto")</f>
        <v>Acepto</v>
      </c>
      <c r="AA91" s="24" t="str">
        <f ca="1">IFERROR(__xludf.DUMMYFUNCTION("""COMPUTED_VALUE"""),"Terminado")</f>
        <v>Terminado</v>
      </c>
      <c r="AB91" s="24">
        <f ca="1">IFERROR(__xludf.DUMMYFUNCTION("""COMPUTED_VALUE"""),60000)</f>
        <v>60000</v>
      </c>
      <c r="AC91" s="6">
        <f ca="1">IFERROR(__xludf.DUMMYFUNCTION("""COMPUTED_VALUE"""),205057)</f>
        <v>205057</v>
      </c>
      <c r="AD91" s="6" t="str">
        <f ca="1">IFERROR(__xludf.DUMMYFUNCTION("""COMPUTED_VALUE"""),"TRF 27-08")</f>
        <v>TRF 27-08</v>
      </c>
      <c r="AE91" s="6"/>
      <c r="AF91" s="12"/>
      <c r="AG91" s="15"/>
    </row>
    <row r="92" spans="1:33" ht="13.2">
      <c r="A92" s="18">
        <f ca="1">IFERROR(__xludf.DUMMYFUNCTION("""COMPUTED_VALUE"""),45534.6722925694)</f>
        <v>45534.672292569398</v>
      </c>
      <c r="B92" s="19" t="str">
        <f ca="1">IFERROR(__xludf.DUMMYFUNCTION("""COMPUTED_VALUE"""),"Gerardo ")</f>
        <v xml:space="preserve">Gerardo </v>
      </c>
      <c r="C92" s="19" t="str">
        <f ca="1">IFERROR(__xludf.DUMMYFUNCTION("""COMPUTED_VALUE"""),"Della torre ")</f>
        <v xml:space="preserve">Della torre </v>
      </c>
      <c r="D92" s="19" t="str">
        <f ca="1">IFERROR(__xludf.DUMMYFUNCTION("""COMPUTED_VALUE"""),"Caba")</f>
        <v>Caba</v>
      </c>
      <c r="E92" s="20" t="str">
        <f ca="1">IFERROR(__xludf.DUMMYFUNCTION("""COMPUTED_VALUE"""),"ARG")</f>
        <v>ARG</v>
      </c>
      <c r="F92" s="20">
        <f ca="1">IFERROR(__xludf.DUMMYFUNCTION("""COMPUTED_VALUE"""),17617210)</f>
        <v>17617210</v>
      </c>
      <c r="G92" s="21">
        <f ca="1">IFERROR(__xludf.DUMMYFUNCTION("""COMPUTED_VALUE"""),24044)</f>
        <v>24044</v>
      </c>
      <c r="H92" s="20">
        <f ca="1">IFERROR(__xludf.DUMMYFUNCTION("""COMPUTED_VALUE"""),1557174369)</f>
        <v>1557174369</v>
      </c>
      <c r="I92" s="20" t="str">
        <f ca="1">IFERROR(__xludf.DUMMYFUNCTION("""COMPUTED_VALUE"""),"1700-1800 ")</f>
        <v xml:space="preserve">1700-1800 </v>
      </c>
      <c r="J92" s="20" t="str">
        <f ca="1">IFERROR(__xludf.DUMMYFUNCTION("""COMPUTED_VALUE"""),"Gddellatorre@hotmail.com")</f>
        <v>Gddellatorre@hotmail.com</v>
      </c>
      <c r="K92" s="20" t="str">
        <f ca="1">IFERROR(__xludf.DUMMYFUNCTION("""COMPUTED_VALUE"""),"Masculino")</f>
        <v>Masculino</v>
      </c>
      <c r="L92" s="22" t="str">
        <f ca="1">IFERROR(__xludf.DUMMYFUNCTION("""COMPUTED_VALUE"""),"Yco")</f>
        <v>Yco</v>
      </c>
      <c r="M92" s="19" t="str">
        <f ca="1">IFERROR(__xludf.DUMMYFUNCTION("""COMPUTED_VALUE"""),"Máster ")</f>
        <v xml:space="preserve">Máster </v>
      </c>
      <c r="N92" s="20" t="str">
        <f ca="1">IFERROR(__xludf.DUMMYFUNCTION("""COMPUTED_VALUE"""),"STAR")</f>
        <v>STAR</v>
      </c>
      <c r="O92" s="20"/>
      <c r="P92" s="20">
        <f ca="1">IFERROR(__xludf.DUMMYFUNCTION("""COMPUTED_VALUE"""),7213)</f>
        <v>7213</v>
      </c>
      <c r="Q92" s="19" t="str">
        <f ca="1">IFERROR(__xludf.DUMMYFUNCTION("""COMPUTED_VALUE"""),"Sexagenario")</f>
        <v>Sexagenario</v>
      </c>
      <c r="R92" s="19" t="str">
        <f ca="1">IFERROR(__xludf.DUMMYFUNCTION("""COMPUTED_VALUE"""),"Latour")</f>
        <v>Latour</v>
      </c>
      <c r="S92" s="19"/>
      <c r="T92" s="19"/>
      <c r="U92" s="19"/>
      <c r="V92" s="19"/>
      <c r="W92" s="19"/>
      <c r="X92" s="23"/>
      <c r="Y92" s="20" t="str">
        <f ca="1">IFERROR(__xludf.DUMMYFUNCTION("""COMPUTED_VALUE"""),"Si")</f>
        <v>Si</v>
      </c>
      <c r="Z92" s="20" t="str">
        <f ca="1">IFERROR(__xludf.DUMMYFUNCTION("""COMPUTED_VALUE"""),"Acepto")</f>
        <v>Acepto</v>
      </c>
      <c r="AA92" s="24" t="str">
        <f ca="1">IFERROR(__xludf.DUMMYFUNCTION("""COMPUTED_VALUE"""),"Pendiente")</f>
        <v>Pendiente</v>
      </c>
      <c r="AB92" s="24"/>
      <c r="AC92" s="6"/>
      <c r="AD92" s="6"/>
      <c r="AE92" s="6"/>
      <c r="AF92" s="20"/>
      <c r="AG92" s="22"/>
    </row>
    <row r="93" spans="1:33" ht="13.2">
      <c r="A93" s="35">
        <f ca="1">IFERROR(__xludf.DUMMYFUNCTION("""COMPUTED_VALUE"""),45537.3480063078)</f>
        <v>45537.348006307802</v>
      </c>
      <c r="B93" s="36" t="str">
        <f ca="1">IFERROR(__xludf.DUMMYFUNCTION("""COMPUTED_VALUE"""),"Abril")</f>
        <v>Abril</v>
      </c>
      <c r="C93" s="36" t="str">
        <f ca="1">IFERROR(__xludf.DUMMYFUNCTION("""COMPUTED_VALUE"""),"Della Vecchia")</f>
        <v>Della Vecchia</v>
      </c>
      <c r="D93" s="36" t="str">
        <f ca="1">IFERROR(__xludf.DUMMYFUNCTION("""COMPUTED_VALUE"""),"Caseros")</f>
        <v>Caseros</v>
      </c>
      <c r="E93" s="6" t="str">
        <f ca="1">IFERROR(__xludf.DUMMYFUNCTION("""COMPUTED_VALUE"""),"ARG")</f>
        <v>ARG</v>
      </c>
      <c r="F93" s="6">
        <f ca="1">IFERROR(__xludf.DUMMYFUNCTION("""COMPUTED_VALUE"""),49764378)</f>
        <v>49764378</v>
      </c>
      <c r="G93" s="37">
        <f ca="1">IFERROR(__xludf.DUMMYFUNCTION("""COMPUTED_VALUE"""),40085)</f>
        <v>40085</v>
      </c>
      <c r="H93" s="38">
        <f ca="1">IFERROR(__xludf.DUMMYFUNCTION("""COMPUTED_VALUE"""),1567239170)</f>
        <v>1567239170</v>
      </c>
      <c r="I93" s="38">
        <f ca="1">IFERROR(__xludf.DUMMYFUNCTION("""COMPUTED_VALUE"""),1567239170)</f>
        <v>1567239170</v>
      </c>
      <c r="J93" s="38" t="str">
        <f ca="1">IFERROR(__xludf.DUMMYFUNCTION("""COMPUTED_VALUE"""),"danisaolmedo@gmail.com")</f>
        <v>danisaolmedo@gmail.com</v>
      </c>
      <c r="K93" s="38" t="str">
        <f ca="1">IFERROR(__xludf.DUMMYFUNCTION("""COMPUTED_VALUE"""),"Femenino")</f>
        <v>Femenino</v>
      </c>
      <c r="L93" s="36" t="str">
        <f ca="1">IFERROR(__xludf.DUMMYFUNCTION("""COMPUTED_VALUE"""),"CPNLB")</f>
        <v>CPNLB</v>
      </c>
      <c r="M93" s="38" t="str">
        <f ca="1">IFERROR(__xludf.DUMMYFUNCTION("""COMPUTED_VALUE"""),"Femenino")</f>
        <v>Femenino</v>
      </c>
      <c r="N93" s="6" t="str">
        <f ca="1">IFERROR(__xludf.DUMMYFUNCTION("""COMPUTED_VALUE"""),"OPTIMIST TIMONELES")</f>
        <v>OPTIMIST TIMONELES</v>
      </c>
      <c r="O93" s="6"/>
      <c r="P93" s="6">
        <f ca="1">IFERROR(__xludf.DUMMYFUNCTION("""COMPUTED_VALUE"""),3680)</f>
        <v>3680</v>
      </c>
      <c r="Q93" s="38" t="str">
        <f ca="1">IFERROR(__xludf.DUMMYFUNCTION("""COMPUTED_VALUE"""),"Ocean")</f>
        <v>Ocean</v>
      </c>
      <c r="R93" s="38"/>
      <c r="S93" s="38"/>
      <c r="T93" s="38"/>
      <c r="U93" s="38"/>
      <c r="V93" s="38"/>
      <c r="W93" s="38"/>
      <c r="X93" s="40">
        <f ca="1">IFERROR(__xludf.DUMMYFUNCTION("""COMPUTED_VALUE"""),450090929004)</f>
        <v>450090929004</v>
      </c>
      <c r="Y93" s="6" t="str">
        <f ca="1">IFERROR(__xludf.DUMMYFUNCTION("""COMPUTED_VALUE"""),"Si")</f>
        <v>Si</v>
      </c>
      <c r="Z93" s="6" t="str">
        <f ca="1">IFERROR(__xludf.DUMMYFUNCTION("""COMPUTED_VALUE"""),"Acepto")</f>
        <v>Acepto</v>
      </c>
      <c r="AA93" s="41" t="str">
        <f ca="1">IFERROR(__xludf.DUMMYFUNCTION("""COMPUTED_VALUE"""),"Terminado")</f>
        <v>Terminado</v>
      </c>
      <c r="AB93" s="41">
        <f ca="1">IFERROR(__xludf.DUMMYFUNCTION("""COMPUTED_VALUE"""),50000)</f>
        <v>50000</v>
      </c>
      <c r="AC93" s="6">
        <f ca="1">IFERROR(__xludf.DUMMYFUNCTION("""COMPUTED_VALUE"""),205394)</f>
        <v>205394</v>
      </c>
      <c r="AD93" s="6" t="str">
        <f ca="1">IFERROR(__xludf.DUMMYFUNCTION("""COMPUTED_VALUE"""),"TRF 02-09")</f>
        <v>TRF 02-09</v>
      </c>
      <c r="AE93" s="6"/>
      <c r="AF93" s="6"/>
      <c r="AG93" s="36"/>
    </row>
    <row r="94" spans="1:33" ht="13.2">
      <c r="A94" s="35">
        <f ca="1">IFERROR(__xludf.DUMMYFUNCTION("""COMPUTED_VALUE"""),45538.4134942361)</f>
        <v>45538.413494236098</v>
      </c>
      <c r="B94" s="36" t="str">
        <f ca="1">IFERROR(__xludf.DUMMYFUNCTION("""COMPUTED_VALUE"""),"Adriana ")</f>
        <v xml:space="preserve">Adriana </v>
      </c>
      <c r="C94" s="36" t="str">
        <f ca="1">IFERROR(__xludf.DUMMYFUNCTION("""COMPUTED_VALUE"""),"Demaestri ")</f>
        <v xml:space="preserve">Demaestri </v>
      </c>
      <c r="D94" s="36" t="str">
        <f ca="1">IFERROR(__xludf.DUMMYFUNCTION("""COMPUTED_VALUE"""),"Bs as ")</f>
        <v xml:space="preserve">Bs as </v>
      </c>
      <c r="E94" s="6" t="str">
        <f ca="1">IFERROR(__xludf.DUMMYFUNCTION("""COMPUTED_VALUE"""),"ARG")</f>
        <v>ARG</v>
      </c>
      <c r="F94" s="6">
        <f ca="1">IFERROR(__xludf.DUMMYFUNCTION("""COMPUTED_VALUE"""),20383836)</f>
        <v>20383836</v>
      </c>
      <c r="G94" s="37">
        <f ca="1">IFERROR(__xludf.DUMMYFUNCTION("""COMPUTED_VALUE"""),-668975)</f>
        <v>-668975</v>
      </c>
      <c r="H94" s="38">
        <f ca="1">IFERROR(__xludf.DUMMYFUNCTION("""COMPUTED_VALUE"""),1566102090)</f>
        <v>1566102090</v>
      </c>
      <c r="I94" s="39"/>
      <c r="J94" s="38" t="str">
        <f ca="1">IFERROR(__xludf.DUMMYFUNCTION("""COMPUTED_VALUE"""),"Adriobstdemaestri@gmail.com")</f>
        <v>Adriobstdemaestri@gmail.com</v>
      </c>
      <c r="K94" s="38" t="str">
        <f ca="1">IFERROR(__xludf.DUMMYFUNCTION("""COMPUTED_VALUE"""),"Femenino")</f>
        <v>Femenino</v>
      </c>
      <c r="L94" s="36" t="str">
        <f ca="1">IFERROR(__xludf.DUMMYFUNCTION("""COMPUTED_VALUE"""),"CNO")</f>
        <v>CNO</v>
      </c>
      <c r="M94" s="38" t="str">
        <f ca="1">IFERROR(__xludf.DUMMYFUNCTION("""COMPUTED_VALUE"""),"Femenino, Master (ILCA)")</f>
        <v>Femenino, Master (ILCA)</v>
      </c>
      <c r="N94" s="6" t="str">
        <f ca="1">IFERROR(__xludf.DUMMYFUNCTION("""COMPUTED_VALUE"""),"ILCA 6")</f>
        <v>ILCA 6</v>
      </c>
      <c r="O94" s="6"/>
      <c r="P94" s="6">
        <f ca="1">IFERROR(__xludf.DUMMYFUNCTION("""COMPUTED_VALUE"""),218280)</f>
        <v>218280</v>
      </c>
      <c r="Q94" s="38"/>
      <c r="R94" s="38"/>
      <c r="S94" s="38"/>
      <c r="T94" s="38"/>
      <c r="U94" s="38"/>
      <c r="V94" s="38"/>
      <c r="W94" s="38"/>
      <c r="X94" s="40"/>
      <c r="Y94" s="6" t="str">
        <f ca="1">IFERROR(__xludf.DUMMYFUNCTION("""COMPUTED_VALUE"""),"No")</f>
        <v>No</v>
      </c>
      <c r="Z94" s="6" t="str">
        <f ca="1">IFERROR(__xludf.DUMMYFUNCTION("""COMPUTED_VALUE"""),"Acepto")</f>
        <v>Acepto</v>
      </c>
      <c r="AA94" s="41" t="str">
        <f ca="1">IFERROR(__xludf.DUMMYFUNCTION("""COMPUTED_VALUE"""),"Pendiente")</f>
        <v>Pendiente</v>
      </c>
      <c r="AB94" s="41"/>
      <c r="AC94" s="6"/>
      <c r="AD94" s="6"/>
      <c r="AE94" s="6"/>
      <c r="AF94" s="6"/>
      <c r="AG94" s="36"/>
    </row>
    <row r="95" spans="1:33" ht="13.2">
      <c r="A95" s="35">
        <f ca="1">IFERROR(__xludf.DUMMYFUNCTION("""COMPUTED_VALUE"""),45535.6074681365)</f>
        <v>45535.607468136499</v>
      </c>
      <c r="B95" s="36" t="str">
        <f ca="1">IFERROR(__xludf.DUMMYFUNCTION("""COMPUTED_VALUE"""),"Vicente")</f>
        <v>Vicente</v>
      </c>
      <c r="C95" s="36" t="str">
        <f ca="1">IFERROR(__xludf.DUMMYFUNCTION("""COMPUTED_VALUE"""),"Di stefano")</f>
        <v>Di stefano</v>
      </c>
      <c r="D95" s="36" t="str">
        <f ca="1">IFERROR(__xludf.DUMMYFUNCTION("""COMPUTED_VALUE"""),"Buenos Aires")</f>
        <v>Buenos Aires</v>
      </c>
      <c r="E95" s="6" t="str">
        <f ca="1">IFERROR(__xludf.DUMMYFUNCTION("""COMPUTED_VALUE"""),"ARG")</f>
        <v>ARG</v>
      </c>
      <c r="F95" s="6">
        <f ca="1">IFERROR(__xludf.DUMMYFUNCTION("""COMPUTED_VALUE"""),48044836)</f>
        <v>48044836</v>
      </c>
      <c r="G95" s="37">
        <f ca="1">IFERROR(__xludf.DUMMYFUNCTION("""COMPUTED_VALUE"""),39305)</f>
        <v>39305</v>
      </c>
      <c r="H95" s="38">
        <f ca="1">IFERROR(__xludf.DUMMYFUNCTION("""COMPUTED_VALUE"""),1130355629)</f>
        <v>1130355629</v>
      </c>
      <c r="I95" s="39">
        <f ca="1">IFERROR(__xludf.DUMMYFUNCTION("""COMPUTED_VALUE"""),1125588407)</f>
        <v>1125588407</v>
      </c>
      <c r="J95" s="38" t="str">
        <f ca="1">IFERROR(__xludf.DUMMYFUNCTION("""COMPUTED_VALUE"""),"Fueguelvicente@gmail.com")</f>
        <v>Fueguelvicente@gmail.com</v>
      </c>
      <c r="K95" s="38" t="str">
        <f ca="1">IFERROR(__xludf.DUMMYFUNCTION("""COMPUTED_VALUE"""),"Masculino")</f>
        <v>Masculino</v>
      </c>
      <c r="L95" s="36" t="str">
        <f ca="1">IFERROR(__xludf.DUMMYFUNCTION("""COMPUTED_VALUE"""),"YCCN")</f>
        <v>YCCN</v>
      </c>
      <c r="M95" s="38" t="str">
        <f ca="1">IFERROR(__xludf.DUMMYFUNCTION("""COMPUTED_VALUE"""),"Cadet")</f>
        <v>Cadet</v>
      </c>
      <c r="N95" s="6" t="str">
        <f ca="1">IFERROR(__xludf.DUMMYFUNCTION("""COMPUTED_VALUE"""),"CADET")</f>
        <v>CADET</v>
      </c>
      <c r="O95" s="6"/>
      <c r="P95" s="6">
        <f ca="1">IFERROR(__xludf.DUMMYFUNCTION("""COMPUTED_VALUE"""),9473)</f>
        <v>9473</v>
      </c>
      <c r="Q95" s="38" t="str">
        <f ca="1">IFERROR(__xludf.DUMMYFUNCTION("""COMPUTED_VALUE"""),"El millonario")</f>
        <v>El millonario</v>
      </c>
      <c r="R95" s="38" t="str">
        <f ca="1">IFERROR(__xludf.DUMMYFUNCTION("""COMPUTED_VALUE"""),"Libertad Nandin")</f>
        <v>Libertad Nandin</v>
      </c>
      <c r="S95" s="38"/>
      <c r="T95" s="38"/>
      <c r="U95" s="38"/>
      <c r="V95" s="38"/>
      <c r="W95" s="38"/>
      <c r="X95" s="40" t="str">
        <f ca="1">IFERROR(__xludf.DUMMYFUNCTION("""COMPUTED_VALUE"""),"Osde 62 984177 1 02")</f>
        <v>Osde 62 984177 1 02</v>
      </c>
      <c r="Y95" s="6" t="str">
        <f ca="1">IFERROR(__xludf.DUMMYFUNCTION("""COMPUTED_VALUE"""),"No")</f>
        <v>No</v>
      </c>
      <c r="Z95" s="6" t="str">
        <f ca="1">IFERROR(__xludf.DUMMYFUNCTION("""COMPUTED_VALUE"""),"Acepto")</f>
        <v>Acepto</v>
      </c>
      <c r="AA95" s="41" t="str">
        <f ca="1">IFERROR(__xludf.DUMMYFUNCTION("""COMPUTED_VALUE"""),"Pendiente")</f>
        <v>Pendiente</v>
      </c>
      <c r="AB95" s="41"/>
      <c r="AC95" s="6"/>
      <c r="AD95" s="6"/>
      <c r="AE95" s="6"/>
      <c r="AF95" s="6"/>
      <c r="AG95" s="36"/>
    </row>
    <row r="96" spans="1:33" ht="13.2">
      <c r="A96" s="35">
        <f ca="1">IFERROR(__xludf.DUMMYFUNCTION("""COMPUTED_VALUE"""),45536.759121574)</f>
        <v>45536.759121574003</v>
      </c>
      <c r="B96" s="36" t="str">
        <f ca="1">IFERROR(__xludf.DUMMYFUNCTION("""COMPUTED_VALUE"""),"Faustina")</f>
        <v>Faustina</v>
      </c>
      <c r="C96" s="36" t="str">
        <f ca="1">IFERROR(__xludf.DUMMYFUNCTION("""COMPUTED_VALUE"""),"Dianda")</f>
        <v>Dianda</v>
      </c>
      <c r="D96" s="36" t="str">
        <f ca="1">IFERROR(__xludf.DUMMYFUNCTION("""COMPUTED_VALUE"""),"bs as")</f>
        <v>bs as</v>
      </c>
      <c r="E96" s="6" t="str">
        <f ca="1">IFERROR(__xludf.DUMMYFUNCTION("""COMPUTED_VALUE"""),"ARG")</f>
        <v>ARG</v>
      </c>
      <c r="F96" s="6">
        <f ca="1">IFERROR(__xludf.DUMMYFUNCTION("""COMPUTED_VALUE"""),50324563)</f>
        <v>50324563</v>
      </c>
      <c r="G96" s="37">
        <f ca="1">IFERROR(__xludf.DUMMYFUNCTION("""COMPUTED_VALUE"""),40329)</f>
        <v>40329</v>
      </c>
      <c r="H96" s="38" t="str">
        <f ca="1">IFERROR(__xludf.DUMMYFUNCTION("""COMPUTED_VALUE"""),"54 911 3407-7629")</f>
        <v>54 911 3407-7629</v>
      </c>
      <c r="I96" s="39" t="str">
        <f ca="1">IFERROR(__xludf.DUMMYFUNCTION("""COMPUTED_VALUE"""),"54 911 55 65-1028")</f>
        <v>54 911 55 65-1028</v>
      </c>
      <c r="J96" s="38" t="str">
        <f ca="1">IFERROR(__xludf.DUMMYFUNCTION("""COMPUTED_VALUE"""),"tdianda@rems.com.ar")</f>
        <v>tdianda@rems.com.ar</v>
      </c>
      <c r="K96" s="38" t="str">
        <f ca="1">IFERROR(__xludf.DUMMYFUNCTION("""COMPUTED_VALUE"""),"Femenino")</f>
        <v>Femenino</v>
      </c>
      <c r="L96" s="36" t="str">
        <f ca="1">IFERROR(__xludf.DUMMYFUNCTION("""COMPUTED_VALUE"""),"CGLNM")</f>
        <v>CGLNM</v>
      </c>
      <c r="M96" s="38" t="str">
        <f ca="1">IFERROR(__xludf.DUMMYFUNCTION("""COMPUTED_VALUE"""),"Interior (Optimist)")</f>
        <v>Interior (Optimist)</v>
      </c>
      <c r="N96" s="6" t="str">
        <f ca="1">IFERROR(__xludf.DUMMYFUNCTION("""COMPUTED_VALUE"""),"OPTIMIST TIMONELES")</f>
        <v>OPTIMIST TIMONELES</v>
      </c>
      <c r="O96" s="6"/>
      <c r="P96" s="6">
        <f ca="1">IFERROR(__xludf.DUMMYFUNCTION("""COMPUTED_VALUE"""),4114)</f>
        <v>4114</v>
      </c>
      <c r="Q96" s="38" t="str">
        <f ca="1">IFERROR(__xludf.DUMMYFUNCTION("""COMPUTED_VALUE"""),"no tienen")</f>
        <v>no tienen</v>
      </c>
      <c r="R96" s="38"/>
      <c r="S96" s="38"/>
      <c r="T96" s="38"/>
      <c r="U96" s="38"/>
      <c r="V96" s="38"/>
      <c r="W96" s="38"/>
      <c r="X96" s="40" t="str">
        <f ca="1">IFERROR(__xludf.DUMMYFUNCTION("""COMPUTED_VALUE"""),"Poder Judicial - Plan Unico - Nro Afiliado 41641/31 ")</f>
        <v xml:space="preserve">Poder Judicial - Plan Unico - Nro Afiliado 41641/31 </v>
      </c>
      <c r="Y96" s="6" t="str">
        <f ca="1">IFERROR(__xludf.DUMMYFUNCTION("""COMPUTED_VALUE"""),"Si")</f>
        <v>Si</v>
      </c>
      <c r="Z96" s="6" t="str">
        <f ca="1">IFERROR(__xludf.DUMMYFUNCTION("""COMPUTED_VALUE"""),"Acepto")</f>
        <v>Acepto</v>
      </c>
      <c r="AA96" s="41" t="str">
        <f ca="1">IFERROR(__xludf.DUMMYFUNCTION("""COMPUTED_VALUE"""),"Terminado")</f>
        <v>Terminado</v>
      </c>
      <c r="AB96" s="41">
        <f ca="1">IFERROR(__xludf.DUMMYFUNCTION("""COMPUTED_VALUE"""),50000)</f>
        <v>50000</v>
      </c>
      <c r="AC96" s="6">
        <f ca="1">IFERROR(__xludf.DUMMYFUNCTION("""COMPUTED_VALUE"""),205390)</f>
        <v>205390</v>
      </c>
      <c r="AD96" s="6" t="str">
        <f ca="1">IFERROR(__xludf.DUMMYFUNCTION("""COMPUTED_VALUE"""),"TRF 02-09")</f>
        <v>TRF 02-09</v>
      </c>
      <c r="AE96" s="6"/>
      <c r="AF96" s="6"/>
      <c r="AG96" s="36"/>
    </row>
    <row r="97" spans="1:33" ht="13.2">
      <c r="A97" s="35">
        <f ca="1">IFERROR(__xludf.DUMMYFUNCTION("""COMPUTED_VALUE"""),45538.475640405)</f>
        <v>45538.475640404999</v>
      </c>
      <c r="B97" s="36" t="str">
        <f ca="1">IFERROR(__xludf.DUMMYFUNCTION("""COMPUTED_VALUE"""),"Braian")</f>
        <v>Braian</v>
      </c>
      <c r="C97" s="36" t="str">
        <f ca="1">IFERROR(__xludf.DUMMYFUNCTION("""COMPUTED_VALUE"""),"Diaz Basualdo")</f>
        <v>Diaz Basualdo</v>
      </c>
      <c r="D97" s="36" t="str">
        <f ca="1">IFERROR(__xludf.DUMMYFUNCTION("""COMPUTED_VALUE"""),"San Fernando")</f>
        <v>San Fernando</v>
      </c>
      <c r="E97" s="6" t="str">
        <f ca="1">IFERROR(__xludf.DUMMYFUNCTION("""COMPUTED_VALUE"""),"ARG")</f>
        <v>ARG</v>
      </c>
      <c r="F97" s="6">
        <f ca="1">IFERROR(__xludf.DUMMYFUNCTION("""COMPUTED_VALUE"""),52619617)</f>
        <v>52619617</v>
      </c>
      <c r="G97" s="37">
        <f ca="1">IFERROR(__xludf.DUMMYFUNCTION("""COMPUTED_VALUE"""),41038)</f>
        <v>41038</v>
      </c>
      <c r="H97" s="38" t="str">
        <f ca="1">IFERROR(__xludf.DUMMYFUNCTION("""COMPUTED_VALUE"""),"+54 9 11 3394-3846")</f>
        <v>+54 9 11 3394-3846</v>
      </c>
      <c r="I97" s="38"/>
      <c r="J97" s="38" t="str">
        <f ca="1">IFERROR(__xludf.DUMMYFUNCTION("""COMPUTED_VALUE"""),"ignacio.varisco@gmail.com")</f>
        <v>ignacio.varisco@gmail.com</v>
      </c>
      <c r="K97" s="38" t="str">
        <f ca="1">IFERROR(__xludf.DUMMYFUNCTION("""COMPUTED_VALUE"""),"Masculino")</f>
        <v>Masculino</v>
      </c>
      <c r="L97" s="36" t="str">
        <f ca="1">IFERROR(__xludf.DUMMYFUNCTION("""COMPUTED_VALUE"""),"CPNLB- CBRIO")</f>
        <v>CPNLB- CBRIO</v>
      </c>
      <c r="M97" s="38"/>
      <c r="N97" s="6" t="str">
        <f ca="1">IFERROR(__xludf.DUMMYFUNCTION("""COMPUTED_VALUE"""),"OPTIMIST TIMONELES")</f>
        <v>OPTIMIST TIMONELES</v>
      </c>
      <c r="O97" s="6"/>
      <c r="P97" s="6" t="str">
        <f ca="1">IFERROR(__xludf.DUMMYFUNCTION("""COMPUTED_VALUE"""),"ARG 384")</f>
        <v>ARG 384</v>
      </c>
      <c r="Q97" s="38"/>
      <c r="R97" s="38"/>
      <c r="S97" s="38"/>
      <c r="T97" s="38"/>
      <c r="U97" s="38"/>
      <c r="V97" s="38"/>
      <c r="W97" s="38"/>
      <c r="X97" s="40"/>
      <c r="Y97" s="6" t="str">
        <f ca="1">IFERROR(__xludf.DUMMYFUNCTION("""COMPUTED_VALUE"""),"Si")</f>
        <v>Si</v>
      </c>
      <c r="Z97" s="6" t="str">
        <f ca="1">IFERROR(__xludf.DUMMYFUNCTION("""COMPUTED_VALUE"""),"Acepto")</f>
        <v>Acepto</v>
      </c>
      <c r="AA97" s="41" t="str">
        <f ca="1">IFERROR(__xludf.DUMMYFUNCTION("""COMPUTED_VALUE"""),"Pendiente")</f>
        <v>Pendiente</v>
      </c>
      <c r="AB97" s="41"/>
      <c r="AC97" s="6"/>
      <c r="AD97" s="6"/>
      <c r="AE97" s="6"/>
      <c r="AF97" s="20"/>
      <c r="AG97" s="22"/>
    </row>
    <row r="98" spans="1:33" ht="13.2">
      <c r="A98" s="18">
        <f ca="1">IFERROR(__xludf.DUMMYFUNCTION("""COMPUTED_VALUE"""),45538.4797852199)</f>
        <v>45538.479785219897</v>
      </c>
      <c r="B98" s="19" t="str">
        <f ca="1">IFERROR(__xludf.DUMMYFUNCTION("""COMPUTED_VALUE"""),"Bastian")</f>
        <v>Bastian</v>
      </c>
      <c r="C98" s="19" t="str">
        <f ca="1">IFERROR(__xludf.DUMMYFUNCTION("""COMPUTED_VALUE"""),"Distefani")</f>
        <v>Distefani</v>
      </c>
      <c r="D98" s="19" t="str">
        <f ca="1">IFERROR(__xludf.DUMMYFUNCTION("""COMPUTED_VALUE"""),"San Isidro")</f>
        <v>San Isidro</v>
      </c>
      <c r="E98" s="20" t="str">
        <f ca="1">IFERROR(__xludf.DUMMYFUNCTION("""COMPUTED_VALUE"""),"ARG")</f>
        <v>ARG</v>
      </c>
      <c r="F98" s="20">
        <f ca="1">IFERROR(__xludf.DUMMYFUNCTION("""COMPUTED_VALUE"""),53820941)</f>
        <v>53820941</v>
      </c>
      <c r="G98" s="31">
        <f ca="1">IFERROR(__xludf.DUMMYFUNCTION("""COMPUTED_VALUE"""),41668)</f>
        <v>41668</v>
      </c>
      <c r="H98" s="19" t="str">
        <f ca="1">IFERROR(__xludf.DUMMYFUNCTION("""COMPUTED_VALUE"""),"+54 9 11 3394-3846")</f>
        <v>+54 9 11 3394-3846</v>
      </c>
      <c r="I98" s="19"/>
      <c r="J98" s="19" t="str">
        <f ca="1">IFERROR(__xludf.DUMMYFUNCTION("""COMPUTED_VALUE"""),"ignacio.varisco@gmail.com")</f>
        <v>ignacio.varisco@gmail.com</v>
      </c>
      <c r="K98" s="19" t="str">
        <f ca="1">IFERROR(__xludf.DUMMYFUNCTION("""COMPUTED_VALUE"""),"Masculino")</f>
        <v>Masculino</v>
      </c>
      <c r="L98" s="22" t="str">
        <f ca="1">IFERROR(__xludf.DUMMYFUNCTION("""COMPUTED_VALUE"""),"CPNLB- CBRIO")</f>
        <v>CPNLB- CBRIO</v>
      </c>
      <c r="M98" s="19"/>
      <c r="N98" s="20" t="str">
        <f ca="1">IFERROR(__xludf.DUMMYFUNCTION("""COMPUTED_VALUE"""),"OPTIMIST PRINCIPIANTES")</f>
        <v>OPTIMIST PRINCIPIANTES</v>
      </c>
      <c r="O98" s="20"/>
      <c r="P98" s="20" t="str">
        <f ca="1">IFERROR(__xludf.DUMMYFUNCTION("""COMPUTED_VALUE"""),"USA 12804")</f>
        <v>USA 12804</v>
      </c>
      <c r="Q98" s="19" t="str">
        <f ca="1">IFERROR(__xludf.DUMMYFUNCTION("""COMPUTED_VALUE"""),"Ninja")</f>
        <v>Ninja</v>
      </c>
      <c r="R98" s="19"/>
      <c r="S98" s="19"/>
      <c r="T98" s="19"/>
      <c r="U98" s="19"/>
      <c r="V98" s="19"/>
      <c r="W98" s="19"/>
      <c r="X98" s="23"/>
      <c r="Y98" s="20" t="str">
        <f ca="1">IFERROR(__xludf.DUMMYFUNCTION("""COMPUTED_VALUE"""),"Si")</f>
        <v>Si</v>
      </c>
      <c r="Z98" s="20" t="str">
        <f ca="1">IFERROR(__xludf.DUMMYFUNCTION("""COMPUTED_VALUE"""),"Acepto")</f>
        <v>Acepto</v>
      </c>
      <c r="AA98" s="17" t="str">
        <f ca="1">IFERROR(__xludf.DUMMYFUNCTION("""COMPUTED_VALUE"""),"Pendiente")</f>
        <v>Pendiente</v>
      </c>
      <c r="AB98" s="17"/>
      <c r="AC98" s="6"/>
      <c r="AD98" s="6"/>
      <c r="AE98" s="6"/>
      <c r="AF98" s="20"/>
      <c r="AG98" s="22"/>
    </row>
    <row r="99" spans="1:33" ht="13.2">
      <c r="A99" s="18">
        <f ca="1">IFERROR(__xludf.DUMMYFUNCTION("""COMPUTED_VALUE"""),45535.2532572685)</f>
        <v>45535.253257268501</v>
      </c>
      <c r="B99" s="19" t="str">
        <f ca="1">IFERROR(__xludf.DUMMYFUNCTION("""COMPUTED_VALUE"""),"Luca")</f>
        <v>Luca</v>
      </c>
      <c r="C99" s="19" t="str">
        <f ca="1">IFERROR(__xludf.DUMMYFUNCTION("""COMPUTED_VALUE"""),"Donato")</f>
        <v>Donato</v>
      </c>
      <c r="D99" s="19" t="str">
        <f ca="1">IFERROR(__xludf.DUMMYFUNCTION("""COMPUTED_VALUE"""),"La Plata")</f>
        <v>La Plata</v>
      </c>
      <c r="E99" s="20" t="str">
        <f ca="1">IFERROR(__xludf.DUMMYFUNCTION("""COMPUTED_VALUE"""),"ARG")</f>
        <v>ARG</v>
      </c>
      <c r="F99" s="20">
        <f ca="1">IFERROR(__xludf.DUMMYFUNCTION("""COMPUTED_VALUE"""),49802533)</f>
        <v>49802533</v>
      </c>
      <c r="G99" s="31">
        <f ca="1">IFERROR(__xludf.DUMMYFUNCTION("""COMPUTED_VALUE"""),40065)</f>
        <v>40065</v>
      </c>
      <c r="H99" s="32">
        <f ca="1">IFERROR(__xludf.DUMMYFUNCTION("""COMPUTED_VALUE"""),2214193683)</f>
        <v>2214193683</v>
      </c>
      <c r="I99" s="19"/>
      <c r="J99" s="19" t="str">
        <f ca="1">IFERROR(__xludf.DUMMYFUNCTION("""COMPUTED_VALUE"""),"mdonato@fcnym.unlp.edu.ar")</f>
        <v>mdonato@fcnym.unlp.edu.ar</v>
      </c>
      <c r="K99" s="19" t="str">
        <f ca="1">IFERROR(__xludf.DUMMYFUNCTION("""COMPUTED_VALUE"""),"Masculino")</f>
        <v>Masculino</v>
      </c>
      <c r="L99" s="22" t="str">
        <f ca="1">IFERROR(__xludf.DUMMYFUNCTION("""COMPUTED_VALUE"""),"CRLP")</f>
        <v>CRLP</v>
      </c>
      <c r="M99" s="19"/>
      <c r="N99" s="20" t="str">
        <f ca="1">IFERROR(__xludf.DUMMYFUNCTION("""COMPUTED_VALUE"""),"OPTIMIST TIMONELES")</f>
        <v>OPTIMIST TIMONELES</v>
      </c>
      <c r="O99" s="20"/>
      <c r="P99" s="20">
        <f ca="1">IFERROR(__xludf.DUMMYFUNCTION("""COMPUTED_VALUE"""),3061)</f>
        <v>3061</v>
      </c>
      <c r="Q99" s="19" t="str">
        <f ca="1">IFERROR(__xludf.DUMMYFUNCTION("""COMPUTED_VALUE"""),"Deja Vu")</f>
        <v>Deja Vu</v>
      </c>
      <c r="R99" s="19"/>
      <c r="S99" s="19"/>
      <c r="T99" s="19"/>
      <c r="U99" s="19"/>
      <c r="V99" s="19"/>
      <c r="W99" s="19"/>
      <c r="X99" s="23" t="str">
        <f ca="1">IFERROR(__xludf.DUMMYFUNCTION("""COMPUTED_VALUE"""),"OSDE/61500367104")</f>
        <v>OSDE/61500367104</v>
      </c>
      <c r="Y99" s="20" t="str">
        <f ca="1">IFERROR(__xludf.DUMMYFUNCTION("""COMPUTED_VALUE"""),"Si")</f>
        <v>Si</v>
      </c>
      <c r="Z99" s="20" t="str">
        <f ca="1">IFERROR(__xludf.DUMMYFUNCTION("""COMPUTED_VALUE"""),"Acepto")</f>
        <v>Acepto</v>
      </c>
      <c r="AA99" s="17" t="str">
        <f ca="1">IFERROR(__xludf.DUMMYFUNCTION("""COMPUTED_VALUE"""),"Terminado")</f>
        <v>Terminado</v>
      </c>
      <c r="AB99" s="17">
        <f ca="1">IFERROR(__xludf.DUMMYFUNCTION("""COMPUTED_VALUE"""),50000)</f>
        <v>50000</v>
      </c>
      <c r="AC99" s="6">
        <f ca="1">IFERROR(__xludf.DUMMYFUNCTION("""COMPUTED_VALUE"""),205141)</f>
        <v>205141</v>
      </c>
      <c r="AD99" s="6" t="str">
        <f ca="1">IFERROR(__xludf.DUMMYFUNCTION("""COMPUTED_VALUE"""),"TRF 31-08")</f>
        <v>TRF 31-08</v>
      </c>
      <c r="AE99" s="6"/>
      <c r="AF99" s="20"/>
      <c r="AG99" s="22"/>
    </row>
    <row r="100" spans="1:33" ht="13.2">
      <c r="A100" s="18">
        <f ca="1">IFERROR(__xludf.DUMMYFUNCTION("""COMPUTED_VALUE"""),45535.5671478819)</f>
        <v>45535.567147881899</v>
      </c>
      <c r="B100" s="19" t="str">
        <f ca="1">IFERROR(__xludf.DUMMYFUNCTION("""COMPUTED_VALUE"""),"Janko")</f>
        <v>Janko</v>
      </c>
      <c r="C100" s="19" t="str">
        <f ca="1">IFERROR(__xludf.DUMMYFUNCTION("""COMPUTED_VALUE"""),"DONOFRIO FREYTES")</f>
        <v>DONOFRIO FREYTES</v>
      </c>
      <c r="D100" s="19" t="str">
        <f ca="1">IFERROR(__xludf.DUMMYFUNCTION("""COMPUTED_VALUE"""),"CABA")</f>
        <v>CABA</v>
      </c>
      <c r="E100" s="20" t="str">
        <f ca="1">IFERROR(__xludf.DUMMYFUNCTION("""COMPUTED_VALUE"""),"ARG")</f>
        <v>ARG</v>
      </c>
      <c r="F100" s="20">
        <f ca="1">IFERROR(__xludf.DUMMYFUNCTION("""COMPUTED_VALUE"""),50671157)</f>
        <v>50671157</v>
      </c>
      <c r="G100" s="21">
        <f ca="1">IFERROR(__xludf.DUMMYFUNCTION("""COMPUTED_VALUE"""),40841)</f>
        <v>40841</v>
      </c>
      <c r="H100" s="20">
        <f ca="1">IFERROR(__xludf.DUMMYFUNCTION("""COMPUTED_VALUE"""),1536571538)</f>
        <v>1536571538</v>
      </c>
      <c r="I100" s="20">
        <f ca="1">IFERROR(__xludf.DUMMYFUNCTION("""COMPUTED_VALUE"""),1540654972)</f>
        <v>1540654972</v>
      </c>
      <c r="J100" s="20" t="str">
        <f ca="1">IFERROR(__xludf.DUMMYFUNCTION("""COMPUTED_VALUE"""),"adonofr@gmail.com")</f>
        <v>adonofr@gmail.com</v>
      </c>
      <c r="K100" s="20" t="str">
        <f ca="1">IFERROR(__xludf.DUMMYFUNCTION("""COMPUTED_VALUE"""),"Masculino")</f>
        <v>Masculino</v>
      </c>
      <c r="L100" s="22" t="str">
        <f ca="1">IFERROR(__xludf.DUMMYFUNCTION("""COMPUTED_VALUE"""),"YCCN")</f>
        <v>YCCN</v>
      </c>
      <c r="M100" s="19" t="str">
        <f ca="1">IFERROR(__xludf.DUMMYFUNCTION("""COMPUTED_VALUE"""),"Interior (Optimist)")</f>
        <v>Interior (Optimist)</v>
      </c>
      <c r="N100" s="20" t="str">
        <f ca="1">IFERROR(__xludf.DUMMYFUNCTION("""COMPUTED_VALUE"""),"OPTIMIST TIMONELES")</f>
        <v>OPTIMIST TIMONELES</v>
      </c>
      <c r="O100" s="20"/>
      <c r="P100" s="20">
        <f ca="1">IFERROR(__xludf.DUMMYFUNCTION("""COMPUTED_VALUE"""),3876)</f>
        <v>3876</v>
      </c>
      <c r="Q100" s="19"/>
      <c r="R100" s="19"/>
      <c r="S100" s="19"/>
      <c r="T100" s="19"/>
      <c r="U100" s="19"/>
      <c r="V100" s="19"/>
      <c r="W100" s="19"/>
      <c r="X100" s="23"/>
      <c r="Y100" s="20" t="str">
        <f ca="1">IFERROR(__xludf.DUMMYFUNCTION("""COMPUTED_VALUE"""),"No")</f>
        <v>No</v>
      </c>
      <c r="Z100" s="20" t="str">
        <f ca="1">IFERROR(__xludf.DUMMYFUNCTION("""COMPUTED_VALUE"""),"Acepto")</f>
        <v>Acepto</v>
      </c>
      <c r="AA100" s="24" t="str">
        <f ca="1">IFERROR(__xludf.DUMMYFUNCTION("""COMPUTED_VALUE"""),"Terminado")</f>
        <v>Terminado</v>
      </c>
      <c r="AB100" s="24">
        <f ca="1">IFERROR(__xludf.DUMMYFUNCTION("""COMPUTED_VALUE"""),60000)</f>
        <v>60000</v>
      </c>
      <c r="AC100" s="6">
        <f ca="1">IFERROR(__xludf.DUMMYFUNCTION("""COMPUTED_VALUE"""),205156)</f>
        <v>205156</v>
      </c>
      <c r="AD100" s="6" t="str">
        <f ca="1">IFERROR(__xludf.DUMMYFUNCTION("""COMPUTED_VALUE"""),"TRF 31-08")</f>
        <v>TRF 31-08</v>
      </c>
      <c r="AE100" s="6"/>
      <c r="AF100" s="20"/>
      <c r="AG100" s="22"/>
    </row>
    <row r="101" spans="1:33" ht="13.2">
      <c r="A101" s="29">
        <f ca="1">IFERROR(__xludf.DUMMYFUNCTION("""COMPUTED_VALUE"""),45538.4194906481)</f>
        <v>45538.419490648099</v>
      </c>
      <c r="B101" s="19" t="str">
        <f ca="1">IFERROR(__xludf.DUMMYFUNCTION("""COMPUTED_VALUE"""),"Felix")</f>
        <v>Felix</v>
      </c>
      <c r="C101" s="19" t="str">
        <f ca="1">IFERROR(__xludf.DUMMYFUNCTION("""COMPUTED_VALUE"""),"Doval")</f>
        <v>Doval</v>
      </c>
      <c r="D101" s="19" t="str">
        <f ca="1">IFERROR(__xludf.DUMMYFUNCTION("""COMPUTED_VALUE"""),"San Isidro")</f>
        <v>San Isidro</v>
      </c>
      <c r="E101" s="20" t="str">
        <f ca="1">IFERROR(__xludf.DUMMYFUNCTION("""COMPUTED_VALUE"""),"ARG")</f>
        <v>ARG</v>
      </c>
      <c r="F101" s="20">
        <f ca="1">IFERROR(__xludf.DUMMYFUNCTION("""COMPUTED_VALUE"""),53454414)</f>
        <v>53454414</v>
      </c>
      <c r="G101" s="21">
        <f ca="1">IFERROR(__xludf.DUMMYFUNCTION("""COMPUTED_VALUE"""),41515)</f>
        <v>41515</v>
      </c>
      <c r="H101" s="20">
        <f ca="1">IFERROR(__xludf.DUMMYFUNCTION("""COMPUTED_VALUE"""),1150022001)</f>
        <v>1150022001</v>
      </c>
      <c r="I101" s="42">
        <f ca="1">IFERROR(__xludf.DUMMYFUNCTION("""COMPUTED_VALUE"""),1150022001)</f>
        <v>1150022001</v>
      </c>
      <c r="J101" s="20" t="str">
        <f ca="1">IFERROR(__xludf.DUMMYFUNCTION("""COMPUTED_VALUE"""),"Santiago.doval@dovamar.com.ar")</f>
        <v>Santiago.doval@dovamar.com.ar</v>
      </c>
      <c r="K101" s="20" t="str">
        <f ca="1">IFERROR(__xludf.DUMMYFUNCTION("""COMPUTED_VALUE"""),"Masculino")</f>
        <v>Masculino</v>
      </c>
      <c r="L101" s="22" t="str">
        <f ca="1">IFERROR(__xludf.DUMMYFUNCTION("""COMPUTED_VALUE"""),"YCA")</f>
        <v>YCA</v>
      </c>
      <c r="M101" s="19" t="str">
        <f ca="1">IFERROR(__xludf.DUMMYFUNCTION("""COMPUTED_VALUE"""),"Optimist principiante")</f>
        <v>Optimist principiante</v>
      </c>
      <c r="N101" s="20" t="str">
        <f ca="1">IFERROR(__xludf.DUMMYFUNCTION("""COMPUTED_VALUE"""),"OPTIMIST PRINCIPIANTES")</f>
        <v>OPTIMIST PRINCIPIANTES</v>
      </c>
      <c r="O101" s="20"/>
      <c r="P101" s="20" t="str">
        <f ca="1">IFERROR(__xludf.DUMMYFUNCTION("""COMPUTED_VALUE"""),"Arg 3677")</f>
        <v>Arg 3677</v>
      </c>
      <c r="Q101" s="19" t="str">
        <f ca="1">IFERROR(__xludf.DUMMYFUNCTION("""COMPUTED_VALUE"""),"Lobuno")</f>
        <v>Lobuno</v>
      </c>
      <c r="R101" s="19"/>
      <c r="S101" s="19"/>
      <c r="T101" s="19"/>
      <c r="U101" s="19"/>
      <c r="V101" s="19"/>
      <c r="W101" s="19"/>
      <c r="X101" s="23" t="str">
        <f ca="1">IFERROR(__xludf.DUMMYFUNCTION("""COMPUTED_VALUE"""),"Osde / 60875617103")</f>
        <v>Osde / 60875617103</v>
      </c>
      <c r="Y101" s="20" t="str">
        <f ca="1">IFERROR(__xludf.DUMMYFUNCTION("""COMPUTED_VALUE"""),"No")</f>
        <v>No</v>
      </c>
      <c r="Z101" s="20" t="str">
        <f ca="1">IFERROR(__xludf.DUMMYFUNCTION("""COMPUTED_VALUE"""),"Acepto")</f>
        <v>Acepto</v>
      </c>
      <c r="AA101" s="17" t="str">
        <f ca="1">IFERROR(__xludf.DUMMYFUNCTION("""COMPUTED_VALUE"""),"Terminado")</f>
        <v>Terminado</v>
      </c>
      <c r="AB101" s="17">
        <f ca="1">IFERROR(__xludf.DUMMYFUNCTION("""COMPUTED_VALUE"""),50000)</f>
        <v>50000</v>
      </c>
      <c r="AC101" s="6">
        <f ca="1">IFERROR(__xludf.DUMMYFUNCTION("""COMPUTED_VALUE"""),205408)</f>
        <v>205408</v>
      </c>
      <c r="AD101" s="6" t="str">
        <f ca="1">IFERROR(__xludf.DUMMYFUNCTION("""COMPUTED_VALUE"""),"TRF 03-09")</f>
        <v>TRF 03-09</v>
      </c>
      <c r="AE101" s="6"/>
      <c r="AF101" s="20"/>
      <c r="AG101" s="22"/>
    </row>
    <row r="102" spans="1:33" ht="13.2">
      <c r="A102" s="43">
        <f ca="1">IFERROR(__xludf.DUMMYFUNCTION("""COMPUTED_VALUE"""),45519.7177742245)</f>
        <v>45519.717774224497</v>
      </c>
      <c r="B102" s="36" t="str">
        <f ca="1">IFERROR(__xludf.DUMMYFUNCTION("""COMPUTED_VALUE"""),"Julian Maria")</f>
        <v>Julian Maria</v>
      </c>
      <c r="C102" s="36" t="str">
        <f ca="1">IFERROR(__xludf.DUMMYFUNCTION("""COMPUTED_VALUE"""),"Duarte Argerich")</f>
        <v>Duarte Argerich</v>
      </c>
      <c r="D102" s="36" t="str">
        <f ca="1">IFERROR(__xludf.DUMMYFUNCTION("""COMPUTED_VALUE"""),"Buenos Aires")</f>
        <v>Buenos Aires</v>
      </c>
      <c r="E102" s="6" t="str">
        <f ca="1">IFERROR(__xludf.DUMMYFUNCTION("""COMPUTED_VALUE"""),"ARG")</f>
        <v>ARG</v>
      </c>
      <c r="F102" s="6">
        <f ca="1">IFERROR(__xludf.DUMMYFUNCTION("""COMPUTED_VALUE"""),40133927)</f>
        <v>40133927</v>
      </c>
      <c r="G102" s="44">
        <f ca="1">IFERROR(__xludf.DUMMYFUNCTION("""COMPUTED_VALUE"""),35446)</f>
        <v>35446</v>
      </c>
      <c r="H102" s="6">
        <f ca="1">IFERROR(__xludf.DUMMYFUNCTION("""COMPUTED_VALUE"""),1140504328)</f>
        <v>1140504328</v>
      </c>
      <c r="I102" s="6"/>
      <c r="J102" s="6" t="str">
        <f ca="1">IFERROR(__xludf.DUMMYFUNCTION("""COMPUTED_VALUE"""),"jmdargerich@gmail.com")</f>
        <v>jmdargerich@gmail.com</v>
      </c>
      <c r="K102" s="6" t="str">
        <f ca="1">IFERROR(__xludf.DUMMYFUNCTION("""COMPUTED_VALUE"""),"Masculino")</f>
        <v>Masculino</v>
      </c>
      <c r="L102" s="36" t="str">
        <f ca="1">IFERROR(__xludf.DUMMYFUNCTION("""COMPUTED_VALUE"""),"CUBA")</f>
        <v>CUBA</v>
      </c>
      <c r="M102" s="36"/>
      <c r="N102" s="6" t="str">
        <f ca="1">IFERROR(__xludf.DUMMYFUNCTION("""COMPUTED_VALUE"""),"WING FOIL")</f>
        <v>WING FOIL</v>
      </c>
      <c r="O102" s="6"/>
      <c r="P102" s="6">
        <f ca="1">IFERROR(__xludf.DUMMYFUNCTION("""COMPUTED_VALUE"""),21)</f>
        <v>21</v>
      </c>
      <c r="Q102" s="6"/>
      <c r="R102" s="45"/>
      <c r="S102" s="6"/>
      <c r="T102" s="6"/>
      <c r="U102" s="6"/>
      <c r="V102" s="38"/>
      <c r="W102" s="38"/>
      <c r="X102" s="40" t="str">
        <f ca="1">IFERROR(__xludf.DUMMYFUNCTION("""COMPUTED_VALUE"""),"OSDE ")</f>
        <v xml:space="preserve">OSDE </v>
      </c>
      <c r="Y102" s="6" t="str">
        <f ca="1">IFERROR(__xludf.DUMMYFUNCTION("""COMPUTED_VALUE"""),"No")</f>
        <v>No</v>
      </c>
      <c r="Z102" s="6" t="str">
        <f ca="1">IFERROR(__xludf.DUMMYFUNCTION("""COMPUTED_VALUE"""),"Acepto")</f>
        <v>Acepto</v>
      </c>
      <c r="AA102" s="41" t="str">
        <f ca="1">IFERROR(__xludf.DUMMYFUNCTION("""COMPUTED_VALUE"""),"Pendiente")</f>
        <v>Pendiente</v>
      </c>
      <c r="AB102" s="41"/>
      <c r="AC102" s="6"/>
      <c r="AD102" s="6"/>
      <c r="AE102" s="6"/>
      <c r="AF102" s="6"/>
      <c r="AG102" s="36"/>
    </row>
    <row r="103" spans="1:33" ht="13.2">
      <c r="A103" s="35">
        <f ca="1">IFERROR(__xludf.DUMMYFUNCTION("""COMPUTED_VALUE"""),45535.4944087268)</f>
        <v>45535.494408726801</v>
      </c>
      <c r="B103" s="36" t="str">
        <f ca="1">IFERROR(__xludf.DUMMYFUNCTION("""COMPUTED_VALUE"""),"Tomas ")</f>
        <v xml:space="preserve">Tomas </v>
      </c>
      <c r="C103" s="36" t="str">
        <f ca="1">IFERROR(__xludf.DUMMYFUNCTION("""COMPUTED_VALUE"""),"Elias")</f>
        <v>Elias</v>
      </c>
      <c r="D103" s="36" t="str">
        <f ca="1">IFERROR(__xludf.DUMMYFUNCTION("""COMPUTED_VALUE"""),"CABA ")</f>
        <v xml:space="preserve">CABA </v>
      </c>
      <c r="E103" s="38" t="str">
        <f ca="1">IFERROR(__xludf.DUMMYFUNCTION("""COMPUTED_VALUE"""),"ARG")</f>
        <v>ARG</v>
      </c>
      <c r="F103" s="38">
        <f ca="1">IFERROR(__xludf.DUMMYFUNCTION("""COMPUTED_VALUE"""),47866955)</f>
        <v>47866955</v>
      </c>
      <c r="G103" s="37">
        <f ca="1">IFERROR(__xludf.DUMMYFUNCTION("""COMPUTED_VALUE"""),39329)</f>
        <v>39329</v>
      </c>
      <c r="H103" s="38" t="str">
        <f ca="1">IFERROR(__xludf.DUMMYFUNCTION("""COMPUTED_VALUE"""),"‪+54 9 11 4079‑2894‬")</f>
        <v>‪+54 9 11 4079‑2894‬</v>
      </c>
      <c r="I103" s="38">
        <f ca="1">IFERROR(__xludf.DUMMYFUNCTION("""COMPUTED_VALUE"""),1149936115)</f>
        <v>1149936115</v>
      </c>
      <c r="J103" s="38" t="str">
        <f ca="1">IFERROR(__xludf.DUMMYFUNCTION("""COMPUTED_VALUE"""),"tomaselias@educacioncopello.com.ar")</f>
        <v>tomaselias@educacioncopello.com.ar</v>
      </c>
      <c r="K103" s="38" t="str">
        <f ca="1">IFERROR(__xludf.DUMMYFUNCTION("""COMPUTED_VALUE"""),"Masculino")</f>
        <v>Masculino</v>
      </c>
      <c r="L103" s="38" t="str">
        <f ca="1">IFERROR(__xludf.DUMMYFUNCTION("""COMPUTED_VALUE"""),"CUBA")</f>
        <v>CUBA</v>
      </c>
      <c r="M103" s="38" t="str">
        <f ca="1">IFERROR(__xludf.DUMMYFUNCTION("""COMPUTED_VALUE"""),"Junior")</f>
        <v>Junior</v>
      </c>
      <c r="N103" s="6" t="str">
        <f ca="1">IFERROR(__xludf.DUMMYFUNCTION("""COMPUTED_VALUE"""),"ILCA 6")</f>
        <v>ILCA 6</v>
      </c>
      <c r="O103" s="6"/>
      <c r="P103" s="6">
        <f ca="1">IFERROR(__xludf.DUMMYFUNCTION("""COMPUTED_VALUE"""),223031)</f>
        <v>223031</v>
      </c>
      <c r="Q103" s="38"/>
      <c r="R103" s="38"/>
      <c r="S103" s="38"/>
      <c r="T103" s="38"/>
      <c r="U103" s="38"/>
      <c r="V103" s="38"/>
      <c r="W103" s="38"/>
      <c r="X103" s="40" t="str">
        <f ca="1">IFERROR(__xludf.DUMMYFUNCTION("""COMPUTED_VALUE"""),"Hospital Alemán ")</f>
        <v xml:space="preserve">Hospital Alemán </v>
      </c>
      <c r="Y103" s="6" t="str">
        <f ca="1">IFERROR(__xludf.DUMMYFUNCTION("""COMPUTED_VALUE"""),"No")</f>
        <v>No</v>
      </c>
      <c r="Z103" s="38" t="str">
        <f ca="1">IFERROR(__xludf.DUMMYFUNCTION("""COMPUTED_VALUE"""),"Acepto")</f>
        <v>Acepto</v>
      </c>
      <c r="AA103" s="38" t="str">
        <f ca="1">IFERROR(__xludf.DUMMYFUNCTION("""COMPUTED_VALUE"""),"Terminado")</f>
        <v>Terminado</v>
      </c>
      <c r="AB103" s="38">
        <f ca="1">IFERROR(__xludf.DUMMYFUNCTION("""COMPUTED_VALUE"""),45000)</f>
        <v>45000</v>
      </c>
      <c r="AC103" s="6">
        <f ca="1">IFERROR(__xludf.DUMMYFUNCTION("""COMPUTED_VALUE"""),205481)</f>
        <v>205481</v>
      </c>
      <c r="AD103" s="6" t="str">
        <f ca="1">IFERROR(__xludf.DUMMYFUNCTION("""COMPUTED_VALUE"""),"TRF 05-09")</f>
        <v>TRF 05-09</v>
      </c>
      <c r="AE103" s="6"/>
      <c r="AF103" s="6"/>
      <c r="AG103" s="36"/>
    </row>
    <row r="104" spans="1:33" ht="13.2">
      <c r="A104" s="35">
        <f ca="1">IFERROR(__xludf.DUMMYFUNCTION("""COMPUTED_VALUE"""),45539.918551956)</f>
        <v>45539.918551955998</v>
      </c>
      <c r="B104" s="36" t="str">
        <f ca="1">IFERROR(__xludf.DUMMYFUNCTION("""COMPUTED_VALUE"""),"Gael")</f>
        <v>Gael</v>
      </c>
      <c r="C104" s="36" t="str">
        <f ca="1">IFERROR(__xludf.DUMMYFUNCTION("""COMPUTED_VALUE"""),"Elkayam")</f>
        <v>Elkayam</v>
      </c>
      <c r="D104" s="36" t="str">
        <f ca="1">IFERROR(__xludf.DUMMYFUNCTION("""COMPUTED_VALUE"""),"Caba")</f>
        <v>Caba</v>
      </c>
      <c r="E104" s="38" t="str">
        <f ca="1">IFERROR(__xludf.DUMMYFUNCTION("""COMPUTED_VALUE"""),"ARG")</f>
        <v>ARG</v>
      </c>
      <c r="F104" s="38">
        <f ca="1">IFERROR(__xludf.DUMMYFUNCTION("""COMPUTED_VALUE"""),53583314)</f>
        <v>53583314</v>
      </c>
      <c r="G104" s="37">
        <f ca="1">IFERROR(__xludf.DUMMYFUNCTION("""COMPUTED_VALUE"""),41554)</f>
        <v>41554</v>
      </c>
      <c r="H104" s="38">
        <f ca="1">IFERROR(__xludf.DUMMYFUNCTION("""COMPUTED_VALUE"""),11680202848)</f>
        <v>11680202848</v>
      </c>
      <c r="I104" s="38">
        <f ca="1">IFERROR(__xludf.DUMMYFUNCTION("""COMPUTED_VALUE"""),1154785001)</f>
        <v>1154785001</v>
      </c>
      <c r="J104" s="38" t="str">
        <f ca="1">IFERROR(__xludf.DUMMYFUNCTION("""COMPUTED_VALUE"""),"Glenda00@gmail.com")</f>
        <v>Glenda00@gmail.com</v>
      </c>
      <c r="K104" s="38" t="str">
        <f ca="1">IFERROR(__xludf.DUMMYFUNCTION("""COMPUTED_VALUE"""),"Masculino")</f>
        <v>Masculino</v>
      </c>
      <c r="L104" s="38" t="str">
        <f ca="1">IFERROR(__xludf.DUMMYFUNCTION("""COMPUTED_VALUE"""),"CNA")</f>
        <v>CNA</v>
      </c>
      <c r="M104" s="38" t="str">
        <f ca="1">IFERROR(__xludf.DUMMYFUNCTION("""COMPUTED_VALUE"""),"Interior (Optimist)")</f>
        <v>Interior (Optimist)</v>
      </c>
      <c r="N104" s="6" t="str">
        <f ca="1">IFERROR(__xludf.DUMMYFUNCTION("""COMPUTED_VALUE"""),"OPTIMIST PRINCIPIANTES")</f>
        <v>OPTIMIST PRINCIPIANTES</v>
      </c>
      <c r="O104" s="6"/>
      <c r="P104" s="6">
        <f ca="1">IFERROR(__xludf.DUMMYFUNCTION("""COMPUTED_VALUE"""),2956)</f>
        <v>2956</v>
      </c>
      <c r="Q104" s="38" t="str">
        <f ca="1">IFERROR(__xludf.DUMMYFUNCTION("""COMPUTED_VALUE"""),"Ensueño")</f>
        <v>Ensueño</v>
      </c>
      <c r="R104" s="38" t="str">
        <f ca="1">IFERROR(__xludf.DUMMYFUNCTION("""COMPUTED_VALUE"""),"Gael Elkayam")</f>
        <v>Gael Elkayam</v>
      </c>
      <c r="S104" s="38"/>
      <c r="T104" s="38"/>
      <c r="U104" s="38"/>
      <c r="V104" s="38"/>
      <c r="W104" s="38"/>
      <c r="X104" s="40" t="str">
        <f ca="1">IFERROR(__xludf.DUMMYFUNCTION("""COMPUTED_VALUE"""),"Gael Elkayam")</f>
        <v>Gael Elkayam</v>
      </c>
      <c r="Y104" s="6" t="str">
        <f ca="1">IFERROR(__xludf.DUMMYFUNCTION("""COMPUTED_VALUE"""),"Si")</f>
        <v>Si</v>
      </c>
      <c r="Z104" s="38" t="str">
        <f ca="1">IFERROR(__xludf.DUMMYFUNCTION("""COMPUTED_VALUE"""),"Acepto")</f>
        <v>Acepto</v>
      </c>
      <c r="AA104" s="38" t="str">
        <f ca="1">IFERROR(__xludf.DUMMYFUNCTION("""COMPUTED_VALUE"""),"Pendiente")</f>
        <v>Pendiente</v>
      </c>
      <c r="AB104" s="38"/>
      <c r="AC104" s="6"/>
      <c r="AD104" s="6"/>
      <c r="AE104" s="6"/>
      <c r="AF104" s="6"/>
      <c r="AG104" s="36"/>
    </row>
    <row r="105" spans="1:33" ht="13.2">
      <c r="A105" s="35">
        <f ca="1">IFERROR(__xludf.DUMMYFUNCTION("""COMPUTED_VALUE"""),45535.7002323379)</f>
        <v>45535.700232337898</v>
      </c>
      <c r="B105" s="36" t="str">
        <f ca="1">IFERROR(__xludf.DUMMYFUNCTION("""COMPUTED_VALUE"""),"Felipe")</f>
        <v>Felipe</v>
      </c>
      <c r="C105" s="36" t="str">
        <f ca="1">IFERROR(__xludf.DUMMYFUNCTION("""COMPUTED_VALUE"""),"Elorriaga")</f>
        <v>Elorriaga</v>
      </c>
      <c r="D105" s="36" t="str">
        <f ca="1">IFERROR(__xludf.DUMMYFUNCTION("""COMPUTED_VALUE"""),"Zarate")</f>
        <v>Zarate</v>
      </c>
      <c r="E105" s="38" t="str">
        <f ca="1">IFERROR(__xludf.DUMMYFUNCTION("""COMPUTED_VALUE"""),"ARG")</f>
        <v>ARG</v>
      </c>
      <c r="F105" s="38">
        <f ca="1">IFERROR(__xludf.DUMMYFUNCTION("""COMPUTED_VALUE"""),54099646)</f>
        <v>54099646</v>
      </c>
      <c r="G105" s="37">
        <f ca="1">IFERROR(__xludf.DUMMYFUNCTION("""COMPUTED_VALUE"""),41800)</f>
        <v>41800</v>
      </c>
      <c r="H105" s="38" t="str">
        <f ca="1">IFERROR(__xludf.DUMMYFUNCTION("""COMPUTED_VALUE"""),"03487302617")</f>
        <v>03487302617</v>
      </c>
      <c r="I105" s="38" t="str">
        <f ca="1">IFERROR(__xludf.DUMMYFUNCTION("""COMPUTED_VALUE"""),"03487302617")</f>
        <v>03487302617</v>
      </c>
      <c r="J105" s="38" t="str">
        <f ca="1">IFERROR(__xludf.DUMMYFUNCTION("""COMPUTED_VALUE"""),"mingote_elo@hotmail.com")</f>
        <v>mingote_elo@hotmail.com</v>
      </c>
      <c r="K105" s="38" t="str">
        <f ca="1">IFERROR(__xludf.DUMMYFUNCTION("""COMPUTED_VALUE"""),"Masculino")</f>
        <v>Masculino</v>
      </c>
      <c r="L105" s="38" t="str">
        <f ca="1">IFERROR(__xludf.DUMMYFUNCTION("""COMPUTED_VALUE"""),"CNZ")</f>
        <v>CNZ</v>
      </c>
      <c r="M105" s="38"/>
      <c r="N105" s="6" t="str">
        <f ca="1">IFERROR(__xludf.DUMMYFUNCTION("""COMPUTED_VALUE"""),"OPTIMIST PRINCIPIANTES")</f>
        <v>OPTIMIST PRINCIPIANTES</v>
      </c>
      <c r="O105" s="6"/>
      <c r="P105" s="6" t="str">
        <f ca="1">IFERROR(__xludf.DUMMYFUNCTION("""COMPUTED_VALUE"""),"ARG 4116")</f>
        <v>ARG 4116</v>
      </c>
      <c r="Q105" s="38" t="str">
        <f ca="1">IFERROR(__xludf.DUMMYFUNCTION("""COMPUTED_VALUE"""),"Basta!!!")</f>
        <v>Basta!!!</v>
      </c>
      <c r="R105" s="38"/>
      <c r="S105" s="38"/>
      <c r="T105" s="38"/>
      <c r="U105" s="38"/>
      <c r="V105" s="38"/>
      <c r="W105" s="38"/>
      <c r="X105" s="40" t="str">
        <f ca="1">IFERROR(__xludf.DUMMYFUNCTION("""COMPUTED_VALUE"""),"Swiss Medical")</f>
        <v>Swiss Medical</v>
      </c>
      <c r="Y105" s="6" t="str">
        <f ca="1">IFERROR(__xludf.DUMMYFUNCTION("""COMPUTED_VALUE"""),"Si")</f>
        <v>Si</v>
      </c>
      <c r="Z105" s="38" t="str">
        <f ca="1">IFERROR(__xludf.DUMMYFUNCTION("""COMPUTED_VALUE"""),"Acepto")</f>
        <v>Acepto</v>
      </c>
      <c r="AA105" s="38" t="str">
        <f ca="1">IFERROR(__xludf.DUMMYFUNCTION("""COMPUTED_VALUE"""),"Terminado")</f>
        <v>Terminado</v>
      </c>
      <c r="AB105" s="38">
        <f ca="1">IFERROR(__xludf.DUMMYFUNCTION("""COMPUTED_VALUE"""),50000)</f>
        <v>50000</v>
      </c>
      <c r="AC105" s="6">
        <f ca="1">IFERROR(__xludf.DUMMYFUNCTION("""COMPUTED_VALUE"""),205368)</f>
        <v>205368</v>
      </c>
      <c r="AD105" s="6" t="str">
        <f ca="1">IFERROR(__xludf.DUMMYFUNCTION("""COMPUTED_VALUE"""),"TRF 31-08")</f>
        <v>TRF 31-08</v>
      </c>
      <c r="AE105" s="6"/>
      <c r="AF105" s="6"/>
      <c r="AG105" s="36"/>
    </row>
    <row r="106" spans="1:33" ht="13.2">
      <c r="A106" s="35">
        <f ca="1">IFERROR(__xludf.DUMMYFUNCTION("""COMPUTED_VALUE"""),45526.7763544328)</f>
        <v>45526.776354432797</v>
      </c>
      <c r="B106" s="36" t="str">
        <f ca="1">IFERROR(__xludf.DUMMYFUNCTION("""COMPUTED_VALUE"""),"Fernando")</f>
        <v>Fernando</v>
      </c>
      <c r="C106" s="36" t="str">
        <f ca="1">IFERROR(__xludf.DUMMYFUNCTION("""COMPUTED_VALUE"""),"Esquivo")</f>
        <v>Esquivo</v>
      </c>
      <c r="D106" s="36" t="str">
        <f ca="1">IFERROR(__xludf.DUMMYFUNCTION("""COMPUTED_VALUE"""),"Concepcion del Uruguay")</f>
        <v>Concepcion del Uruguay</v>
      </c>
      <c r="E106" s="38" t="str">
        <f ca="1">IFERROR(__xludf.DUMMYFUNCTION("""COMPUTED_VALUE"""),"ARG")</f>
        <v>ARG</v>
      </c>
      <c r="F106" s="38">
        <f ca="1">IFERROR(__xludf.DUMMYFUNCTION("""COMPUTED_VALUE"""),17552302)</f>
        <v>17552302</v>
      </c>
      <c r="G106" s="37">
        <f ca="1">IFERROR(__xludf.DUMMYFUNCTION("""COMPUTED_VALUE"""),45526)</f>
        <v>45526</v>
      </c>
      <c r="H106" s="38">
        <f ca="1">IFERROR(__xludf.DUMMYFUNCTION("""COMPUTED_VALUE"""),3442479756)</f>
        <v>3442479756</v>
      </c>
      <c r="I106" s="38">
        <f ca="1">IFERROR(__xludf.DUMMYFUNCTION("""COMPUTED_VALUE"""),3442479756)</f>
        <v>3442479756</v>
      </c>
      <c r="J106" s="38" t="str">
        <f ca="1">IFERROR(__xludf.DUMMYFUNCTION("""COMPUTED_VALUE"""),"Fernandoesquivo@hotmail.com")</f>
        <v>Fernandoesquivo@hotmail.com</v>
      </c>
      <c r="K106" s="38" t="str">
        <f ca="1">IFERROR(__xludf.DUMMYFUNCTION("""COMPUTED_VALUE"""),"Masculino")</f>
        <v>Masculino</v>
      </c>
      <c r="L106" s="38" t="str">
        <f ca="1">IFERROR(__xludf.DUMMYFUNCTION("""COMPUTED_VALUE"""),"YCE")</f>
        <v>YCE</v>
      </c>
      <c r="M106" s="38" t="str">
        <f ca="1">IFERROR(__xludf.DUMMYFUNCTION("""COMPUTED_VALUE"""),"Master Pampero")</f>
        <v>Master Pampero</v>
      </c>
      <c r="N106" s="6" t="str">
        <f ca="1">IFERROR(__xludf.DUMMYFUNCTION("""COMPUTED_VALUE"""),"PAMPERO")</f>
        <v>PAMPERO</v>
      </c>
      <c r="O106" s="6"/>
      <c r="P106" s="6">
        <f ca="1">IFERROR(__xludf.DUMMYFUNCTION("""COMPUTED_VALUE"""),56)</f>
        <v>56</v>
      </c>
      <c r="Q106" s="38" t="str">
        <f ca="1">IFERROR(__xludf.DUMMYFUNCTION("""COMPUTED_VALUE"""),"Otro falso contacto")</f>
        <v>Otro falso contacto</v>
      </c>
      <c r="R106" s="38" t="str">
        <f ca="1">IFERROR(__xludf.DUMMYFUNCTION("""COMPUTED_VALUE"""),"Juan Sebastian Marco")</f>
        <v>Juan Sebastian Marco</v>
      </c>
      <c r="S106" s="38"/>
      <c r="T106" s="38"/>
      <c r="U106" s="38"/>
      <c r="V106" s="38"/>
      <c r="W106" s="38"/>
      <c r="X106" s="40" t="str">
        <f ca="1">IFERROR(__xludf.DUMMYFUNCTION("""COMPUTED_VALUE"""),"Ospe")</f>
        <v>Ospe</v>
      </c>
      <c r="Y106" s="6" t="str">
        <f ca="1">IFERROR(__xludf.DUMMYFUNCTION("""COMPUTED_VALUE"""),"Si")</f>
        <v>Si</v>
      </c>
      <c r="Z106" s="38" t="str">
        <f ca="1">IFERROR(__xludf.DUMMYFUNCTION("""COMPUTED_VALUE"""),"Acepto")</f>
        <v>Acepto</v>
      </c>
      <c r="AA106" s="38" t="str">
        <f ca="1">IFERROR(__xludf.DUMMYFUNCTION("""COMPUTED_VALUE"""),"Terminado")</f>
        <v>Terminado</v>
      </c>
      <c r="AB106" s="38">
        <f ca="1">IFERROR(__xludf.DUMMYFUNCTION("""COMPUTED_VALUE"""),51000)</f>
        <v>51000</v>
      </c>
      <c r="AC106" s="6">
        <f ca="1">IFERROR(__xludf.DUMMYFUNCTION("""COMPUTED_VALUE"""),205043)</f>
        <v>205043</v>
      </c>
      <c r="AD106" s="6" t="str">
        <f ca="1">IFERROR(__xludf.DUMMYFUNCTION("""COMPUTED_VALUE"""),"TRF 23-08")</f>
        <v>TRF 23-08</v>
      </c>
      <c r="AE106" s="6"/>
      <c r="AF106" s="6"/>
      <c r="AG106" s="36"/>
    </row>
    <row r="107" spans="1:33" ht="13.2">
      <c r="A107" s="35">
        <f ca="1">IFERROR(__xludf.DUMMYFUNCTION("""COMPUTED_VALUE"""),45535.5754987384)</f>
        <v>45535.575498738399</v>
      </c>
      <c r="B107" s="36" t="str">
        <f ca="1">IFERROR(__xludf.DUMMYFUNCTION("""COMPUTED_VALUE"""),"Polo")</f>
        <v>Polo</v>
      </c>
      <c r="C107" s="36" t="str">
        <f ca="1">IFERROR(__xludf.DUMMYFUNCTION("""COMPUTED_VALUE"""),"Eusebi")</f>
        <v>Eusebi</v>
      </c>
      <c r="D107" s="36" t="str">
        <f ca="1">IFERROR(__xludf.DUMMYFUNCTION("""COMPUTED_VALUE"""),"Quilmes")</f>
        <v>Quilmes</v>
      </c>
      <c r="E107" s="38" t="str">
        <f ca="1">IFERROR(__xludf.DUMMYFUNCTION("""COMPUTED_VALUE"""),"ARG")</f>
        <v>ARG</v>
      </c>
      <c r="F107" s="38">
        <f ca="1">IFERROR(__xludf.DUMMYFUNCTION("""COMPUTED_VALUE"""),52663848)</f>
        <v>52663848</v>
      </c>
      <c r="G107" s="37">
        <f ca="1">IFERROR(__xludf.DUMMYFUNCTION("""COMPUTED_VALUE"""),41133)</f>
        <v>41133</v>
      </c>
      <c r="H107" s="38">
        <f ca="1">IFERROR(__xludf.DUMMYFUNCTION("""COMPUTED_VALUE"""),38855464)</f>
        <v>38855464</v>
      </c>
      <c r="I107" s="38">
        <f ca="1">IFERROR(__xludf.DUMMYFUNCTION("""COMPUTED_VALUE"""),38855734)</f>
        <v>38855734</v>
      </c>
      <c r="J107" s="38" t="str">
        <f ca="1">IFERROR(__xludf.DUMMYFUNCTION("""COMPUTED_VALUE"""),"luiseusebi@googlemail.com")</f>
        <v>luiseusebi@googlemail.com</v>
      </c>
      <c r="K107" s="38" t="str">
        <f ca="1">IFERROR(__xludf.DUMMYFUNCTION("""COMPUTED_VALUE"""),"Masculino")</f>
        <v>Masculino</v>
      </c>
      <c r="L107" s="38" t="str">
        <f ca="1">IFERROR(__xludf.DUMMYFUNCTION("""COMPUTED_VALUE"""),"CNQ")</f>
        <v>CNQ</v>
      </c>
      <c r="M107" s="38" t="str">
        <f ca="1">IFERROR(__xludf.DUMMYFUNCTION("""COMPUTED_VALUE"""),"Interior (Optimist)")</f>
        <v>Interior (Optimist)</v>
      </c>
      <c r="N107" s="6" t="str">
        <f ca="1">IFERROR(__xludf.DUMMYFUNCTION("""COMPUTED_VALUE"""),"OPTIMIST PRINCIPIANTES")</f>
        <v>OPTIMIST PRINCIPIANTES</v>
      </c>
      <c r="O107" s="6" t="str">
        <f ca="1">IFERROR(__xludf.DUMMYFUNCTION("""COMPUTED_VALUE"""),"Polo")</f>
        <v>Polo</v>
      </c>
      <c r="P107" s="6">
        <f ca="1">IFERROR(__xludf.DUMMYFUNCTION("""COMPUTED_VALUE"""),3092)</f>
        <v>3092</v>
      </c>
      <c r="Q107" s="38" t="str">
        <f ca="1">IFERROR(__xludf.DUMMYFUNCTION("""COMPUTED_VALUE"""),"Polo")</f>
        <v>Polo</v>
      </c>
      <c r="R107" s="38"/>
      <c r="S107" s="38"/>
      <c r="T107" s="38"/>
      <c r="U107" s="38"/>
      <c r="V107" s="38"/>
      <c r="W107" s="38"/>
      <c r="X107" s="40" t="str">
        <f ca="1">IFERROR(__xludf.DUMMYFUNCTION("""COMPUTED_VALUE"""),"Ioma 227264668302")</f>
        <v>Ioma 227264668302</v>
      </c>
      <c r="Y107" s="6" t="str">
        <f ca="1">IFERROR(__xludf.DUMMYFUNCTION("""COMPUTED_VALUE"""),"Si")</f>
        <v>Si</v>
      </c>
      <c r="Z107" s="38" t="str">
        <f ca="1">IFERROR(__xludf.DUMMYFUNCTION("""COMPUTED_VALUE"""),"Acepto")</f>
        <v>Acepto</v>
      </c>
      <c r="AA107" s="38" t="str">
        <f ca="1">IFERROR(__xludf.DUMMYFUNCTION("""COMPUTED_VALUE"""),"Terminado")</f>
        <v>Terminado</v>
      </c>
      <c r="AB107" s="38">
        <f ca="1">IFERROR(__xludf.DUMMYFUNCTION("""COMPUTED_VALUE"""),50000)</f>
        <v>50000</v>
      </c>
      <c r="AC107" s="6">
        <f ca="1">IFERROR(__xludf.DUMMYFUNCTION("""COMPUTED_VALUE"""),205146)</f>
        <v>205146</v>
      </c>
      <c r="AD107" s="6" t="str">
        <f ca="1">IFERROR(__xludf.DUMMYFUNCTION("""COMPUTED_VALUE"""),"TRF 31-08")</f>
        <v>TRF 31-08</v>
      </c>
      <c r="AE107" s="6"/>
      <c r="AF107" s="6"/>
    </row>
    <row r="108" spans="1:33" ht="13.2">
      <c r="A108" s="35">
        <f ca="1">IFERROR(__xludf.DUMMYFUNCTION("""COMPUTED_VALUE"""),45537.7370849652)</f>
        <v>45537.7370849652</v>
      </c>
      <c r="B108" s="36" t="str">
        <f ca="1">IFERROR(__xludf.DUMMYFUNCTION("""COMPUTED_VALUE"""),"Milagros")</f>
        <v>Milagros</v>
      </c>
      <c r="C108" s="36" t="str">
        <f ca="1">IFERROR(__xludf.DUMMYFUNCTION("""COMPUTED_VALUE"""),"Fagundez Schroder")</f>
        <v>Fagundez Schroder</v>
      </c>
      <c r="D108" s="36" t="str">
        <f ca="1">IFERROR(__xludf.DUMMYFUNCTION("""COMPUTED_VALUE"""),"Montevideo")</f>
        <v>Montevideo</v>
      </c>
      <c r="E108" s="38" t="str">
        <f ca="1">IFERROR(__xludf.DUMMYFUNCTION("""COMPUTED_VALUE"""),"URU")</f>
        <v>URU</v>
      </c>
      <c r="F108" s="38">
        <f ca="1">IFERROR(__xludf.DUMMYFUNCTION("""COMPUTED_VALUE"""),58283967)</f>
        <v>58283967</v>
      </c>
      <c r="G108" s="37">
        <f ca="1">IFERROR(__xludf.DUMMYFUNCTION("""COMPUTED_VALUE"""),40141)</f>
        <v>40141</v>
      </c>
      <c r="H108" s="38" t="str">
        <f ca="1">IFERROR(__xludf.DUMMYFUNCTION("""COMPUTED_VALUE"""),"+59899657571")</f>
        <v>+59899657571</v>
      </c>
      <c r="I108" s="38" t="str">
        <f ca="1">IFERROR(__xludf.DUMMYFUNCTION("""COMPUTED_VALUE"""),"+59899657571")</f>
        <v>+59899657571</v>
      </c>
      <c r="J108" s="38" t="str">
        <f ca="1">IFERROR(__xludf.DUMMYFUNCTION("""COMPUTED_VALUE"""),"31fabricio@gmail.com")</f>
        <v>31fabricio@gmail.com</v>
      </c>
      <c r="K108" s="38" t="str">
        <f ca="1">IFERROR(__xludf.DUMMYFUNCTION("""COMPUTED_VALUE"""),"Femenino")</f>
        <v>Femenino</v>
      </c>
      <c r="L108" s="38" t="str">
        <f ca="1">IFERROR(__xludf.DUMMYFUNCTION("""COMPUTED_VALUE"""),"NYC ")</f>
        <v xml:space="preserve">NYC </v>
      </c>
      <c r="M108" s="38" t="str">
        <f ca="1">IFERROR(__xludf.DUMMYFUNCTION("""COMPUTED_VALUE"""),"Femenino, Interior (Optimist)")</f>
        <v>Femenino, Interior (Optimist)</v>
      </c>
      <c r="N108" s="6" t="str">
        <f ca="1">IFERROR(__xludf.DUMMYFUNCTION("""COMPUTED_VALUE"""),"OPTIMIST TIMONELES")</f>
        <v>OPTIMIST TIMONELES</v>
      </c>
      <c r="O108" s="6"/>
      <c r="P108" s="6" t="str">
        <f ca="1">IFERROR(__xludf.DUMMYFUNCTION("""COMPUTED_VALUE"""),"URU 460")</f>
        <v>URU 460</v>
      </c>
      <c r="Q108" s="38"/>
      <c r="R108" s="38" t="str">
        <f ca="1">IFERROR(__xludf.DUMMYFUNCTION("""COMPUTED_VALUE"""),"Milagros Fagundez Schroder")</f>
        <v>Milagros Fagundez Schroder</v>
      </c>
      <c r="S108" s="38"/>
      <c r="T108" s="38"/>
      <c r="U108" s="38"/>
      <c r="V108" s="38"/>
      <c r="W108" s="38"/>
      <c r="X108" s="40"/>
      <c r="Y108" s="6" t="str">
        <f ca="1">IFERROR(__xludf.DUMMYFUNCTION("""COMPUTED_VALUE"""),"Si")</f>
        <v>Si</v>
      </c>
      <c r="Z108" s="38" t="str">
        <f ca="1">IFERROR(__xludf.DUMMYFUNCTION("""COMPUTED_VALUE"""),"Acepto")</f>
        <v>Acepto</v>
      </c>
      <c r="AA108" s="38" t="str">
        <f ca="1">IFERROR(__xludf.DUMMYFUNCTION("""COMPUTED_VALUE"""),"Terminado")</f>
        <v>Terminado</v>
      </c>
      <c r="AB108" s="38">
        <f ca="1">IFERROR(__xludf.DUMMYFUNCTION("""COMPUTED_VALUE"""),42500)</f>
        <v>42500</v>
      </c>
      <c r="AC108" s="6">
        <f ca="1">IFERROR(__xludf.DUMMYFUNCTION("""COMPUTED_VALUE"""),205391)</f>
        <v>205391</v>
      </c>
      <c r="AD108" s="6" t="str">
        <f ca="1">IFERROR(__xludf.DUMMYFUNCTION("""COMPUTED_VALUE"""),"TRF 02-09")</f>
        <v>TRF 02-09</v>
      </c>
      <c r="AE108" s="6"/>
      <c r="AF108" s="6"/>
    </row>
    <row r="109" spans="1:33" ht="13.2">
      <c r="A109" s="35">
        <f ca="1">IFERROR(__xludf.DUMMYFUNCTION("""COMPUTED_VALUE"""),45534.6420369444)</f>
        <v>45534.642036944402</v>
      </c>
      <c r="B109" s="36" t="str">
        <f ca="1">IFERROR(__xludf.DUMMYFUNCTION("""COMPUTED_VALUE"""),"Justino")</f>
        <v>Justino</v>
      </c>
      <c r="C109" s="36" t="str">
        <f ca="1">IFERROR(__xludf.DUMMYFUNCTION("""COMPUTED_VALUE"""),"Favero")</f>
        <v>Favero</v>
      </c>
      <c r="D109" s="36" t="str">
        <f ca="1">IFERROR(__xludf.DUMMYFUNCTION("""COMPUTED_VALUE"""),"La Plata")</f>
        <v>La Plata</v>
      </c>
      <c r="E109" s="38" t="str">
        <f ca="1">IFERROR(__xludf.DUMMYFUNCTION("""COMPUTED_VALUE"""),"ARG")</f>
        <v>ARG</v>
      </c>
      <c r="F109" s="38">
        <f ca="1">IFERROR(__xludf.DUMMYFUNCTION("""COMPUTED_VALUE"""),49833927)</f>
        <v>49833927</v>
      </c>
      <c r="G109" s="37">
        <f ca="1">IFERROR(__xludf.DUMMYFUNCTION("""COMPUTED_VALUE"""),40112)</f>
        <v>40112</v>
      </c>
      <c r="H109" s="38">
        <f ca="1">IFERROR(__xludf.DUMMYFUNCTION("""COMPUTED_VALUE"""),2215741651)</f>
        <v>2215741651</v>
      </c>
      <c r="I109" s="38">
        <f ca="1">IFERROR(__xludf.DUMMYFUNCTION("""COMPUTED_VALUE"""),2215222133)</f>
        <v>2215222133</v>
      </c>
      <c r="J109" s="38" t="str">
        <f ca="1">IFERROR(__xludf.DUMMYFUNCTION("""COMPUTED_VALUE"""),"mariaeugeniagarciaf@gmail.com")</f>
        <v>mariaeugeniagarciaf@gmail.com</v>
      </c>
      <c r="K109" s="38" t="str">
        <f ca="1">IFERROR(__xludf.DUMMYFUNCTION("""COMPUTED_VALUE"""),"Masculino")</f>
        <v>Masculino</v>
      </c>
      <c r="L109" s="38" t="str">
        <f ca="1">IFERROR(__xludf.DUMMYFUNCTION("""COMPUTED_VALUE"""),"CRLP")</f>
        <v>CRLP</v>
      </c>
      <c r="M109" s="38"/>
      <c r="N109" s="6" t="str">
        <f ca="1">IFERROR(__xludf.DUMMYFUNCTION("""COMPUTED_VALUE"""),"OPTIMIST TIMONELES")</f>
        <v>OPTIMIST TIMONELES</v>
      </c>
      <c r="O109" s="6"/>
      <c r="P109" s="6">
        <f ca="1">IFERROR(__xludf.DUMMYFUNCTION("""COMPUTED_VALUE"""),3903)</f>
        <v>3903</v>
      </c>
      <c r="Q109" s="38"/>
      <c r="R109" s="38"/>
      <c r="S109" s="38"/>
      <c r="T109" s="38"/>
      <c r="U109" s="38"/>
      <c r="V109" s="38"/>
      <c r="W109" s="38"/>
      <c r="X109" s="40" t="str">
        <f ca="1">IFERROR(__xludf.DUMMYFUNCTION("""COMPUTED_VALUE"""),"IOMA")</f>
        <v>IOMA</v>
      </c>
      <c r="Y109" s="6" t="str">
        <f ca="1">IFERROR(__xludf.DUMMYFUNCTION("""COMPUTED_VALUE"""),"Si")</f>
        <v>Si</v>
      </c>
      <c r="Z109" s="38" t="str">
        <f ca="1">IFERROR(__xludf.DUMMYFUNCTION("""COMPUTED_VALUE"""),"Acepto")</f>
        <v>Acepto</v>
      </c>
      <c r="AA109" s="38" t="str">
        <f ca="1">IFERROR(__xludf.DUMMYFUNCTION("""COMPUTED_VALUE"""),"Terminado")</f>
        <v>Terminado</v>
      </c>
      <c r="AB109" s="38">
        <f ca="1">IFERROR(__xludf.DUMMYFUNCTION("""COMPUTED_VALUE"""),50000)</f>
        <v>50000</v>
      </c>
      <c r="AC109" s="6">
        <f ca="1">IFERROR(__xludf.DUMMYFUNCTION("""COMPUTED_VALUE"""),205124)</f>
        <v>205124</v>
      </c>
      <c r="AD109" s="6" t="str">
        <f ca="1">IFERROR(__xludf.DUMMYFUNCTION("""COMPUTED_VALUE"""),"TRF 30-08")</f>
        <v>TRF 30-08</v>
      </c>
      <c r="AE109" s="6"/>
      <c r="AF109" s="6"/>
    </row>
    <row r="110" spans="1:33" ht="13.2">
      <c r="A110" s="35">
        <f ca="1">IFERROR(__xludf.DUMMYFUNCTION("""COMPUTED_VALUE"""),45525.9075436689)</f>
        <v>45525.907543668902</v>
      </c>
      <c r="B110" s="36" t="str">
        <f ca="1">IFERROR(__xludf.DUMMYFUNCTION("""COMPUTED_VALUE"""),"Martín alejo")</f>
        <v>Martín alejo</v>
      </c>
      <c r="C110" s="36" t="str">
        <f ca="1">IFERROR(__xludf.DUMMYFUNCTION("""COMPUTED_VALUE"""),"Fernandez")</f>
        <v>Fernandez</v>
      </c>
      <c r="D110" s="36" t="str">
        <f ca="1">IFERROR(__xludf.DUMMYFUNCTION("""COMPUTED_VALUE"""),"Chascomus ")</f>
        <v xml:space="preserve">Chascomus </v>
      </c>
      <c r="E110" s="38" t="str">
        <f ca="1">IFERROR(__xludf.DUMMYFUNCTION("""COMPUTED_VALUE"""),"ARG")</f>
        <v>ARG</v>
      </c>
      <c r="F110" s="38">
        <f ca="1">IFERROR(__xludf.DUMMYFUNCTION("""COMPUTED_VALUE"""),25300218)</f>
        <v>25300218</v>
      </c>
      <c r="G110" s="37">
        <f ca="1">IFERROR(__xludf.DUMMYFUNCTION("""COMPUTED_VALUE"""),28025)</f>
        <v>28025</v>
      </c>
      <c r="H110" s="38">
        <f ca="1">IFERROR(__xludf.DUMMYFUNCTION("""COMPUTED_VALUE"""),2241511458)</f>
        <v>2241511458</v>
      </c>
      <c r="I110" s="38">
        <f ca="1">IFERROR(__xludf.DUMMYFUNCTION("""COMPUTED_VALUE"""),2241457419)</f>
        <v>2241457419</v>
      </c>
      <c r="J110" s="38" t="str">
        <f ca="1">IFERROR(__xludf.DUMMYFUNCTION("""COMPUTED_VALUE"""),"martincuero37@gmail.com")</f>
        <v>martincuero37@gmail.com</v>
      </c>
      <c r="K110" s="38" t="str">
        <f ca="1">IFERROR(__xludf.DUMMYFUNCTION("""COMPUTED_VALUE"""),"Masculino")</f>
        <v>Masculino</v>
      </c>
      <c r="L110" s="38" t="str">
        <f ca="1">IFERROR(__xludf.DUMMYFUNCTION("""COMPUTED_VALUE"""),"CRCH")</f>
        <v>CRCH</v>
      </c>
      <c r="M110" s="38"/>
      <c r="N110" s="6" t="str">
        <f ca="1">IFERROR(__xludf.DUMMYFUNCTION("""COMPUTED_VALUE"""),"PAMPERO")</f>
        <v>PAMPERO</v>
      </c>
      <c r="O110" s="6"/>
      <c r="P110" s="6">
        <f ca="1">IFERROR(__xludf.DUMMYFUNCTION("""COMPUTED_VALUE"""),707)</f>
        <v>707</v>
      </c>
      <c r="Q110" s="38" t="str">
        <f ca="1">IFERROR(__xludf.DUMMYFUNCTION("""COMPUTED_VALUE"""),"Santa Maradona")</f>
        <v>Santa Maradona</v>
      </c>
      <c r="R110" s="38" t="str">
        <f ca="1">IFERROR(__xludf.DUMMYFUNCTION("""COMPUTED_VALUE"""),"Ramón Fernández ")</f>
        <v xml:space="preserve">Ramón Fernández </v>
      </c>
      <c r="S110" s="38"/>
      <c r="T110" s="38"/>
      <c r="U110" s="38"/>
      <c r="V110" s="38"/>
      <c r="W110" s="38"/>
      <c r="X110" s="40"/>
      <c r="Y110" s="6" t="str">
        <f ca="1">IFERROR(__xludf.DUMMYFUNCTION("""COMPUTED_VALUE"""),"No")</f>
        <v>No</v>
      </c>
      <c r="Z110" s="38" t="str">
        <f ca="1">IFERROR(__xludf.DUMMYFUNCTION("""COMPUTED_VALUE"""),"Acepto")</f>
        <v>Acepto</v>
      </c>
      <c r="AA110" s="38" t="str">
        <f ca="1">IFERROR(__xludf.DUMMYFUNCTION("""COMPUTED_VALUE"""),"Terminado")</f>
        <v>Terminado</v>
      </c>
      <c r="AB110" s="38">
        <f ca="1">IFERROR(__xludf.DUMMYFUNCTION("""COMPUTED_VALUE"""),51000)</f>
        <v>51000</v>
      </c>
      <c r="AC110" s="6">
        <f ca="1">IFERROR(__xludf.DUMMYFUNCTION("""COMPUTED_VALUE"""),205041)</f>
        <v>205041</v>
      </c>
      <c r="AD110" s="6" t="str">
        <f ca="1">IFERROR(__xludf.DUMMYFUNCTION("""COMPUTED_VALUE"""),"TRF 22-08")</f>
        <v>TRF 22-08</v>
      </c>
      <c r="AE110" s="6" t="str">
        <f ca="1">IFERROR(__xludf.DUMMYFUNCTION("""COMPUTED_VALUE"""),"Si YCO")</f>
        <v>Si YCO</v>
      </c>
      <c r="AF110" s="6" t="str">
        <f ca="1">IFERROR(__xludf.DUMMYFUNCTION("""COMPUTED_VALUE"""),"Si")</f>
        <v>Si</v>
      </c>
    </row>
    <row r="111" spans="1:33" ht="13.2">
      <c r="A111" s="35">
        <f ca="1">IFERROR(__xludf.DUMMYFUNCTION("""COMPUTED_VALUE"""),45534.8025573263)</f>
        <v>45534.8025573263</v>
      </c>
      <c r="B111" s="36" t="str">
        <f ca="1">IFERROR(__xludf.DUMMYFUNCTION("""COMPUTED_VALUE"""),"LAUTARO ELIAS")</f>
        <v>LAUTARO ELIAS</v>
      </c>
      <c r="C111" s="36" t="str">
        <f ca="1">IFERROR(__xludf.DUMMYFUNCTION("""COMPUTED_VALUE"""),"FERNANDEZ")</f>
        <v>FERNANDEZ</v>
      </c>
      <c r="D111" s="36" t="str">
        <f ca="1">IFERROR(__xludf.DUMMYFUNCTION("""COMPUTED_VALUE"""),"TIGRE")</f>
        <v>TIGRE</v>
      </c>
      <c r="E111" s="38" t="str">
        <f ca="1">IFERROR(__xludf.DUMMYFUNCTION("""COMPUTED_VALUE"""),"ARG")</f>
        <v>ARG</v>
      </c>
      <c r="F111" s="38">
        <f ca="1">IFERROR(__xludf.DUMMYFUNCTION("""COMPUTED_VALUE"""),53214574)</f>
        <v>53214574</v>
      </c>
      <c r="G111" s="37">
        <f ca="1">IFERROR(__xludf.DUMMYFUNCTION("""COMPUTED_VALUE"""),41491)</f>
        <v>41491</v>
      </c>
      <c r="H111" s="38">
        <f ca="1">IFERROR(__xludf.DUMMYFUNCTION("""COMPUTED_VALUE"""),1169571706)</f>
        <v>1169571706</v>
      </c>
      <c r="I111" s="38">
        <f ca="1">IFERROR(__xludf.DUMMYFUNCTION("""COMPUTED_VALUE"""),1131059053)</f>
        <v>1131059053</v>
      </c>
      <c r="J111" s="38" t="str">
        <f ca="1">IFERROR(__xludf.DUMMYFUNCTION("""COMPUTED_VALUE"""),"labraulf@gmail.com")</f>
        <v>labraulf@gmail.com</v>
      </c>
      <c r="K111" s="38" t="str">
        <f ca="1">IFERROR(__xludf.DUMMYFUNCTION("""COMPUTED_VALUE"""),"Masculino")</f>
        <v>Masculino</v>
      </c>
      <c r="L111" s="38" t="str">
        <f ca="1">IFERROR(__xludf.DUMMYFUNCTION("""COMPUTED_VALUE"""),"CNSM")</f>
        <v>CNSM</v>
      </c>
      <c r="M111" s="38" t="str">
        <f ca="1">IFERROR(__xludf.DUMMYFUNCTION("""COMPUTED_VALUE"""),"OPTIMIST-PRINCIPIANTE")</f>
        <v>OPTIMIST-PRINCIPIANTE</v>
      </c>
      <c r="N111" s="6" t="str">
        <f ca="1">IFERROR(__xludf.DUMMYFUNCTION("""COMPUTED_VALUE"""),"OPTIMIST PRINCIPIANTES")</f>
        <v>OPTIMIST PRINCIPIANTES</v>
      </c>
      <c r="O111" s="6"/>
      <c r="P111" s="6">
        <f ca="1">IFERROR(__xludf.DUMMYFUNCTION("""COMPUTED_VALUE"""),3065)</f>
        <v>3065</v>
      </c>
      <c r="Q111" s="38" t="str">
        <f ca="1">IFERROR(__xludf.DUMMYFUNCTION("""COMPUTED_VALUE"""),"KIWI")</f>
        <v>KIWI</v>
      </c>
      <c r="R111" s="38"/>
      <c r="S111" s="38"/>
      <c r="T111" s="38"/>
      <c r="U111" s="38"/>
      <c r="V111" s="38"/>
      <c r="W111" s="38"/>
      <c r="X111" s="40" t="str">
        <f ca="1">IFERROR(__xludf.DUMMYFUNCTION("""COMPUTED_VALUE"""),"OSDE210/62721768003")</f>
        <v>OSDE210/62721768003</v>
      </c>
      <c r="Y111" s="6" t="str">
        <f ca="1">IFERROR(__xludf.DUMMYFUNCTION("""COMPUTED_VALUE"""),"Si")</f>
        <v>Si</v>
      </c>
      <c r="Z111" s="38" t="str">
        <f ca="1">IFERROR(__xludf.DUMMYFUNCTION("""COMPUTED_VALUE"""),"Acepto")</f>
        <v>Acepto</v>
      </c>
      <c r="AA111" s="38" t="str">
        <f ca="1">IFERROR(__xludf.DUMMYFUNCTION("""COMPUTED_VALUE"""),"Terminado")</f>
        <v>Terminado</v>
      </c>
      <c r="AB111" s="38">
        <f ca="1">IFERROR(__xludf.DUMMYFUNCTION("""COMPUTED_VALUE"""),50000)</f>
        <v>50000</v>
      </c>
      <c r="AC111" s="6">
        <f ca="1">IFERROR(__xludf.DUMMYFUNCTION("""COMPUTED_VALUE"""),205128)</f>
        <v>205128</v>
      </c>
      <c r="AD111" s="6" t="str">
        <f ca="1">IFERROR(__xludf.DUMMYFUNCTION("""COMPUTED_VALUE"""),"TRF 30-08")</f>
        <v>TRF 30-08</v>
      </c>
      <c r="AE111" s="6"/>
      <c r="AF111" s="6"/>
    </row>
    <row r="112" spans="1:33" ht="13.2">
      <c r="A112" s="35">
        <f ca="1">IFERROR(__xludf.DUMMYFUNCTION("""COMPUTED_VALUE"""),45538.5701251273)</f>
        <v>45538.570125127299</v>
      </c>
      <c r="B112" s="36" t="str">
        <f ca="1">IFERROR(__xludf.DUMMYFUNCTION("""COMPUTED_VALUE"""),"MARTIN")</f>
        <v>MARTIN</v>
      </c>
      <c r="C112" s="36" t="str">
        <f ca="1">IFERROR(__xludf.DUMMYFUNCTION("""COMPUTED_VALUE"""),"FERRERO")</f>
        <v>FERRERO</v>
      </c>
      <c r="D112" s="36" t="str">
        <f ca="1">IFERROR(__xludf.DUMMYFUNCTION("""COMPUTED_VALUE"""),"BECCAR")</f>
        <v>BECCAR</v>
      </c>
      <c r="E112" s="38" t="str">
        <f ca="1">IFERROR(__xludf.DUMMYFUNCTION("""COMPUTED_VALUE"""),"ARG")</f>
        <v>ARG</v>
      </c>
      <c r="F112" s="38">
        <f ca="1">IFERROR(__xludf.DUMMYFUNCTION("""COMPUTED_VALUE"""),40232001)</f>
        <v>40232001</v>
      </c>
      <c r="G112" s="37">
        <f ca="1">IFERROR(__xludf.DUMMYFUNCTION("""COMPUTED_VALUE"""),35461)</f>
        <v>35461</v>
      </c>
      <c r="H112" s="38">
        <f ca="1">IFERROR(__xludf.DUMMYFUNCTION("""COMPUTED_VALUE"""),1134563101)</f>
        <v>1134563101</v>
      </c>
      <c r="I112" s="38"/>
      <c r="J112" s="38" t="str">
        <f ca="1">IFERROR(__xludf.DUMMYFUNCTION("""COMPUTED_VALUE"""),"martinpedroferrero@gmail.com")</f>
        <v>martinpedroferrero@gmail.com</v>
      </c>
      <c r="K112" s="38" t="str">
        <f ca="1">IFERROR(__xludf.DUMMYFUNCTION("""COMPUTED_VALUE"""),"Masculino")</f>
        <v>Masculino</v>
      </c>
      <c r="L112" s="38" t="str">
        <f ca="1">IFERROR(__xludf.DUMMYFUNCTION("""COMPUTED_VALUE"""),"YCA-CNO")</f>
        <v>YCA-CNO</v>
      </c>
      <c r="M112" s="38" t="str">
        <f ca="1">IFERROR(__xludf.DUMMYFUNCTION("""COMPUTED_VALUE"""),"U30")</f>
        <v>U30</v>
      </c>
      <c r="N112" s="6" t="str">
        <f ca="1">IFERROR(__xludf.DUMMYFUNCTION("""COMPUTED_VALUE"""),"STAR")</f>
        <v>STAR</v>
      </c>
      <c r="O112" s="6"/>
      <c r="P112" s="6">
        <f ca="1">IFERROR(__xludf.DUMMYFUNCTION("""COMPUTED_VALUE"""),7700)</f>
        <v>7700</v>
      </c>
      <c r="Q112" s="38" t="str">
        <f ca="1">IFERROR(__xludf.DUMMYFUNCTION("""COMPUTED_VALUE"""),"ERAUFDUOCS")</f>
        <v>ERAUFDUOCS</v>
      </c>
      <c r="R112" s="38" t="str">
        <f ca="1">IFERROR(__xludf.DUMMYFUNCTION("""COMPUTED_VALUE"""),"TOMAS FIORITI-JAVIER SIRO")</f>
        <v>TOMAS FIORITI-JAVIER SIRO</v>
      </c>
      <c r="S112" s="38"/>
      <c r="T112" s="38"/>
      <c r="U112" s="38"/>
      <c r="V112" s="38"/>
      <c r="W112" s="38"/>
      <c r="X112" s="40" t="str">
        <f ca="1">IFERROR(__xludf.DUMMYFUNCTION("""COMPUTED_VALUE"""),"OSDE")</f>
        <v>OSDE</v>
      </c>
      <c r="Y112" s="6" t="str">
        <f ca="1">IFERROR(__xludf.DUMMYFUNCTION("""COMPUTED_VALUE"""),"No")</f>
        <v>No</v>
      </c>
      <c r="Z112" s="38" t="str">
        <f ca="1">IFERROR(__xludf.DUMMYFUNCTION("""COMPUTED_VALUE"""),"Acepto")</f>
        <v>Acepto</v>
      </c>
      <c r="AA112" s="38" t="str">
        <f ca="1">IFERROR(__xludf.DUMMYFUNCTION("""COMPUTED_VALUE"""),"Terminado")</f>
        <v>Terminado</v>
      </c>
      <c r="AB112" s="38">
        <f ca="1">IFERROR(__xludf.DUMMYFUNCTION("""COMPUTED_VALUE"""),60000)</f>
        <v>60000</v>
      </c>
      <c r="AC112" s="6">
        <f ca="1">IFERROR(__xludf.DUMMYFUNCTION("""COMPUTED_VALUE"""),205549)</f>
        <v>205549</v>
      </c>
      <c r="AD112" s="6" t="str">
        <f ca="1">IFERROR(__xludf.DUMMYFUNCTION("""COMPUTED_VALUE"""),"Tarj 07-09")</f>
        <v>Tarj 07-09</v>
      </c>
      <c r="AE112" s="6"/>
      <c r="AF112" s="6"/>
    </row>
    <row r="113" spans="1:32" ht="13.2">
      <c r="A113" s="35">
        <f ca="1">IFERROR(__xludf.DUMMYFUNCTION("""COMPUTED_VALUE"""),45535.7240782986)</f>
        <v>45535.724078298597</v>
      </c>
      <c r="B113" s="36" t="str">
        <f ca="1">IFERROR(__xludf.DUMMYFUNCTION("""COMPUTED_VALUE"""),"Valentina ")</f>
        <v xml:space="preserve">Valentina </v>
      </c>
      <c r="C113" s="36" t="str">
        <f ca="1">IFERROR(__xludf.DUMMYFUNCTION("""COMPUTED_VALUE"""),"Ferreyra")</f>
        <v>Ferreyra</v>
      </c>
      <c r="D113" s="36" t="str">
        <f ca="1">IFERROR(__xludf.DUMMYFUNCTION("""COMPUTED_VALUE"""),"Zárate ")</f>
        <v xml:space="preserve">Zárate </v>
      </c>
      <c r="E113" s="38" t="str">
        <f ca="1">IFERROR(__xludf.DUMMYFUNCTION("""COMPUTED_VALUE"""),"ARG")</f>
        <v>ARG</v>
      </c>
      <c r="F113" s="38">
        <f ca="1">IFERROR(__xludf.DUMMYFUNCTION("""COMPUTED_VALUE"""),51339867)</f>
        <v>51339867</v>
      </c>
      <c r="G113" s="37">
        <f ca="1">IFERROR(__xludf.DUMMYFUNCTION("""COMPUTED_VALUE"""),40854)</f>
        <v>40854</v>
      </c>
      <c r="H113" s="38">
        <f ca="1">IFERROR(__xludf.DUMMYFUNCTION("""COMPUTED_VALUE"""),3487617188)</f>
        <v>3487617188</v>
      </c>
      <c r="I113" s="38">
        <f ca="1">IFERROR(__xludf.DUMMYFUNCTION("""COMPUTED_VALUE"""),3487617188)</f>
        <v>3487617188</v>
      </c>
      <c r="J113" s="38" t="str">
        <f ca="1">IFERROR(__xludf.DUMMYFUNCTION("""COMPUTED_VALUE"""),"duke_jimegutierrez@hotmail.com")</f>
        <v>duke_jimegutierrez@hotmail.com</v>
      </c>
      <c r="K113" s="38" t="str">
        <f ca="1">IFERROR(__xludf.DUMMYFUNCTION("""COMPUTED_VALUE"""),"Femenino")</f>
        <v>Femenino</v>
      </c>
      <c r="L113" s="38" t="str">
        <f ca="1">IFERROR(__xludf.DUMMYFUNCTION("""COMPUTED_VALUE"""),"CNZ")</f>
        <v>CNZ</v>
      </c>
      <c r="M113" s="38" t="str">
        <f ca="1">IFERROR(__xludf.DUMMYFUNCTION("""COMPUTED_VALUE"""),"Interior (Optimist)")</f>
        <v>Interior (Optimist)</v>
      </c>
      <c r="N113" s="6" t="str">
        <f ca="1">IFERROR(__xludf.DUMMYFUNCTION("""COMPUTED_VALUE"""),"OPTIMIST TIMONELES")</f>
        <v>OPTIMIST TIMONELES</v>
      </c>
      <c r="O113" s="6"/>
      <c r="P113" s="6">
        <f ca="1">IFERROR(__xludf.DUMMYFUNCTION("""COMPUTED_VALUE"""),4144)</f>
        <v>4144</v>
      </c>
      <c r="Q113" s="38"/>
      <c r="R113" s="38"/>
      <c r="S113" s="38"/>
      <c r="T113" s="38"/>
      <c r="U113" s="38"/>
      <c r="V113" s="38"/>
      <c r="W113" s="38"/>
      <c r="X113" s="40" t="str">
        <f ca="1">IFERROR(__xludf.DUMMYFUNCTION("""COMPUTED_VALUE"""),"Osde")</f>
        <v>Osde</v>
      </c>
      <c r="Y113" s="6" t="str">
        <f ca="1">IFERROR(__xludf.DUMMYFUNCTION("""COMPUTED_VALUE"""),"Si")</f>
        <v>Si</v>
      </c>
      <c r="Z113" s="38" t="str">
        <f ca="1">IFERROR(__xludf.DUMMYFUNCTION("""COMPUTED_VALUE"""),"Acepto")</f>
        <v>Acepto</v>
      </c>
      <c r="AA113" s="38" t="str">
        <f ca="1">IFERROR(__xludf.DUMMYFUNCTION("""COMPUTED_VALUE"""),"Repetido")</f>
        <v>Repetido</v>
      </c>
      <c r="AB113" s="38"/>
      <c r="AC113" s="6"/>
      <c r="AD113" s="6"/>
      <c r="AE113" s="6"/>
      <c r="AF113" s="6"/>
    </row>
    <row r="114" spans="1:32" ht="13.2">
      <c r="A114" s="35">
        <f ca="1">IFERROR(__xludf.DUMMYFUNCTION("""COMPUTED_VALUE"""),45535.729173368)</f>
        <v>45535.729173368003</v>
      </c>
      <c r="B114" s="36" t="str">
        <f ca="1">IFERROR(__xludf.DUMMYFUNCTION("""COMPUTED_VALUE"""),"Valentina ")</f>
        <v xml:space="preserve">Valentina </v>
      </c>
      <c r="C114" s="36" t="str">
        <f ca="1">IFERROR(__xludf.DUMMYFUNCTION("""COMPUTED_VALUE"""),"Ferreyra")</f>
        <v>Ferreyra</v>
      </c>
      <c r="D114" s="36" t="str">
        <f ca="1">IFERROR(__xludf.DUMMYFUNCTION("""COMPUTED_VALUE"""),"Zárate ")</f>
        <v xml:space="preserve">Zárate </v>
      </c>
      <c r="E114" s="38" t="str">
        <f ca="1">IFERROR(__xludf.DUMMYFUNCTION("""COMPUTED_VALUE"""),"ARG")</f>
        <v>ARG</v>
      </c>
      <c r="F114" s="38">
        <f ca="1">IFERROR(__xludf.DUMMYFUNCTION("""COMPUTED_VALUE"""),51339867)</f>
        <v>51339867</v>
      </c>
      <c r="G114" s="37">
        <f ca="1">IFERROR(__xludf.DUMMYFUNCTION("""COMPUTED_VALUE"""),40854)</f>
        <v>40854</v>
      </c>
      <c r="H114" s="38">
        <f ca="1">IFERROR(__xludf.DUMMYFUNCTION("""COMPUTED_VALUE"""),3487617188)</f>
        <v>3487617188</v>
      </c>
      <c r="I114" s="38">
        <f ca="1">IFERROR(__xludf.DUMMYFUNCTION("""COMPUTED_VALUE"""),3487617188)</f>
        <v>3487617188</v>
      </c>
      <c r="J114" s="38" t="str">
        <f ca="1">IFERROR(__xludf.DUMMYFUNCTION("""COMPUTED_VALUE"""),"duke_jimegutierrez@hotmail.com")</f>
        <v>duke_jimegutierrez@hotmail.com</v>
      </c>
      <c r="K114" s="38" t="str">
        <f ca="1">IFERROR(__xludf.DUMMYFUNCTION("""COMPUTED_VALUE"""),"Femenino")</f>
        <v>Femenino</v>
      </c>
      <c r="L114" s="38" t="str">
        <f ca="1">IFERROR(__xludf.DUMMYFUNCTION("""COMPUTED_VALUE"""),"CNZ")</f>
        <v>CNZ</v>
      </c>
      <c r="M114" s="38" t="str">
        <f ca="1">IFERROR(__xludf.DUMMYFUNCTION("""COMPUTED_VALUE"""),"Interior (Optimist)")</f>
        <v>Interior (Optimist)</v>
      </c>
      <c r="N114" s="6" t="str">
        <f ca="1">IFERROR(__xludf.DUMMYFUNCTION("""COMPUTED_VALUE"""),"OPTIMIST TIMONELES")</f>
        <v>OPTIMIST TIMONELES</v>
      </c>
      <c r="O114" s="6"/>
      <c r="P114" s="6">
        <f ca="1">IFERROR(__xludf.DUMMYFUNCTION("""COMPUTED_VALUE"""),4144)</f>
        <v>4144</v>
      </c>
      <c r="Q114" s="38"/>
      <c r="R114" s="38"/>
      <c r="S114" s="38"/>
      <c r="T114" s="38"/>
      <c r="U114" s="38"/>
      <c r="V114" s="38"/>
      <c r="W114" s="38"/>
      <c r="X114" s="40" t="str">
        <f ca="1">IFERROR(__xludf.DUMMYFUNCTION("""COMPUTED_VALUE"""),"Osde")</f>
        <v>Osde</v>
      </c>
      <c r="Y114" s="6" t="str">
        <f ca="1">IFERROR(__xludf.DUMMYFUNCTION("""COMPUTED_VALUE"""),"Si")</f>
        <v>Si</v>
      </c>
      <c r="Z114" s="38" t="str">
        <f ca="1">IFERROR(__xludf.DUMMYFUNCTION("""COMPUTED_VALUE"""),"Acepto")</f>
        <v>Acepto</v>
      </c>
      <c r="AA114" s="38" t="str">
        <f ca="1">IFERROR(__xludf.DUMMYFUNCTION("""COMPUTED_VALUE"""),"Repetido")</f>
        <v>Repetido</v>
      </c>
      <c r="AB114" s="38"/>
      <c r="AC114" s="6"/>
      <c r="AD114" s="6"/>
      <c r="AE114" s="6"/>
      <c r="AF114" s="6"/>
    </row>
    <row r="115" spans="1:32" ht="13.2">
      <c r="A115" s="35">
        <f ca="1">IFERROR(__xludf.DUMMYFUNCTION("""COMPUTED_VALUE"""),45535.7330746759)</f>
        <v>45535.733074675903</v>
      </c>
      <c r="B115" s="36" t="str">
        <f ca="1">IFERROR(__xludf.DUMMYFUNCTION("""COMPUTED_VALUE"""),"Valentina ")</f>
        <v xml:space="preserve">Valentina </v>
      </c>
      <c r="C115" s="36" t="str">
        <f ca="1">IFERROR(__xludf.DUMMYFUNCTION("""COMPUTED_VALUE"""),"Ferreyra")</f>
        <v>Ferreyra</v>
      </c>
      <c r="D115" s="36" t="str">
        <f ca="1">IFERROR(__xludf.DUMMYFUNCTION("""COMPUTED_VALUE"""),"Zárate ")</f>
        <v xml:space="preserve">Zárate </v>
      </c>
      <c r="E115" s="38" t="str">
        <f ca="1">IFERROR(__xludf.DUMMYFUNCTION("""COMPUTED_VALUE"""),"ARG")</f>
        <v>ARG</v>
      </c>
      <c r="F115" s="38">
        <f ca="1">IFERROR(__xludf.DUMMYFUNCTION("""COMPUTED_VALUE"""),51339867)</f>
        <v>51339867</v>
      </c>
      <c r="G115" s="37">
        <f ca="1">IFERROR(__xludf.DUMMYFUNCTION("""COMPUTED_VALUE"""),40854)</f>
        <v>40854</v>
      </c>
      <c r="H115" s="38">
        <f ca="1">IFERROR(__xludf.DUMMYFUNCTION("""COMPUTED_VALUE"""),3487617188)</f>
        <v>3487617188</v>
      </c>
      <c r="I115" s="38"/>
      <c r="J115" s="38" t="str">
        <f ca="1">IFERROR(__xludf.DUMMYFUNCTION("""COMPUTED_VALUE"""),"duke_jimegutierrez@hotmail.com")</f>
        <v>duke_jimegutierrez@hotmail.com</v>
      </c>
      <c r="K115" s="38" t="str">
        <f ca="1">IFERROR(__xludf.DUMMYFUNCTION("""COMPUTED_VALUE"""),"Femenino")</f>
        <v>Femenino</v>
      </c>
      <c r="L115" s="38" t="str">
        <f ca="1">IFERROR(__xludf.DUMMYFUNCTION("""COMPUTED_VALUE"""),"CNZ")</f>
        <v>CNZ</v>
      </c>
      <c r="M115" s="38" t="str">
        <f ca="1">IFERROR(__xludf.DUMMYFUNCTION("""COMPUTED_VALUE"""),"Femenino")</f>
        <v>Femenino</v>
      </c>
      <c r="N115" s="6" t="str">
        <f ca="1">IFERROR(__xludf.DUMMYFUNCTION("""COMPUTED_VALUE"""),"OPTIMIST TIMONELES")</f>
        <v>OPTIMIST TIMONELES</v>
      </c>
      <c r="O115" s="6"/>
      <c r="P115" s="6">
        <f ca="1">IFERROR(__xludf.DUMMYFUNCTION("""COMPUTED_VALUE"""),4144)</f>
        <v>4144</v>
      </c>
      <c r="Q115" s="38"/>
      <c r="R115" s="38"/>
      <c r="S115" s="38"/>
      <c r="T115" s="38"/>
      <c r="U115" s="38"/>
      <c r="V115" s="38"/>
      <c r="W115" s="38"/>
      <c r="X115" s="40" t="str">
        <f ca="1">IFERROR(__xludf.DUMMYFUNCTION("""COMPUTED_VALUE"""),"Osde")</f>
        <v>Osde</v>
      </c>
      <c r="Y115" s="6" t="str">
        <f ca="1">IFERROR(__xludf.DUMMYFUNCTION("""COMPUTED_VALUE"""),"Si")</f>
        <v>Si</v>
      </c>
      <c r="Z115" s="38" t="str">
        <f ca="1">IFERROR(__xludf.DUMMYFUNCTION("""COMPUTED_VALUE"""),"Acepto")</f>
        <v>Acepto</v>
      </c>
      <c r="AA115" s="38" t="str">
        <f ca="1">IFERROR(__xludf.DUMMYFUNCTION("""COMPUTED_VALUE"""),"Repetido")</f>
        <v>Repetido</v>
      </c>
      <c r="AB115" s="38"/>
      <c r="AC115" s="6"/>
      <c r="AD115" s="6"/>
      <c r="AE115" s="6"/>
      <c r="AF115" s="6"/>
    </row>
    <row r="116" spans="1:32" ht="13.2">
      <c r="A116" s="35">
        <f ca="1">IFERROR(__xludf.DUMMYFUNCTION("""COMPUTED_VALUE"""),45535.7400792013)</f>
        <v>45535.7400792013</v>
      </c>
      <c r="B116" s="36" t="str">
        <f ca="1">IFERROR(__xludf.DUMMYFUNCTION("""COMPUTED_VALUE"""),"Valentina ")</f>
        <v xml:space="preserve">Valentina </v>
      </c>
      <c r="C116" s="36" t="str">
        <f ca="1">IFERROR(__xludf.DUMMYFUNCTION("""COMPUTED_VALUE"""),"Ferreyra")</f>
        <v>Ferreyra</v>
      </c>
      <c r="D116" s="36" t="str">
        <f ca="1">IFERROR(__xludf.DUMMYFUNCTION("""COMPUTED_VALUE"""),"Zárate ")</f>
        <v xml:space="preserve">Zárate </v>
      </c>
      <c r="E116" s="38" t="str">
        <f ca="1">IFERROR(__xludf.DUMMYFUNCTION("""COMPUTED_VALUE"""),"ARG")</f>
        <v>ARG</v>
      </c>
      <c r="F116" s="38">
        <f ca="1">IFERROR(__xludf.DUMMYFUNCTION("""COMPUTED_VALUE"""),51339867)</f>
        <v>51339867</v>
      </c>
      <c r="G116" s="37">
        <f ca="1">IFERROR(__xludf.DUMMYFUNCTION("""COMPUTED_VALUE"""),40854)</f>
        <v>40854</v>
      </c>
      <c r="H116" s="38">
        <f ca="1">IFERROR(__xludf.DUMMYFUNCTION("""COMPUTED_VALUE"""),3487664811)</f>
        <v>3487664811</v>
      </c>
      <c r="I116" s="38">
        <f ca="1">IFERROR(__xludf.DUMMYFUNCTION("""COMPUTED_VALUE"""),3487664811)</f>
        <v>3487664811</v>
      </c>
      <c r="J116" s="38" t="str">
        <f ca="1">IFERROR(__xludf.DUMMYFUNCTION("""COMPUTED_VALUE"""),"amapizzatti@gmail.com")</f>
        <v>amapizzatti@gmail.com</v>
      </c>
      <c r="K116" s="38" t="str">
        <f ca="1">IFERROR(__xludf.DUMMYFUNCTION("""COMPUTED_VALUE"""),"Femenino")</f>
        <v>Femenino</v>
      </c>
      <c r="L116" s="38" t="str">
        <f ca="1">IFERROR(__xludf.DUMMYFUNCTION("""COMPUTED_VALUE"""),"CNZ")</f>
        <v>CNZ</v>
      </c>
      <c r="M116" s="38" t="str">
        <f ca="1">IFERROR(__xludf.DUMMYFUNCTION("""COMPUTED_VALUE"""),"Femenino")</f>
        <v>Femenino</v>
      </c>
      <c r="N116" s="6" t="str">
        <f ca="1">IFERROR(__xludf.DUMMYFUNCTION("""COMPUTED_VALUE"""),"OPTIMIST TIMONELES")</f>
        <v>OPTIMIST TIMONELES</v>
      </c>
      <c r="O116" s="6"/>
      <c r="P116" s="6">
        <f ca="1">IFERROR(__xludf.DUMMYFUNCTION("""COMPUTED_VALUE"""),4144)</f>
        <v>4144</v>
      </c>
      <c r="Q116" s="38"/>
      <c r="R116" s="38"/>
      <c r="S116" s="38"/>
      <c r="T116" s="38"/>
      <c r="U116" s="38"/>
      <c r="V116" s="38"/>
      <c r="W116" s="38"/>
      <c r="X116" s="40" t="str">
        <f ca="1">IFERROR(__xludf.DUMMYFUNCTION("""COMPUTED_VALUE"""),"Osde")</f>
        <v>Osde</v>
      </c>
      <c r="Y116" s="6" t="str">
        <f ca="1">IFERROR(__xludf.DUMMYFUNCTION("""COMPUTED_VALUE"""),"Si")</f>
        <v>Si</v>
      </c>
      <c r="Z116" s="38" t="str">
        <f ca="1">IFERROR(__xludf.DUMMYFUNCTION("""COMPUTED_VALUE"""),"Acepto")</f>
        <v>Acepto</v>
      </c>
      <c r="AA116" s="38" t="str">
        <f ca="1">IFERROR(__xludf.DUMMYFUNCTION("""COMPUTED_VALUE"""),"Repetido")</f>
        <v>Repetido</v>
      </c>
      <c r="AB116" s="38"/>
      <c r="AC116" s="6"/>
      <c r="AD116" s="6"/>
      <c r="AE116" s="6"/>
      <c r="AF116" s="6"/>
    </row>
    <row r="117" spans="1:32" ht="13.2">
      <c r="A117" s="35">
        <f ca="1">IFERROR(__xludf.DUMMYFUNCTION("""COMPUTED_VALUE"""),45535.7379712615)</f>
        <v>45535.7379712615</v>
      </c>
      <c r="B117" s="36" t="str">
        <f ca="1">IFERROR(__xludf.DUMMYFUNCTION("""COMPUTED_VALUE"""),"Valentina ")</f>
        <v xml:space="preserve">Valentina </v>
      </c>
      <c r="C117" s="36" t="str">
        <f ca="1">IFERROR(__xludf.DUMMYFUNCTION("""COMPUTED_VALUE"""),"Ferreyra ")</f>
        <v xml:space="preserve">Ferreyra </v>
      </c>
      <c r="D117" s="36" t="str">
        <f ca="1">IFERROR(__xludf.DUMMYFUNCTION("""COMPUTED_VALUE"""),"Zárate ")</f>
        <v xml:space="preserve">Zárate </v>
      </c>
      <c r="E117" s="38" t="str">
        <f ca="1">IFERROR(__xludf.DUMMYFUNCTION("""COMPUTED_VALUE"""),"ARG")</f>
        <v>ARG</v>
      </c>
      <c r="F117" s="38">
        <f ca="1">IFERROR(__xludf.DUMMYFUNCTION("""COMPUTED_VALUE"""),51339867)</f>
        <v>51339867</v>
      </c>
      <c r="G117" s="37">
        <f ca="1">IFERROR(__xludf.DUMMYFUNCTION("""COMPUTED_VALUE"""),40854)</f>
        <v>40854</v>
      </c>
      <c r="H117" s="38">
        <f ca="1">IFERROR(__xludf.DUMMYFUNCTION("""COMPUTED_VALUE"""),3487664811)</f>
        <v>3487664811</v>
      </c>
      <c r="I117" s="38">
        <f ca="1">IFERROR(__xludf.DUMMYFUNCTION("""COMPUTED_VALUE"""),3487664811)</f>
        <v>3487664811</v>
      </c>
      <c r="J117" s="38" t="str">
        <f ca="1">IFERROR(__xludf.DUMMYFUNCTION("""COMPUTED_VALUE"""),"jimesvgutierrez@gmail.com")</f>
        <v>jimesvgutierrez@gmail.com</v>
      </c>
      <c r="K117" s="38" t="str">
        <f ca="1">IFERROR(__xludf.DUMMYFUNCTION("""COMPUTED_VALUE"""),"Femenino")</f>
        <v>Femenino</v>
      </c>
      <c r="L117" s="38" t="str">
        <f ca="1">IFERROR(__xludf.DUMMYFUNCTION("""COMPUTED_VALUE"""),"CNZ")</f>
        <v>CNZ</v>
      </c>
      <c r="M117" s="38" t="str">
        <f ca="1">IFERROR(__xludf.DUMMYFUNCTION("""COMPUTED_VALUE"""),"Femenino")</f>
        <v>Femenino</v>
      </c>
      <c r="N117" s="6" t="str">
        <f ca="1">IFERROR(__xludf.DUMMYFUNCTION("""COMPUTED_VALUE"""),"OPTIMIST TIMONELES")</f>
        <v>OPTIMIST TIMONELES</v>
      </c>
      <c r="O117" s="6"/>
      <c r="P117" s="6">
        <f ca="1">IFERROR(__xludf.DUMMYFUNCTION("""COMPUTED_VALUE"""),4144)</f>
        <v>4144</v>
      </c>
      <c r="Q117" s="38"/>
      <c r="R117" s="38"/>
      <c r="S117" s="38"/>
      <c r="T117" s="38"/>
      <c r="U117" s="38"/>
      <c r="V117" s="38"/>
      <c r="W117" s="38"/>
      <c r="X117" s="40" t="str">
        <f ca="1">IFERROR(__xludf.DUMMYFUNCTION("""COMPUTED_VALUE"""),"Osde")</f>
        <v>Osde</v>
      </c>
      <c r="Y117" s="6" t="str">
        <f ca="1">IFERROR(__xludf.DUMMYFUNCTION("""COMPUTED_VALUE"""),"Si")</f>
        <v>Si</v>
      </c>
      <c r="Z117" s="38" t="str">
        <f ca="1">IFERROR(__xludf.DUMMYFUNCTION("""COMPUTED_VALUE"""),"Acepto")</f>
        <v>Acepto</v>
      </c>
      <c r="AA117" s="38" t="str">
        <f ca="1">IFERROR(__xludf.DUMMYFUNCTION("""COMPUTED_VALUE"""),"Terminado")</f>
        <v>Terminado</v>
      </c>
      <c r="AB117" s="38">
        <f ca="1">IFERROR(__xludf.DUMMYFUNCTION("""COMPUTED_VALUE"""),50000)</f>
        <v>50000</v>
      </c>
      <c r="AC117" s="6">
        <f ca="1">IFERROR(__xludf.DUMMYFUNCTION("""COMPUTED_VALUE"""),205373)</f>
        <v>205373</v>
      </c>
      <c r="AD117" s="6" t="str">
        <f ca="1">IFERROR(__xludf.DUMMYFUNCTION("""COMPUTED_VALUE"""),"TRF 02-09")</f>
        <v>TRF 02-09</v>
      </c>
      <c r="AE117" s="6"/>
      <c r="AF117" s="6"/>
    </row>
    <row r="118" spans="1:32" ht="13.2">
      <c r="A118" s="35">
        <f ca="1">IFERROR(__xludf.DUMMYFUNCTION("""COMPUTED_VALUE"""),45535.598619375)</f>
        <v>45535.598619375</v>
      </c>
      <c r="B118" s="36" t="str">
        <f ca="1">IFERROR(__xludf.DUMMYFUNCTION("""COMPUTED_VALUE"""),"Benjamin")</f>
        <v>Benjamin</v>
      </c>
      <c r="C118" s="36" t="str">
        <f ca="1">IFERROR(__xludf.DUMMYFUNCTION("""COMPUTED_VALUE"""),"Fleitas")</f>
        <v>Fleitas</v>
      </c>
      <c r="D118" s="36" t="str">
        <f ca="1">IFERROR(__xludf.DUMMYFUNCTION("""COMPUTED_VALUE"""),"Zarate")</f>
        <v>Zarate</v>
      </c>
      <c r="E118" s="38" t="str">
        <f ca="1">IFERROR(__xludf.DUMMYFUNCTION("""COMPUTED_VALUE"""),"ARG")</f>
        <v>ARG</v>
      </c>
      <c r="F118" s="38">
        <f ca="1">IFERROR(__xludf.DUMMYFUNCTION("""COMPUTED_VALUE"""),53451464)</f>
        <v>53451464</v>
      </c>
      <c r="G118" s="37">
        <f ca="1">IFERROR(__xludf.DUMMYFUNCTION("""COMPUTED_VALUE"""),41586)</f>
        <v>41586</v>
      </c>
      <c r="H118" s="38">
        <f ca="1">IFERROR(__xludf.DUMMYFUNCTION("""COMPUTED_VALUE"""),3487713649)</f>
        <v>3487713649</v>
      </c>
      <c r="I118" s="38">
        <f ca="1">IFERROR(__xludf.DUMMYFUNCTION("""COMPUTED_VALUE"""),3487510959)</f>
        <v>3487510959</v>
      </c>
      <c r="J118" s="38" t="str">
        <f ca="1">IFERROR(__xludf.DUMMYFUNCTION("""COMPUTED_VALUE"""),"yohanigro27@gmail.com")</f>
        <v>yohanigro27@gmail.com</v>
      </c>
      <c r="K118" s="38" t="str">
        <f ca="1">IFERROR(__xludf.DUMMYFUNCTION("""COMPUTED_VALUE"""),"Masculino")</f>
        <v>Masculino</v>
      </c>
      <c r="L118" s="38" t="str">
        <f ca="1">IFERROR(__xludf.DUMMYFUNCTION("""COMPUTED_VALUE"""),"CNZ")</f>
        <v>CNZ</v>
      </c>
      <c r="M118" s="38" t="str">
        <f ca="1">IFERROR(__xludf.DUMMYFUNCTION("""COMPUTED_VALUE"""),"Interior (Optimist)")</f>
        <v>Interior (Optimist)</v>
      </c>
      <c r="N118" s="6" t="str">
        <f ca="1">IFERROR(__xludf.DUMMYFUNCTION("""COMPUTED_VALUE"""),"OPTIMIST PRINCIPIANTES")</f>
        <v>OPTIMIST PRINCIPIANTES</v>
      </c>
      <c r="O118" s="6" t="str">
        <f ca="1">IFERROR(__xludf.DUMMYFUNCTION("""COMPUTED_VALUE"""),"Capitán Loco")</f>
        <v>Capitán Loco</v>
      </c>
      <c r="P118" s="6">
        <f ca="1">IFERROR(__xludf.DUMMYFUNCTION("""COMPUTED_VALUE"""),3966)</f>
        <v>3966</v>
      </c>
      <c r="Q118" s="38" t="str">
        <f ca="1">IFERROR(__xludf.DUMMYFUNCTION("""COMPUTED_VALUE"""),"Capitán Loco")</f>
        <v>Capitán Loco</v>
      </c>
      <c r="R118" s="38"/>
      <c r="S118" s="38"/>
      <c r="T118" s="38"/>
      <c r="U118" s="38"/>
      <c r="V118" s="38"/>
      <c r="W118" s="38"/>
      <c r="X118" s="40" t="str">
        <f ca="1">IFERROR(__xludf.DUMMYFUNCTION("""COMPUTED_VALUE"""),"Unión personal")</f>
        <v>Unión personal</v>
      </c>
      <c r="Y118" s="6" t="str">
        <f ca="1">IFERROR(__xludf.DUMMYFUNCTION("""COMPUTED_VALUE"""),"Si")</f>
        <v>Si</v>
      </c>
      <c r="Z118" s="38" t="str">
        <f ca="1">IFERROR(__xludf.DUMMYFUNCTION("""COMPUTED_VALUE"""),"Acepto")</f>
        <v>Acepto</v>
      </c>
      <c r="AA118" s="38" t="str">
        <f ca="1">IFERROR(__xludf.DUMMYFUNCTION("""COMPUTED_VALUE"""),"Terminado")</f>
        <v>Terminado</v>
      </c>
      <c r="AB118" s="38">
        <f ca="1">IFERROR(__xludf.DUMMYFUNCTION("""COMPUTED_VALUE"""),50000)</f>
        <v>50000</v>
      </c>
      <c r="AC118" s="6">
        <f ca="1">IFERROR(__xludf.DUMMYFUNCTION("""COMPUTED_VALUE"""),205158)</f>
        <v>205158</v>
      </c>
      <c r="AD118" s="6" t="str">
        <f ca="1">IFERROR(__xludf.DUMMYFUNCTION("""COMPUTED_VALUE"""),"TRF 31-08")</f>
        <v>TRF 31-08</v>
      </c>
      <c r="AE118" s="6"/>
      <c r="AF118" s="6"/>
    </row>
    <row r="119" spans="1:32" ht="13.2">
      <c r="A119" s="35">
        <f ca="1">IFERROR(__xludf.DUMMYFUNCTION("""COMPUTED_VALUE"""),45536.4539505671)</f>
        <v>45536.453950567098</v>
      </c>
      <c r="B119" s="36" t="str">
        <f ca="1">IFERROR(__xludf.DUMMYFUNCTION("""COMPUTED_VALUE"""),"Sofia")</f>
        <v>Sofia</v>
      </c>
      <c r="C119" s="36" t="str">
        <f ca="1">IFERROR(__xludf.DUMMYFUNCTION("""COMPUTED_VALUE"""),"Frogone ")</f>
        <v xml:space="preserve">Frogone </v>
      </c>
      <c r="D119" s="36" t="str">
        <f ca="1">IFERROR(__xludf.DUMMYFUNCTION("""COMPUTED_VALUE"""),"CABA ")</f>
        <v xml:space="preserve">CABA </v>
      </c>
      <c r="E119" s="38" t="str">
        <f ca="1">IFERROR(__xludf.DUMMYFUNCTION("""COMPUTED_VALUE"""),"ARG")</f>
        <v>ARG</v>
      </c>
      <c r="F119" s="38">
        <f ca="1">IFERROR(__xludf.DUMMYFUNCTION("""COMPUTED_VALUE"""),51066023)</f>
        <v>51066023</v>
      </c>
      <c r="G119" s="37">
        <f ca="1">IFERROR(__xludf.DUMMYFUNCTION("""COMPUTED_VALUE"""),40608)</f>
        <v>40608</v>
      </c>
      <c r="H119" s="38">
        <f ca="1">IFERROR(__xludf.DUMMYFUNCTION("""COMPUTED_VALUE"""),1170540311)</f>
        <v>1170540311</v>
      </c>
      <c r="I119" s="38">
        <f ca="1">IFERROR(__xludf.DUMMYFUNCTION("""COMPUTED_VALUE"""),1165586633)</f>
        <v>1165586633</v>
      </c>
      <c r="J119" s="38" t="str">
        <f ca="1">IFERROR(__xludf.DUMMYFUNCTION("""COMPUTED_VALUE"""),"gfrogone@gmail.com")</f>
        <v>gfrogone@gmail.com</v>
      </c>
      <c r="K119" s="38" t="str">
        <f ca="1">IFERROR(__xludf.DUMMYFUNCTION("""COMPUTED_VALUE"""),"Femenino")</f>
        <v>Femenino</v>
      </c>
      <c r="L119" s="38" t="str">
        <f ca="1">IFERROR(__xludf.DUMMYFUNCTION("""COMPUTED_VALUE"""),"Yccn")</f>
        <v>Yccn</v>
      </c>
      <c r="M119" s="38" t="str">
        <f ca="1">IFERROR(__xludf.DUMMYFUNCTION("""COMPUTED_VALUE"""),"Femenino")</f>
        <v>Femenino</v>
      </c>
      <c r="N119" s="6" t="str">
        <f ca="1">IFERROR(__xludf.DUMMYFUNCTION("""COMPUTED_VALUE"""),"OPTIMIST PRINCIPIANTES")</f>
        <v>OPTIMIST PRINCIPIANTES</v>
      </c>
      <c r="O119" s="6"/>
      <c r="P119" s="6" t="str">
        <f ca="1">IFERROR(__xludf.DUMMYFUNCTION("""COMPUTED_VALUE"""),"ARG3295")</f>
        <v>ARG3295</v>
      </c>
      <c r="Q119" s="38" t="str">
        <f ca="1">IFERROR(__xludf.DUMMYFUNCTION("""COMPUTED_VALUE"""),"Tormenta")</f>
        <v>Tormenta</v>
      </c>
      <c r="R119" s="38"/>
      <c r="S119" s="38"/>
      <c r="T119" s="38"/>
      <c r="U119" s="38"/>
      <c r="V119" s="38"/>
      <c r="W119" s="38"/>
      <c r="X119" s="40" t="str">
        <f ca="1">IFERROR(__xludf.DUMMYFUNCTION("""COMPUTED_VALUE"""),"Galeno 0171025902 08")</f>
        <v>Galeno 0171025902 08</v>
      </c>
      <c r="Y119" s="6" t="str">
        <f ca="1">IFERROR(__xludf.DUMMYFUNCTION("""COMPUTED_VALUE"""),"No")</f>
        <v>No</v>
      </c>
      <c r="Z119" s="38" t="str">
        <f ca="1">IFERROR(__xludf.DUMMYFUNCTION("""COMPUTED_VALUE"""),"Acepto")</f>
        <v>Acepto</v>
      </c>
      <c r="AA119" s="38" t="str">
        <f ca="1">IFERROR(__xludf.DUMMYFUNCTION("""COMPUTED_VALUE"""),"Terminado")</f>
        <v>Terminado</v>
      </c>
      <c r="AB119" s="38">
        <f ca="1">IFERROR(__xludf.DUMMYFUNCTION("""COMPUTED_VALUE"""),50000)</f>
        <v>50000</v>
      </c>
      <c r="AC119" s="6">
        <f ca="1">IFERROR(__xludf.DUMMYFUNCTION("""COMPUTED_VALUE"""),205377)</f>
        <v>205377</v>
      </c>
      <c r="AD119" s="6" t="str">
        <f ca="1">IFERROR(__xludf.DUMMYFUNCTION("""COMPUTED_VALUE"""),"TRF 02-09")</f>
        <v>TRF 02-09</v>
      </c>
      <c r="AE119" s="6"/>
      <c r="AF119" s="6"/>
    </row>
    <row r="120" spans="1:32" ht="13.2">
      <c r="A120" s="35">
        <f ca="1">IFERROR(__xludf.DUMMYFUNCTION("""COMPUTED_VALUE"""),45531.436452824)</f>
        <v>45531.436452823997</v>
      </c>
      <c r="B120" s="36" t="str">
        <f ca="1">IFERROR(__xludf.DUMMYFUNCTION("""COMPUTED_VALUE"""),"Renata")</f>
        <v>Renata</v>
      </c>
      <c r="C120" s="36" t="str">
        <f ca="1">IFERROR(__xludf.DUMMYFUNCTION("""COMPUTED_VALUE"""),"Fuhrmann")</f>
        <v>Fuhrmann</v>
      </c>
      <c r="D120" s="36" t="str">
        <f ca="1">IFERROR(__xludf.DUMMYFUNCTION("""COMPUTED_VALUE"""),"Buenos Aires")</f>
        <v>Buenos Aires</v>
      </c>
      <c r="E120" s="38" t="str">
        <f ca="1">IFERROR(__xludf.DUMMYFUNCTION("""COMPUTED_VALUE"""),"ARG")</f>
        <v>ARG</v>
      </c>
      <c r="F120" s="38">
        <f ca="1">IFERROR(__xludf.DUMMYFUNCTION("""COMPUTED_VALUE"""),53956527)</f>
        <v>53956527</v>
      </c>
      <c r="G120" s="37">
        <f ca="1">IFERROR(__xludf.DUMMYFUNCTION("""COMPUTED_VALUE"""),41774)</f>
        <v>41774</v>
      </c>
      <c r="H120" s="38" t="str">
        <f ca="1">IFERROR(__xludf.DUMMYFUNCTION("""COMPUTED_VALUE"""),"01160235442")</f>
        <v>01160235442</v>
      </c>
      <c r="I120" s="38" t="str">
        <f ca="1">IFERROR(__xludf.DUMMYFUNCTION("""COMPUTED_VALUE"""),"01167433488")</f>
        <v>01167433488</v>
      </c>
      <c r="J120" s="38" t="str">
        <f ca="1">IFERROR(__xludf.DUMMYFUNCTION("""COMPUTED_VALUE"""),"alejandro.fuhrmann@gmail.com")</f>
        <v>alejandro.fuhrmann@gmail.com</v>
      </c>
      <c r="K120" s="38" t="str">
        <f ca="1">IFERROR(__xludf.DUMMYFUNCTION("""COMPUTED_VALUE"""),"Femenino")</f>
        <v>Femenino</v>
      </c>
      <c r="L120" s="38" t="str">
        <f ca="1">IFERROR(__xludf.DUMMYFUNCTION("""COMPUTED_VALUE"""),"CNAs")</f>
        <v>CNAs</v>
      </c>
      <c r="M120" s="38" t="str">
        <f ca="1">IFERROR(__xludf.DUMMYFUNCTION("""COMPUTED_VALUE"""),"Femenino")</f>
        <v>Femenino</v>
      </c>
      <c r="N120" s="6" t="str">
        <f ca="1">IFERROR(__xludf.DUMMYFUNCTION("""COMPUTED_VALUE"""),"OPTIMIST TIMONELES")</f>
        <v>OPTIMIST TIMONELES</v>
      </c>
      <c r="O120" s="6"/>
      <c r="P120" s="6">
        <f ca="1">IFERROR(__xludf.DUMMYFUNCTION("""COMPUTED_VALUE"""),3832)</f>
        <v>3832</v>
      </c>
      <c r="Q120" s="38" t="str">
        <f ca="1">IFERROR(__xludf.DUMMYFUNCTION("""COMPUTED_VALUE"""),"Chimichanga")</f>
        <v>Chimichanga</v>
      </c>
      <c r="R120" s="38"/>
      <c r="S120" s="38"/>
      <c r="T120" s="38"/>
      <c r="U120" s="38"/>
      <c r="V120" s="38"/>
      <c r="W120" s="38"/>
      <c r="X120" s="40" t="str">
        <f ca="1">IFERROR(__xludf.DUMMYFUNCTION("""COMPUTED_VALUE"""),"OSDE")</f>
        <v>OSDE</v>
      </c>
      <c r="Y120" s="6" t="str">
        <f ca="1">IFERROR(__xludf.DUMMYFUNCTION("""COMPUTED_VALUE"""),"Si")</f>
        <v>Si</v>
      </c>
      <c r="Z120" s="38" t="str">
        <f ca="1">IFERROR(__xludf.DUMMYFUNCTION("""COMPUTED_VALUE"""),"Acepto")</f>
        <v>Acepto</v>
      </c>
      <c r="AA120" s="38" t="str">
        <f ca="1">IFERROR(__xludf.DUMMYFUNCTION("""COMPUTED_VALUE"""),"Terminado")</f>
        <v>Terminado</v>
      </c>
      <c r="AB120" s="38">
        <f ca="1">IFERROR(__xludf.DUMMYFUNCTION("""COMPUTED_VALUE"""),50000)</f>
        <v>50000</v>
      </c>
      <c r="AC120" s="6">
        <f ca="1">IFERROR(__xludf.DUMMYFUNCTION("""COMPUTED_VALUE"""),205096)</f>
        <v>205096</v>
      </c>
      <c r="AD120" s="6" t="str">
        <f ca="1">IFERROR(__xludf.DUMMYFUNCTION("""COMPUTED_VALUE"""),"TRF 30-08")</f>
        <v>TRF 30-08</v>
      </c>
      <c r="AE120" s="6"/>
      <c r="AF120" s="6"/>
    </row>
    <row r="121" spans="1:32" ht="13.2">
      <c r="A121" s="35">
        <f ca="1">IFERROR(__xludf.DUMMYFUNCTION("""COMPUTED_VALUE"""),45535.7722239004)</f>
        <v>45535.7722239004</v>
      </c>
      <c r="B121" s="36" t="str">
        <f ca="1">IFERROR(__xludf.DUMMYFUNCTION("""COMPUTED_VALUE"""),"De Bernardis ")</f>
        <v xml:space="preserve">De Bernardis </v>
      </c>
      <c r="C121" s="36" t="str">
        <f ca="1">IFERROR(__xludf.DUMMYFUNCTION("""COMPUTED_VALUE"""),"Gael")</f>
        <v>Gael</v>
      </c>
      <c r="D121" s="36" t="str">
        <f ca="1">IFERROR(__xludf.DUMMYFUNCTION("""COMPUTED_VALUE"""),"CABA ")</f>
        <v xml:space="preserve">CABA </v>
      </c>
      <c r="E121" s="38" t="str">
        <f ca="1">IFERROR(__xludf.DUMMYFUNCTION("""COMPUTED_VALUE"""),"ARG")</f>
        <v>ARG</v>
      </c>
      <c r="F121" s="38">
        <f ca="1">IFERROR(__xludf.DUMMYFUNCTION("""COMPUTED_VALUE"""),53645984)</f>
        <v>53645984</v>
      </c>
      <c r="G121" s="37">
        <f ca="1">IFERROR(__xludf.DUMMYFUNCTION("""COMPUTED_VALUE"""),41628)</f>
        <v>41628</v>
      </c>
      <c r="H121" s="38">
        <f ca="1">IFERROR(__xludf.DUMMYFUNCTION("""COMPUTED_VALUE"""),5491160461122)</f>
        <v>5491160461122</v>
      </c>
      <c r="I121" s="38">
        <f ca="1">IFERROR(__xludf.DUMMYFUNCTION("""COMPUTED_VALUE"""),5491140918515)</f>
        <v>5491140918515</v>
      </c>
      <c r="J121" s="38" t="str">
        <f ca="1">IFERROR(__xludf.DUMMYFUNCTION("""COMPUTED_VALUE"""),"Pmdebernardis@gmail.com")</f>
        <v>Pmdebernardis@gmail.com</v>
      </c>
      <c r="K121" s="38" t="str">
        <f ca="1">IFERROR(__xludf.DUMMYFUNCTION("""COMPUTED_VALUE"""),"Masculino")</f>
        <v>Masculino</v>
      </c>
      <c r="L121" s="38" t="str">
        <f ca="1">IFERROR(__xludf.DUMMYFUNCTION("""COMPUTED_VALUE"""),"YCA")</f>
        <v>YCA</v>
      </c>
      <c r="M121" s="38" t="str">
        <f ca="1">IFERROR(__xludf.DUMMYFUNCTION("""COMPUTED_VALUE"""),"Interior (Optimist)")</f>
        <v>Interior (Optimist)</v>
      </c>
      <c r="N121" s="6" t="str">
        <f ca="1">IFERROR(__xludf.DUMMYFUNCTION("""COMPUTED_VALUE"""),"OPTIMIST PRINCIPIANTES")</f>
        <v>OPTIMIST PRINCIPIANTES</v>
      </c>
      <c r="O121" s="6"/>
      <c r="P121" s="6">
        <f ca="1">IFERROR(__xludf.DUMMYFUNCTION("""COMPUTED_VALUE"""),3800)</f>
        <v>3800</v>
      </c>
      <c r="Q121" s="38"/>
      <c r="R121" s="38"/>
      <c r="S121" s="38"/>
      <c r="T121" s="38"/>
      <c r="U121" s="38"/>
      <c r="V121" s="38"/>
      <c r="W121" s="38"/>
      <c r="X121" s="40" t="str">
        <f ca="1">IFERROR(__xludf.DUMMYFUNCTION("""COMPUTED_VALUE"""),"OMINT 102033806")</f>
        <v>OMINT 102033806</v>
      </c>
      <c r="Y121" s="6" t="str">
        <f ca="1">IFERROR(__xludf.DUMMYFUNCTION("""COMPUTED_VALUE"""),"No")</f>
        <v>No</v>
      </c>
      <c r="Z121" s="38" t="str">
        <f ca="1">IFERROR(__xludf.DUMMYFUNCTION("""COMPUTED_VALUE"""),"Acepto")</f>
        <v>Acepto</v>
      </c>
      <c r="AA121" s="38" t="str">
        <f ca="1">IFERROR(__xludf.DUMMYFUNCTION("""COMPUTED_VALUE"""),"Terminado")</f>
        <v>Terminado</v>
      </c>
      <c r="AB121" s="38">
        <f ca="1">IFERROR(__xludf.DUMMYFUNCTION("""COMPUTED_VALUE"""),50000)</f>
        <v>50000</v>
      </c>
      <c r="AC121" s="6">
        <f ca="1">IFERROR(__xludf.DUMMYFUNCTION("""COMPUTED_VALUE"""),205348)</f>
        <v>205348</v>
      </c>
      <c r="AD121" s="6" t="str">
        <f ca="1">IFERROR(__xludf.DUMMYFUNCTION("""COMPUTED_VALUE"""),"TRF 31-08")</f>
        <v>TRF 31-08</v>
      </c>
      <c r="AE121" s="6"/>
      <c r="AF121" s="6"/>
    </row>
    <row r="122" spans="1:32" ht="13.2">
      <c r="A122" s="35">
        <f ca="1">IFERROR(__xludf.DUMMYFUNCTION("""COMPUTED_VALUE"""),45531.8002344328)</f>
        <v>45531.800234432798</v>
      </c>
      <c r="B122" s="36" t="str">
        <f ca="1">IFERROR(__xludf.DUMMYFUNCTION("""COMPUTED_VALUE"""),"Lucia")</f>
        <v>Lucia</v>
      </c>
      <c r="C122" s="36" t="str">
        <f ca="1">IFERROR(__xludf.DUMMYFUNCTION("""COMPUTED_VALUE"""),"Galli Kluge")</f>
        <v>Galli Kluge</v>
      </c>
      <c r="D122" s="36" t="str">
        <f ca="1">IFERROR(__xludf.DUMMYFUNCTION("""COMPUTED_VALUE"""),"CABA")</f>
        <v>CABA</v>
      </c>
      <c r="E122" s="38" t="str">
        <f ca="1">IFERROR(__xludf.DUMMYFUNCTION("""COMPUTED_VALUE"""),"ARG")</f>
        <v>ARG</v>
      </c>
      <c r="F122" s="38">
        <f ca="1">IFERROR(__xludf.DUMMYFUNCTION("""COMPUTED_VALUE"""),52141121)</f>
        <v>52141121</v>
      </c>
      <c r="G122" s="37">
        <f ca="1">IFERROR(__xludf.DUMMYFUNCTION("""COMPUTED_VALUE"""),40946)</f>
        <v>40946</v>
      </c>
      <c r="H122" s="38">
        <f ca="1">IFERROR(__xludf.DUMMYFUNCTION("""COMPUTED_VALUE"""),1131637901)</f>
        <v>1131637901</v>
      </c>
      <c r="I122" s="38">
        <f ca="1">IFERROR(__xludf.DUMMYFUNCTION("""COMPUTED_VALUE"""),1131637901)</f>
        <v>1131637901</v>
      </c>
      <c r="J122" s="38" t="str">
        <f ca="1">IFERROR(__xludf.DUMMYFUNCTION("""COMPUTED_VALUE"""),"martinianogalli@gmail.com")</f>
        <v>martinianogalli@gmail.com</v>
      </c>
      <c r="K122" s="38" t="str">
        <f ca="1">IFERROR(__xludf.DUMMYFUNCTION("""COMPUTED_VALUE"""),"Femenino")</f>
        <v>Femenino</v>
      </c>
      <c r="L122" s="38" t="str">
        <f ca="1">IFERROR(__xludf.DUMMYFUNCTION("""COMPUTED_VALUE"""),"CVB")</f>
        <v>CVB</v>
      </c>
      <c r="M122" s="38" t="str">
        <f ca="1">IFERROR(__xludf.DUMMYFUNCTION("""COMPUTED_VALUE"""),"Femenino")</f>
        <v>Femenino</v>
      </c>
      <c r="N122" s="6" t="str">
        <f ca="1">IFERROR(__xludf.DUMMYFUNCTION("""COMPUTED_VALUE"""),"OPTIMIST PRINCIPIANTES")</f>
        <v>OPTIMIST PRINCIPIANTES</v>
      </c>
      <c r="O122" s="6"/>
      <c r="P122" s="6">
        <f ca="1">IFERROR(__xludf.DUMMYFUNCTION("""COMPUTED_VALUE"""),3162)</f>
        <v>3162</v>
      </c>
      <c r="Q122" s="38"/>
      <c r="R122" s="38"/>
      <c r="S122" s="38"/>
      <c r="T122" s="38"/>
      <c r="U122" s="38"/>
      <c r="V122" s="38"/>
      <c r="W122" s="38"/>
      <c r="X122" s="40" t="str">
        <f ca="1">IFERROR(__xludf.DUMMYFUNCTION("""COMPUTED_VALUE"""),"OSDE")</f>
        <v>OSDE</v>
      </c>
      <c r="Y122" s="6" t="str">
        <f ca="1">IFERROR(__xludf.DUMMYFUNCTION("""COMPUTED_VALUE"""),"Si")</f>
        <v>Si</v>
      </c>
      <c r="Z122" s="38" t="str">
        <f ca="1">IFERROR(__xludf.DUMMYFUNCTION("""COMPUTED_VALUE"""),"Acepto")</f>
        <v>Acepto</v>
      </c>
      <c r="AA122" s="38" t="str">
        <f ca="1">IFERROR(__xludf.DUMMYFUNCTION("""COMPUTED_VALUE"""),"Terminado")</f>
        <v>Terminado</v>
      </c>
      <c r="AB122" s="38">
        <f ca="1">IFERROR(__xludf.DUMMYFUNCTION("""COMPUTED_VALUE"""),50000)</f>
        <v>50000</v>
      </c>
      <c r="AC122" s="6">
        <f ca="1">IFERROR(__xludf.DUMMYFUNCTION("""COMPUTED_VALUE"""),205060)</f>
        <v>205060</v>
      </c>
      <c r="AD122" s="6" t="str">
        <f ca="1">IFERROR(__xludf.DUMMYFUNCTION("""COMPUTED_VALUE"""),"TRF 27-08")</f>
        <v>TRF 27-08</v>
      </c>
      <c r="AE122" s="6"/>
      <c r="AF122" s="6"/>
    </row>
    <row r="123" spans="1:32" ht="13.2">
      <c r="A123" s="35">
        <f ca="1">IFERROR(__xludf.DUMMYFUNCTION("""COMPUTED_VALUE"""),45531.8080454861)</f>
        <v>45531.808045486097</v>
      </c>
      <c r="B123" s="36" t="str">
        <f ca="1">IFERROR(__xludf.DUMMYFUNCTION("""COMPUTED_VALUE"""),"Valentina")</f>
        <v>Valentina</v>
      </c>
      <c r="C123" s="36" t="str">
        <f ca="1">IFERROR(__xludf.DUMMYFUNCTION("""COMPUTED_VALUE"""),"Galli Kluge")</f>
        <v>Galli Kluge</v>
      </c>
      <c r="D123" s="36" t="str">
        <f ca="1">IFERROR(__xludf.DUMMYFUNCTION("""COMPUTED_VALUE"""),"CABA")</f>
        <v>CABA</v>
      </c>
      <c r="E123" s="38" t="str">
        <f ca="1">IFERROR(__xludf.DUMMYFUNCTION("""COMPUTED_VALUE"""),"ARG")</f>
        <v>ARG</v>
      </c>
      <c r="F123" s="38">
        <f ca="1">IFERROR(__xludf.DUMMYFUNCTION("""COMPUTED_VALUE"""),49703324)</f>
        <v>49703324</v>
      </c>
      <c r="G123" s="37">
        <f ca="1">IFERROR(__xludf.DUMMYFUNCTION("""COMPUTED_VALUE"""),40055)</f>
        <v>40055</v>
      </c>
      <c r="H123" s="38">
        <f ca="1">IFERROR(__xludf.DUMMYFUNCTION("""COMPUTED_VALUE"""),1131637901)</f>
        <v>1131637901</v>
      </c>
      <c r="I123" s="38">
        <f ca="1">IFERROR(__xludf.DUMMYFUNCTION("""COMPUTED_VALUE"""),1131637901)</f>
        <v>1131637901</v>
      </c>
      <c r="J123" s="38" t="str">
        <f ca="1">IFERROR(__xludf.DUMMYFUNCTION("""COMPUTED_VALUE"""),"martinianogalli@gmail.com")</f>
        <v>martinianogalli@gmail.com</v>
      </c>
      <c r="K123" s="38" t="str">
        <f ca="1">IFERROR(__xludf.DUMMYFUNCTION("""COMPUTED_VALUE"""),"Femenino")</f>
        <v>Femenino</v>
      </c>
      <c r="L123" s="38" t="str">
        <f ca="1">IFERROR(__xludf.DUMMYFUNCTION("""COMPUTED_VALUE"""),"CVB")</f>
        <v>CVB</v>
      </c>
      <c r="M123" s="38" t="str">
        <f ca="1">IFERROR(__xludf.DUMMYFUNCTION("""COMPUTED_VALUE"""),"Femenino")</f>
        <v>Femenino</v>
      </c>
      <c r="N123" s="6" t="str">
        <f ca="1">IFERROR(__xludf.DUMMYFUNCTION("""COMPUTED_VALUE"""),"ILCA 4")</f>
        <v>ILCA 4</v>
      </c>
      <c r="O123" s="6"/>
      <c r="P123" s="6">
        <f ca="1">IFERROR(__xludf.DUMMYFUNCTION("""COMPUTED_VALUE"""),32)</f>
        <v>32</v>
      </c>
      <c r="Q123" s="38"/>
      <c r="R123" s="38"/>
      <c r="S123" s="38"/>
      <c r="T123" s="38"/>
      <c r="U123" s="38"/>
      <c r="V123" s="38"/>
      <c r="W123" s="38"/>
      <c r="X123" s="40" t="str">
        <f ca="1">IFERROR(__xludf.DUMMYFUNCTION("""COMPUTED_VALUE"""),"OSDE")</f>
        <v>OSDE</v>
      </c>
      <c r="Y123" s="6" t="str">
        <f ca="1">IFERROR(__xludf.DUMMYFUNCTION("""COMPUTED_VALUE"""),"Si")</f>
        <v>Si</v>
      </c>
      <c r="Z123" s="38" t="str">
        <f ca="1">IFERROR(__xludf.DUMMYFUNCTION("""COMPUTED_VALUE"""),"Acepto")</f>
        <v>Acepto</v>
      </c>
      <c r="AA123" s="38" t="str">
        <f ca="1">IFERROR(__xludf.DUMMYFUNCTION("""COMPUTED_VALUE"""),"Terminado")</f>
        <v>Terminado</v>
      </c>
      <c r="AB123" s="38">
        <f ca="1">IFERROR(__xludf.DUMMYFUNCTION("""COMPUTED_VALUE"""),45000)</f>
        <v>45000</v>
      </c>
      <c r="AC123" s="6">
        <f ca="1">IFERROR(__xludf.DUMMYFUNCTION("""COMPUTED_VALUE"""),205061)</f>
        <v>205061</v>
      </c>
      <c r="AD123" s="6" t="str">
        <f ca="1">IFERROR(__xludf.DUMMYFUNCTION("""COMPUTED_VALUE"""),"TRF 27-08")</f>
        <v>TRF 27-08</v>
      </c>
      <c r="AE123" s="6"/>
      <c r="AF123" s="6"/>
    </row>
    <row r="124" spans="1:32" ht="13.2">
      <c r="A124" s="35">
        <f ca="1">IFERROR(__xludf.DUMMYFUNCTION("""COMPUTED_VALUE"""),45537.6359034837)</f>
        <v>45537.635903483701</v>
      </c>
      <c r="B124" s="36" t="str">
        <f ca="1">IFERROR(__xludf.DUMMYFUNCTION("""COMPUTED_VALUE"""),"Benjamin")</f>
        <v>Benjamin</v>
      </c>
      <c r="C124" s="36" t="str">
        <f ca="1">IFERROR(__xludf.DUMMYFUNCTION("""COMPUTED_VALUE"""),"Galvan")</f>
        <v>Galvan</v>
      </c>
      <c r="D124" s="36" t="str">
        <f ca="1">IFERROR(__xludf.DUMMYFUNCTION("""COMPUTED_VALUE"""),"La Plata")</f>
        <v>La Plata</v>
      </c>
      <c r="E124" s="38" t="str">
        <f ca="1">IFERROR(__xludf.DUMMYFUNCTION("""COMPUTED_VALUE"""),"ARG")</f>
        <v>ARG</v>
      </c>
      <c r="F124" s="38">
        <f ca="1">IFERROR(__xludf.DUMMYFUNCTION("""COMPUTED_VALUE"""),46269356)</f>
        <v>46269356</v>
      </c>
      <c r="G124" s="37">
        <f ca="1">IFERROR(__xludf.DUMMYFUNCTION("""COMPUTED_VALUE"""),38288)</f>
        <v>38288</v>
      </c>
      <c r="H124" s="38">
        <f ca="1">IFERROR(__xludf.DUMMYFUNCTION("""COMPUTED_VALUE"""),2214289917)</f>
        <v>2214289917</v>
      </c>
      <c r="I124" s="38">
        <f ca="1">IFERROR(__xludf.DUMMYFUNCTION("""COMPUTED_VALUE"""),2214638320)</f>
        <v>2214638320</v>
      </c>
      <c r="J124" s="38" t="str">
        <f ca="1">IFERROR(__xludf.DUMMYFUNCTION("""COMPUTED_VALUE"""),"galvanb612@gmail.com")</f>
        <v>galvanb612@gmail.com</v>
      </c>
      <c r="K124" s="38" t="str">
        <f ca="1">IFERROR(__xludf.DUMMYFUNCTION("""COMPUTED_VALUE"""),"Masculino")</f>
        <v>Masculino</v>
      </c>
      <c r="L124" s="38" t="str">
        <f ca="1">IFERROR(__xludf.DUMMYFUNCTION("""COMPUTED_VALUE"""),"YCO")</f>
        <v>YCO</v>
      </c>
      <c r="M124" s="38" t="str">
        <f ca="1">IFERROR(__xludf.DUMMYFUNCTION("""COMPUTED_VALUE"""),"Sub 21")</f>
        <v>Sub 21</v>
      </c>
      <c r="N124" s="6" t="str">
        <f ca="1">IFERROR(__xludf.DUMMYFUNCTION("""COMPUTED_VALUE"""),"ILCA 7")</f>
        <v>ILCA 7</v>
      </c>
      <c r="O124" s="6"/>
      <c r="P124" s="6">
        <f ca="1">IFERROR(__xludf.DUMMYFUNCTION("""COMPUTED_VALUE"""),217355)</f>
        <v>217355</v>
      </c>
      <c r="Q124" s="38"/>
      <c r="R124" s="38"/>
      <c r="S124" s="38"/>
      <c r="T124" s="38"/>
      <c r="U124" s="38"/>
      <c r="V124" s="38"/>
      <c r="W124" s="38"/>
      <c r="X124" s="40">
        <f ca="1">IFERROR(__xludf.DUMMYFUNCTION("""COMPUTED_VALUE"""),46269356)</f>
        <v>46269356</v>
      </c>
      <c r="Y124" s="6" t="str">
        <f ca="1">IFERROR(__xludf.DUMMYFUNCTION("""COMPUTED_VALUE"""),"Si")</f>
        <v>Si</v>
      </c>
      <c r="Z124" s="38" t="str">
        <f ca="1">IFERROR(__xludf.DUMMYFUNCTION("""COMPUTED_VALUE"""),"Acepto")</f>
        <v>Acepto</v>
      </c>
      <c r="AA124" s="38" t="str">
        <f ca="1">IFERROR(__xludf.DUMMYFUNCTION("""COMPUTED_VALUE"""),"Terminado")</f>
        <v>Terminado</v>
      </c>
      <c r="AB124" s="38">
        <f ca="1">IFERROR(__xludf.DUMMYFUNCTION("""COMPUTED_VALUE"""),45000)</f>
        <v>45000</v>
      </c>
      <c r="AC124" s="6">
        <f ca="1">IFERROR(__xludf.DUMMYFUNCTION("""COMPUTED_VALUE"""),206483)</f>
        <v>206483</v>
      </c>
      <c r="AD124" s="6" t="str">
        <f ca="1">IFERROR(__xludf.DUMMYFUNCTION("""COMPUTED_VALUE"""),"TRF 03-09")</f>
        <v>TRF 03-09</v>
      </c>
      <c r="AE124" s="6"/>
      <c r="AF124" s="6"/>
    </row>
    <row r="125" spans="1:32" ht="13.2">
      <c r="A125" s="35">
        <f ca="1">IFERROR(__xludf.DUMMYFUNCTION("""COMPUTED_VALUE"""),45537.6380318865)</f>
        <v>45537.638031886498</v>
      </c>
      <c r="B125" s="36" t="str">
        <f ca="1">IFERROR(__xludf.DUMMYFUNCTION("""COMPUTED_VALUE"""),"Joaquin")</f>
        <v>Joaquin</v>
      </c>
      <c r="C125" s="36" t="str">
        <f ca="1">IFERROR(__xludf.DUMMYFUNCTION("""COMPUTED_VALUE"""),"Galvan")</f>
        <v>Galvan</v>
      </c>
      <c r="D125" s="36" t="str">
        <f ca="1">IFERROR(__xludf.DUMMYFUNCTION("""COMPUTED_VALUE"""),"La Plata")</f>
        <v>La Plata</v>
      </c>
      <c r="E125" s="38" t="str">
        <f ca="1">IFERROR(__xludf.DUMMYFUNCTION("""COMPUTED_VALUE"""),"ARG")</f>
        <v>ARG</v>
      </c>
      <c r="F125" s="38">
        <f ca="1">IFERROR(__xludf.DUMMYFUNCTION("""COMPUTED_VALUE"""),48167738)</f>
        <v>48167738</v>
      </c>
      <c r="G125" s="37">
        <f ca="1">IFERROR(__xludf.DUMMYFUNCTION("""COMPUTED_VALUE"""),39322)</f>
        <v>39322</v>
      </c>
      <c r="H125" s="38">
        <f ca="1">IFERROR(__xludf.DUMMYFUNCTION("""COMPUTED_VALUE"""),2215255503)</f>
        <v>2215255503</v>
      </c>
      <c r="I125" s="38">
        <f ca="1">IFERROR(__xludf.DUMMYFUNCTION("""COMPUTED_VALUE"""),2214638320)</f>
        <v>2214638320</v>
      </c>
      <c r="J125" s="38" t="str">
        <f ca="1">IFERROR(__xludf.DUMMYFUNCTION("""COMPUTED_VALUE"""),"galvanb612@gmail.com")</f>
        <v>galvanb612@gmail.com</v>
      </c>
      <c r="K125" s="38" t="str">
        <f ca="1">IFERROR(__xludf.DUMMYFUNCTION("""COMPUTED_VALUE"""),"Masculino")</f>
        <v>Masculino</v>
      </c>
      <c r="L125" s="38" t="str">
        <f ca="1">IFERROR(__xludf.DUMMYFUNCTION("""COMPUTED_VALUE"""),"YCO")</f>
        <v>YCO</v>
      </c>
      <c r="M125" s="38" t="str">
        <f ca="1">IFERROR(__xludf.DUMMYFUNCTION("""COMPUTED_VALUE"""),"Sub 19")</f>
        <v>Sub 19</v>
      </c>
      <c r="N125" s="6" t="str">
        <f ca="1">IFERROR(__xludf.DUMMYFUNCTION("""COMPUTED_VALUE"""),"ILCA 6")</f>
        <v>ILCA 6</v>
      </c>
      <c r="O125" s="6"/>
      <c r="P125" s="6">
        <f ca="1">IFERROR(__xludf.DUMMYFUNCTION("""COMPUTED_VALUE"""),223046)</f>
        <v>223046</v>
      </c>
      <c r="Q125" s="38"/>
      <c r="R125" s="38"/>
      <c r="S125" s="38"/>
      <c r="T125" s="38"/>
      <c r="U125" s="38"/>
      <c r="V125" s="38"/>
      <c r="W125" s="38"/>
      <c r="X125" s="40">
        <f ca="1">IFERROR(__xludf.DUMMYFUNCTION("""COMPUTED_VALUE"""),48167738)</f>
        <v>48167738</v>
      </c>
      <c r="Y125" s="6" t="str">
        <f ca="1">IFERROR(__xludf.DUMMYFUNCTION("""COMPUTED_VALUE"""),"Si")</f>
        <v>Si</v>
      </c>
      <c r="Z125" s="38" t="str">
        <f ca="1">IFERROR(__xludf.DUMMYFUNCTION("""COMPUTED_VALUE"""),"Acepto")</f>
        <v>Acepto</v>
      </c>
      <c r="AA125" s="38" t="str">
        <f ca="1">IFERROR(__xludf.DUMMYFUNCTION("""COMPUTED_VALUE"""),"Terminado")</f>
        <v>Terminado</v>
      </c>
      <c r="AB125" s="38">
        <f ca="1">IFERROR(__xludf.DUMMYFUNCTION("""COMPUTED_VALUE"""),45000)</f>
        <v>45000</v>
      </c>
      <c r="AC125" s="6">
        <f ca="1">IFERROR(__xludf.DUMMYFUNCTION("""COMPUTED_VALUE"""),205482)</f>
        <v>205482</v>
      </c>
      <c r="AD125" s="6" t="str">
        <f ca="1">IFERROR(__xludf.DUMMYFUNCTION("""COMPUTED_VALUE"""),"TRF 03-09")</f>
        <v>TRF 03-09</v>
      </c>
      <c r="AE125" s="6"/>
      <c r="AF125" s="6"/>
    </row>
    <row r="126" spans="1:32" ht="13.2">
      <c r="A126" s="35">
        <f ca="1">IFERROR(__xludf.DUMMYFUNCTION("""COMPUTED_VALUE"""),45533.38527478)</f>
        <v>45533.385274779997</v>
      </c>
      <c r="B126" s="36" t="str">
        <f ca="1">IFERROR(__xludf.DUMMYFUNCTION("""COMPUTED_VALUE"""),"Nicolás ")</f>
        <v xml:space="preserve">Nicolás </v>
      </c>
      <c r="C126" s="36" t="str">
        <f ca="1">IFERROR(__xludf.DUMMYFUNCTION("""COMPUTED_VALUE"""),"Garcia")</f>
        <v>Garcia</v>
      </c>
      <c r="D126" s="36" t="str">
        <f ca="1">IFERROR(__xludf.DUMMYFUNCTION("""COMPUTED_VALUE"""),"Bahia Blanca")</f>
        <v>Bahia Blanca</v>
      </c>
      <c r="E126" s="38" t="str">
        <f ca="1">IFERROR(__xludf.DUMMYFUNCTION("""COMPUTED_VALUE"""),"ARG")</f>
        <v>ARG</v>
      </c>
      <c r="F126" s="38">
        <f ca="1">IFERROR(__xludf.DUMMYFUNCTION("""COMPUTED_VALUE"""),26958355)</f>
        <v>26958355</v>
      </c>
      <c r="G126" s="37">
        <f ca="1">IFERROR(__xludf.DUMMYFUNCTION("""COMPUTED_VALUE"""),28769)</f>
        <v>28769</v>
      </c>
      <c r="H126" s="38">
        <f ca="1">IFERROR(__xludf.DUMMYFUNCTION("""COMPUTED_VALUE"""),26958355)</f>
        <v>26958355</v>
      </c>
      <c r="I126" s="38" t="str">
        <f ca="1">IFERROR(__xludf.DUMMYFUNCTION("""COMPUTED_VALUE"""),"+54 9 291 414 3068")</f>
        <v>+54 9 291 414 3068</v>
      </c>
      <c r="J126" s="38" t="str">
        <f ca="1">IFERROR(__xludf.DUMMYFUNCTION("""COMPUTED_VALUE"""),"ngarcia@eco-petrol.com.ar")</f>
        <v>ngarcia@eco-petrol.com.ar</v>
      </c>
      <c r="K126" s="38" t="str">
        <f ca="1">IFERROR(__xludf.DUMMYFUNCTION("""COMPUTED_VALUE"""),"Masculino")</f>
        <v>Masculino</v>
      </c>
      <c r="L126" s="38" t="str">
        <f ca="1">IFERROR(__xludf.DUMMYFUNCTION("""COMPUTED_VALUE"""),"YCO")</f>
        <v>YCO</v>
      </c>
      <c r="M126" s="38" t="str">
        <f ca="1">IFERROR(__xludf.DUMMYFUNCTION("""COMPUTED_VALUE"""),"Mixto")</f>
        <v>Mixto</v>
      </c>
      <c r="N126" s="6" t="str">
        <f ca="1">IFERROR(__xludf.DUMMYFUNCTION("""COMPUTED_VALUE"""),"SNIPE")</f>
        <v>SNIPE</v>
      </c>
      <c r="O126" s="6"/>
      <c r="P126" s="6">
        <f ca="1">IFERROR(__xludf.DUMMYFUNCTION("""COMPUTED_VALUE"""),31808)</f>
        <v>31808</v>
      </c>
      <c r="Q126" s="38"/>
      <c r="R126" s="38" t="str">
        <f ca="1">IFERROR(__xludf.DUMMYFUNCTION("""COMPUTED_VALUE"""),"Mariela Salerno")</f>
        <v>Mariela Salerno</v>
      </c>
      <c r="S126" s="38"/>
      <c r="T126" s="38"/>
      <c r="U126" s="38"/>
      <c r="V126" s="38"/>
      <c r="W126" s="38"/>
      <c r="X126" s="40"/>
      <c r="Y126" s="6" t="str">
        <f ca="1">IFERROR(__xludf.DUMMYFUNCTION("""COMPUTED_VALUE"""),"Si")</f>
        <v>Si</v>
      </c>
      <c r="Z126" s="38" t="str">
        <f ca="1">IFERROR(__xludf.DUMMYFUNCTION("""COMPUTED_VALUE"""),"Acepto")</f>
        <v>Acepto</v>
      </c>
      <c r="AA126" s="38" t="str">
        <f ca="1">IFERROR(__xludf.DUMMYFUNCTION("""COMPUTED_VALUE"""),"Terminado")</f>
        <v>Terminado</v>
      </c>
      <c r="AB126" s="38">
        <f ca="1">IFERROR(__xludf.DUMMYFUNCTION("""COMPUTED_VALUE"""),60000)</f>
        <v>60000</v>
      </c>
      <c r="AC126" s="6">
        <f ca="1">IFERROR(__xludf.DUMMYFUNCTION("""COMPUTED_VALUE"""),205120)</f>
        <v>205120</v>
      </c>
      <c r="AD126" s="6" t="str">
        <f ca="1">IFERROR(__xludf.DUMMYFUNCTION("""COMPUTED_VALUE"""),"Tarj.31-08")</f>
        <v>Tarj.31-08</v>
      </c>
      <c r="AE126" s="6"/>
      <c r="AF126" s="6"/>
    </row>
    <row r="127" spans="1:32" ht="13.2">
      <c r="A127" s="35">
        <f ca="1">IFERROR(__xludf.DUMMYFUNCTION("""COMPUTED_VALUE"""),45535.7082347916)</f>
        <v>45535.7082347916</v>
      </c>
      <c r="B127" s="36" t="str">
        <f ca="1">IFERROR(__xludf.DUMMYFUNCTION("""COMPUTED_VALUE"""),"Alejandro ")</f>
        <v xml:space="preserve">Alejandro </v>
      </c>
      <c r="C127" s="36" t="str">
        <f ca="1">IFERROR(__xludf.DUMMYFUNCTION("""COMPUTED_VALUE"""),"Garcia")</f>
        <v>Garcia</v>
      </c>
      <c r="D127" s="36" t="str">
        <f ca="1">IFERROR(__xludf.DUMMYFUNCTION("""COMPUTED_VALUE"""),"Caba")</f>
        <v>Caba</v>
      </c>
      <c r="E127" s="38" t="str">
        <f ca="1">IFERROR(__xludf.DUMMYFUNCTION("""COMPUTED_VALUE"""),"ARG")</f>
        <v>ARG</v>
      </c>
      <c r="F127" s="38">
        <f ca="1">IFERROR(__xludf.DUMMYFUNCTION("""COMPUTED_VALUE"""),26562029)</f>
        <v>26562029</v>
      </c>
      <c r="G127" s="37">
        <f ca="1">IFERROR(__xludf.DUMMYFUNCTION("""COMPUTED_VALUE"""),28571)</f>
        <v>28571</v>
      </c>
      <c r="H127" s="38">
        <f ca="1">IFERROR(__xludf.DUMMYFUNCTION("""COMPUTED_VALUE"""),1161245840)</f>
        <v>1161245840</v>
      </c>
      <c r="I127" s="38">
        <f ca="1">IFERROR(__xludf.DUMMYFUNCTION("""COMPUTED_VALUE"""),1161245840)</f>
        <v>1161245840</v>
      </c>
      <c r="J127" s="38" t="str">
        <f ca="1">IFERROR(__xludf.DUMMYFUNCTION("""COMPUTED_VALUE"""),"Alejandro_19788@hotmail.com")</f>
        <v>Alejandro_19788@hotmail.com</v>
      </c>
      <c r="K127" s="38" t="str">
        <f ca="1">IFERROR(__xludf.DUMMYFUNCTION("""COMPUTED_VALUE"""),"Masculino")</f>
        <v>Masculino</v>
      </c>
      <c r="L127" s="38" t="str">
        <f ca="1">IFERROR(__xludf.DUMMYFUNCTION("""COMPUTED_VALUE"""),"Club Nautico Albatros")</f>
        <v>Club Nautico Albatros</v>
      </c>
      <c r="M127" s="38" t="str">
        <f ca="1">IFERROR(__xludf.DUMMYFUNCTION("""COMPUTED_VALUE"""),"Master (ILCA)")</f>
        <v>Master (ILCA)</v>
      </c>
      <c r="N127" s="6" t="str">
        <f ca="1">IFERROR(__xludf.DUMMYFUNCTION("""COMPUTED_VALUE"""),"ILCA 6")</f>
        <v>ILCA 6</v>
      </c>
      <c r="O127" s="6">
        <f ca="1">IFERROR(__xludf.DUMMYFUNCTION("""COMPUTED_VALUE"""),134)</f>
        <v>134</v>
      </c>
      <c r="P127" s="6">
        <f ca="1">IFERROR(__xludf.DUMMYFUNCTION("""COMPUTED_VALUE"""),221117)</f>
        <v>221117</v>
      </c>
      <c r="Q127" s="38" t="str">
        <f ca="1">IFERROR(__xludf.DUMMYFUNCTION("""COMPUTED_VALUE"""),"Selkirk")</f>
        <v>Selkirk</v>
      </c>
      <c r="R127" s="38"/>
      <c r="S127" s="38"/>
      <c r="T127" s="38"/>
      <c r="U127" s="38"/>
      <c r="V127" s="38"/>
      <c r="W127" s="38"/>
      <c r="X127" s="40" t="str">
        <f ca="1">IFERROR(__xludf.DUMMYFUNCTION("""COMPUTED_VALUE"""),"Omint")</f>
        <v>Omint</v>
      </c>
      <c r="Y127" s="6" t="str">
        <f ca="1">IFERROR(__xludf.DUMMYFUNCTION("""COMPUTED_VALUE"""),"No")</f>
        <v>No</v>
      </c>
      <c r="Z127" s="38" t="str">
        <f ca="1">IFERROR(__xludf.DUMMYFUNCTION("""COMPUTED_VALUE"""),"Acepto")</f>
        <v>Acepto</v>
      </c>
      <c r="AA127" s="38" t="str">
        <f ca="1">IFERROR(__xludf.DUMMYFUNCTION("""COMPUTED_VALUE"""),"Terminado")</f>
        <v>Terminado</v>
      </c>
      <c r="AB127" s="38">
        <f ca="1">IFERROR(__xludf.DUMMYFUNCTION("""COMPUTED_VALUE"""),45000)</f>
        <v>45000</v>
      </c>
      <c r="AC127" s="6">
        <f ca="1">IFERROR(__xludf.DUMMYFUNCTION("""COMPUTED_VALUE"""),205378)</f>
        <v>205378</v>
      </c>
      <c r="AD127" s="6" t="str">
        <f ca="1">IFERROR(__xludf.DUMMYFUNCTION("""COMPUTED_VALUE"""),"TRF 02-09")</f>
        <v>TRF 02-09</v>
      </c>
      <c r="AE127" s="6"/>
      <c r="AF127" s="6"/>
    </row>
    <row r="128" spans="1:32" ht="13.2">
      <c r="A128" s="35">
        <f ca="1">IFERROR(__xludf.DUMMYFUNCTION("""COMPUTED_VALUE"""),45539.8673261458)</f>
        <v>45539.867326145803</v>
      </c>
      <c r="B128" s="36" t="str">
        <f ca="1">IFERROR(__xludf.DUMMYFUNCTION("""COMPUTED_VALUE"""),"Lisandro ")</f>
        <v xml:space="preserve">Lisandro </v>
      </c>
      <c r="C128" s="36" t="str">
        <f ca="1">IFERROR(__xludf.DUMMYFUNCTION("""COMPUTED_VALUE"""),"García ")</f>
        <v xml:space="preserve">García </v>
      </c>
      <c r="D128" s="36" t="str">
        <f ca="1">IFERROR(__xludf.DUMMYFUNCTION("""COMPUTED_VALUE"""),"Ituzaingó ")</f>
        <v xml:space="preserve">Ituzaingó </v>
      </c>
      <c r="E128" s="38" t="str">
        <f ca="1">IFERROR(__xludf.DUMMYFUNCTION("""COMPUTED_VALUE"""),"ARG")</f>
        <v>ARG</v>
      </c>
      <c r="F128" s="38">
        <f ca="1">IFERROR(__xludf.DUMMYFUNCTION("""COMPUTED_VALUE"""),23175944)</f>
        <v>23175944</v>
      </c>
      <c r="G128" s="47">
        <f ca="1">IFERROR(__xludf.DUMMYFUNCTION("""COMPUTED_VALUE"""),26893)</f>
        <v>26893</v>
      </c>
      <c r="H128" s="38">
        <f ca="1">IFERROR(__xludf.DUMMYFUNCTION("""COMPUTED_VALUE"""),1168452008)</f>
        <v>1168452008</v>
      </c>
      <c r="I128" s="38">
        <f ca="1">IFERROR(__xludf.DUMMYFUNCTION("""COMPUTED_VALUE"""),1127230426)</f>
        <v>1127230426</v>
      </c>
      <c r="J128" s="38" t="str">
        <f ca="1">IFERROR(__xludf.DUMMYFUNCTION("""COMPUTED_VALUE"""),"lisandropf@hotmail.com")</f>
        <v>lisandropf@hotmail.com</v>
      </c>
      <c r="K128" s="38" t="str">
        <f ca="1">IFERROR(__xludf.DUMMYFUNCTION("""COMPUTED_VALUE"""),"Masculino")</f>
        <v>Masculino</v>
      </c>
      <c r="L128" s="38" t="str">
        <f ca="1">IFERROR(__xludf.DUMMYFUNCTION("""COMPUTED_VALUE"""),"CUBA")</f>
        <v>CUBA</v>
      </c>
      <c r="M128" s="38"/>
      <c r="N128" s="6" t="str">
        <f ca="1">IFERROR(__xludf.DUMMYFUNCTION("""COMPUTED_VALUE"""),"GRUMETE")</f>
        <v>GRUMETE</v>
      </c>
      <c r="O128" s="6"/>
      <c r="P128" s="6">
        <f ca="1">IFERROR(__xludf.DUMMYFUNCTION("""COMPUTED_VALUE"""),87)</f>
        <v>87</v>
      </c>
      <c r="Q128" s="38" t="str">
        <f ca="1">IFERROR(__xludf.DUMMYFUNCTION("""COMPUTED_VALUE"""),"URUNDAY ")</f>
        <v xml:space="preserve">URUNDAY </v>
      </c>
      <c r="R128" s="38" t="str">
        <f ca="1">IFERROR(__xludf.DUMMYFUNCTION("""COMPUTED_VALUE"""),"Castro julian")</f>
        <v>Castro julian</v>
      </c>
      <c r="S128" s="38" t="str">
        <f ca="1">IFERROR(__xludf.DUMMYFUNCTION("""COMPUTED_VALUE"""),"Bonorino sergio")</f>
        <v>Bonorino sergio</v>
      </c>
      <c r="T128" s="38"/>
      <c r="U128" s="38"/>
      <c r="V128" s="38"/>
      <c r="W128" s="38"/>
      <c r="X128" s="40"/>
      <c r="Y128" s="6" t="str">
        <f ca="1">IFERROR(__xludf.DUMMYFUNCTION("""COMPUTED_VALUE"""),"No")</f>
        <v>No</v>
      </c>
      <c r="Z128" s="38" t="str">
        <f ca="1">IFERROR(__xludf.DUMMYFUNCTION("""COMPUTED_VALUE"""),"Acepto")</f>
        <v>Acepto</v>
      </c>
      <c r="AA128" s="38" t="str">
        <f ca="1">IFERROR(__xludf.DUMMYFUNCTION("""COMPUTED_VALUE"""),"Terminado")</f>
        <v>Terminado</v>
      </c>
      <c r="AB128" s="38">
        <f ca="1">IFERROR(__xludf.DUMMYFUNCTION("""COMPUTED_VALUE"""),50000)</f>
        <v>50000</v>
      </c>
      <c r="AC128" s="6">
        <f ca="1">IFERROR(__xludf.DUMMYFUNCTION("""COMPUTED_VALUE"""),205540)</f>
        <v>205540</v>
      </c>
      <c r="AD128" s="6" t="str">
        <f ca="1">IFERROR(__xludf.DUMMYFUNCTION("""COMPUTED_VALUE"""),"TRF 06-09")</f>
        <v>TRF 06-09</v>
      </c>
      <c r="AE128" s="6"/>
      <c r="AF128" s="6"/>
    </row>
    <row r="129" spans="1:32" ht="13.2">
      <c r="A129" s="35">
        <f ca="1">IFERROR(__xludf.DUMMYFUNCTION("""COMPUTED_VALUE"""),45535.4348975231)</f>
        <v>45535.434897523097</v>
      </c>
      <c r="B129" s="36" t="str">
        <f ca="1">IFERROR(__xludf.DUMMYFUNCTION("""COMPUTED_VALUE"""),"Damasia")</f>
        <v>Damasia</v>
      </c>
      <c r="C129" s="36" t="str">
        <f ca="1">IFERROR(__xludf.DUMMYFUNCTION("""COMPUTED_VALUE"""),"García Canteli ")</f>
        <v xml:space="preserve">García Canteli </v>
      </c>
      <c r="D129" s="36" t="str">
        <f ca="1">IFERROR(__xludf.DUMMYFUNCTION("""COMPUTED_VALUE"""),"Tigre")</f>
        <v>Tigre</v>
      </c>
      <c r="E129" s="38" t="str">
        <f ca="1">IFERROR(__xludf.DUMMYFUNCTION("""COMPUTED_VALUE"""),"ARG")</f>
        <v>ARG</v>
      </c>
      <c r="F129" s="38">
        <f ca="1">IFERROR(__xludf.DUMMYFUNCTION("""COMPUTED_VALUE"""),50435588)</f>
        <v>50435588</v>
      </c>
      <c r="G129" s="37">
        <f ca="1">IFERROR(__xludf.DUMMYFUNCTION("""COMPUTED_VALUE"""),40374)</f>
        <v>40374</v>
      </c>
      <c r="H129" s="38">
        <f ca="1">IFERROR(__xludf.DUMMYFUNCTION("""COMPUTED_VALUE"""),1144379842)</f>
        <v>1144379842</v>
      </c>
      <c r="I129" s="38">
        <f ca="1">IFERROR(__xludf.DUMMYFUNCTION("""COMPUTED_VALUE"""),1144379842)</f>
        <v>1144379842</v>
      </c>
      <c r="J129" s="38" t="str">
        <f ca="1">IFERROR(__xludf.DUMMYFUNCTION("""COMPUTED_VALUE"""),"ignagcanteli@yahoo.com.ar")</f>
        <v>ignagcanteli@yahoo.com.ar</v>
      </c>
      <c r="K129" s="38" t="str">
        <f ca="1">IFERROR(__xludf.DUMMYFUNCTION("""COMPUTED_VALUE"""),"Femenino")</f>
        <v>Femenino</v>
      </c>
      <c r="L129" s="38" t="str">
        <f ca="1">IFERROR(__xludf.DUMMYFUNCTION("""COMPUTED_VALUE"""),"CNSI")</f>
        <v>CNSI</v>
      </c>
      <c r="M129" s="38" t="str">
        <f ca="1">IFERROR(__xludf.DUMMYFUNCTION("""COMPUTED_VALUE"""),"Femenino")</f>
        <v>Femenino</v>
      </c>
      <c r="N129" s="6" t="str">
        <f ca="1">IFERROR(__xludf.DUMMYFUNCTION("""COMPUTED_VALUE"""),"OPTIMIST TIMONELES")</f>
        <v>OPTIMIST TIMONELES</v>
      </c>
      <c r="O129" s="6"/>
      <c r="P129" s="6">
        <f ca="1">IFERROR(__xludf.DUMMYFUNCTION("""COMPUTED_VALUE"""),3823)</f>
        <v>3823</v>
      </c>
      <c r="Q129" s="38" t="str">
        <f ca="1">IFERROR(__xludf.DUMMYFUNCTION("""COMPUTED_VALUE"""),"Damasia")</f>
        <v>Damasia</v>
      </c>
      <c r="R129" s="38"/>
      <c r="S129" s="38"/>
      <c r="T129" s="38"/>
      <c r="U129" s="38"/>
      <c r="V129" s="38"/>
      <c r="W129" s="38"/>
      <c r="X129" s="40" t="str">
        <f ca="1">IFERROR(__xludf.DUMMYFUNCTION("""COMPUTED_VALUE"""),"OSDE 410")</f>
        <v>OSDE 410</v>
      </c>
      <c r="Y129" s="6" t="str">
        <f ca="1">IFERROR(__xludf.DUMMYFUNCTION("""COMPUTED_VALUE"""),"No")</f>
        <v>No</v>
      </c>
      <c r="Z129" s="38" t="str">
        <f ca="1">IFERROR(__xludf.DUMMYFUNCTION("""COMPUTED_VALUE"""),"Acepto")</f>
        <v>Acepto</v>
      </c>
      <c r="AA129" s="38" t="str">
        <f ca="1">IFERROR(__xludf.DUMMYFUNCTION("""COMPUTED_VALUE"""),"Terminado")</f>
        <v>Terminado</v>
      </c>
      <c r="AB129" s="38">
        <f ca="1">IFERROR(__xludf.DUMMYFUNCTION("""COMPUTED_VALUE"""),50000)</f>
        <v>50000</v>
      </c>
      <c r="AC129" s="6">
        <f ca="1">IFERROR(__xludf.DUMMYFUNCTION("""COMPUTED_VALUE"""),205352)</f>
        <v>205352</v>
      </c>
      <c r="AD129" s="6" t="str">
        <f ca="1">IFERROR(__xludf.DUMMYFUNCTION("""COMPUTED_VALUE"""),"TRF 31-08")</f>
        <v>TRF 31-08</v>
      </c>
      <c r="AE129" s="6"/>
      <c r="AF129" s="6"/>
    </row>
    <row r="130" spans="1:32" ht="13.2">
      <c r="A130" s="35">
        <f ca="1">IFERROR(__xludf.DUMMYFUNCTION("""COMPUTED_VALUE"""),45535.6599653009)</f>
        <v>45535.659965300903</v>
      </c>
      <c r="B130" s="36" t="str">
        <f ca="1">IFERROR(__xludf.DUMMYFUNCTION("""COMPUTED_VALUE"""),"Matias Uriel")</f>
        <v>Matias Uriel</v>
      </c>
      <c r="C130" s="36" t="str">
        <f ca="1">IFERROR(__xludf.DUMMYFUNCTION("""COMPUTED_VALUE"""),"García Cecolisio")</f>
        <v>García Cecolisio</v>
      </c>
      <c r="D130" s="36" t="str">
        <f ca="1">IFERROR(__xludf.DUMMYFUNCTION("""COMPUTED_VALUE"""),"San Isidro")</f>
        <v>San Isidro</v>
      </c>
      <c r="E130" s="38" t="str">
        <f ca="1">IFERROR(__xludf.DUMMYFUNCTION("""COMPUTED_VALUE"""),"ARG")</f>
        <v>ARG</v>
      </c>
      <c r="F130" s="38">
        <f ca="1">IFERROR(__xludf.DUMMYFUNCTION("""COMPUTED_VALUE"""),49313131)</f>
        <v>49313131</v>
      </c>
      <c r="G130" s="37">
        <f ca="1">IFERROR(__xludf.DUMMYFUNCTION("""COMPUTED_VALUE"""),39860)</f>
        <v>39860</v>
      </c>
      <c r="H130" s="38">
        <f ca="1">IFERROR(__xludf.DUMMYFUNCTION("""COMPUTED_VALUE"""),1136996219)</f>
        <v>1136996219</v>
      </c>
      <c r="I130" s="38">
        <f ca="1">IFERROR(__xludf.DUMMYFUNCTION("""COMPUTED_VALUE"""),1136996219)</f>
        <v>1136996219</v>
      </c>
      <c r="J130" s="38" t="str">
        <f ca="1">IFERROR(__xludf.DUMMYFUNCTION("""COMPUTED_VALUE"""),"gfgg100@yahoo.com.ar")</f>
        <v>gfgg100@yahoo.com.ar</v>
      </c>
      <c r="K130" s="38" t="str">
        <f ca="1">IFERROR(__xludf.DUMMYFUNCTION("""COMPUTED_VALUE"""),"Masculino")</f>
        <v>Masculino</v>
      </c>
      <c r="L130" s="38" t="str">
        <f ca="1">IFERROR(__xludf.DUMMYFUNCTION("""COMPUTED_VALUE"""),"CNGSM")</f>
        <v>CNGSM</v>
      </c>
      <c r="M130" s="38" t="str">
        <f ca="1">IFERROR(__xludf.DUMMYFUNCTION("""COMPUTED_VALUE"""),"Optimist")</f>
        <v>Optimist</v>
      </c>
      <c r="N130" s="6" t="str">
        <f ca="1">IFERROR(__xludf.DUMMYFUNCTION("""COMPUTED_VALUE"""),"OPTIMIST TIMONELES")</f>
        <v>OPTIMIST TIMONELES</v>
      </c>
      <c r="O130" s="6"/>
      <c r="P130" s="6">
        <f ca="1">IFERROR(__xludf.DUMMYFUNCTION("""COMPUTED_VALUE"""),2984)</f>
        <v>2984</v>
      </c>
      <c r="Q130" s="38" t="str">
        <f ca="1">IFERROR(__xludf.DUMMYFUNCTION("""COMPUTED_VALUE"""),"Pegasso")</f>
        <v>Pegasso</v>
      </c>
      <c r="R130" s="38"/>
      <c r="S130" s="38"/>
      <c r="T130" s="38"/>
      <c r="U130" s="38"/>
      <c r="V130" s="38"/>
      <c r="W130" s="38"/>
      <c r="X130" s="40">
        <f ca="1">IFERROR(__xludf.DUMMYFUNCTION("""COMPUTED_VALUE"""),60849216602)</f>
        <v>60849216602</v>
      </c>
      <c r="Y130" s="6" t="str">
        <f ca="1">IFERROR(__xludf.DUMMYFUNCTION("""COMPUTED_VALUE"""),"No")</f>
        <v>No</v>
      </c>
      <c r="Z130" s="38" t="str">
        <f ca="1">IFERROR(__xludf.DUMMYFUNCTION("""COMPUTED_VALUE"""),"Acepto")</f>
        <v>Acepto</v>
      </c>
      <c r="AA130" s="38" t="str">
        <f ca="1">IFERROR(__xludf.DUMMYFUNCTION("""COMPUTED_VALUE"""),"Terminado")</f>
        <v>Terminado</v>
      </c>
      <c r="AB130" s="38">
        <f ca="1">IFERROR(__xludf.DUMMYFUNCTION("""COMPUTED_VALUE"""),50000)</f>
        <v>50000</v>
      </c>
      <c r="AC130" s="6">
        <f ca="1">IFERROR(__xludf.DUMMYFUNCTION("""COMPUTED_VALUE"""),205360)</f>
        <v>205360</v>
      </c>
      <c r="AD130" s="6" t="str">
        <f ca="1">IFERROR(__xludf.DUMMYFUNCTION("""COMPUTED_VALUE"""),"TRF 31-08")</f>
        <v>TRF 31-08</v>
      </c>
      <c r="AE130" s="6"/>
      <c r="AF130" s="6"/>
    </row>
    <row r="131" spans="1:32" ht="13.2">
      <c r="A131" s="35">
        <f ca="1">IFERROR(__xludf.DUMMYFUNCTION("""COMPUTED_VALUE"""),45535.6639923958)</f>
        <v>45535.663992395799</v>
      </c>
      <c r="B131" s="36" t="str">
        <f ca="1">IFERROR(__xludf.DUMMYFUNCTION("""COMPUTED_VALUE"""),"Thiago Nahuel")</f>
        <v>Thiago Nahuel</v>
      </c>
      <c r="C131" s="36" t="str">
        <f ca="1">IFERROR(__xludf.DUMMYFUNCTION("""COMPUTED_VALUE"""),"García Cecolisio")</f>
        <v>García Cecolisio</v>
      </c>
      <c r="D131" s="36" t="str">
        <f ca="1">IFERROR(__xludf.DUMMYFUNCTION("""COMPUTED_VALUE"""),"San Isidro")</f>
        <v>San Isidro</v>
      </c>
      <c r="E131" s="38" t="str">
        <f ca="1">IFERROR(__xludf.DUMMYFUNCTION("""COMPUTED_VALUE"""),"ARG")</f>
        <v>ARG</v>
      </c>
      <c r="F131" s="38">
        <f ca="1">IFERROR(__xludf.DUMMYFUNCTION("""COMPUTED_VALUE"""),53896167)</f>
        <v>53896167</v>
      </c>
      <c r="G131" s="37">
        <f ca="1">IFERROR(__xludf.DUMMYFUNCTION("""COMPUTED_VALUE"""),41717)</f>
        <v>41717</v>
      </c>
      <c r="H131" s="38">
        <f ca="1">IFERROR(__xludf.DUMMYFUNCTION("""COMPUTED_VALUE"""),1136996219)</f>
        <v>1136996219</v>
      </c>
      <c r="I131" s="38">
        <f ca="1">IFERROR(__xludf.DUMMYFUNCTION("""COMPUTED_VALUE"""),1136996219)</f>
        <v>1136996219</v>
      </c>
      <c r="J131" s="38" t="str">
        <f ca="1">IFERROR(__xludf.DUMMYFUNCTION("""COMPUTED_VALUE"""),"gfgg100@yahoo.com.ar")</f>
        <v>gfgg100@yahoo.com.ar</v>
      </c>
      <c r="K131" s="38" t="str">
        <f ca="1">IFERROR(__xludf.DUMMYFUNCTION("""COMPUTED_VALUE"""),"Masculino")</f>
        <v>Masculino</v>
      </c>
      <c r="L131" s="38" t="str">
        <f ca="1">IFERROR(__xludf.DUMMYFUNCTION("""COMPUTED_VALUE"""),"CNGSM")</f>
        <v>CNGSM</v>
      </c>
      <c r="M131" s="38" t="str">
        <f ca="1">IFERROR(__xludf.DUMMYFUNCTION("""COMPUTED_VALUE"""),"Optimist")</f>
        <v>Optimist</v>
      </c>
      <c r="N131" s="6" t="str">
        <f ca="1">IFERROR(__xludf.DUMMYFUNCTION("""COMPUTED_VALUE"""),"OPTIMIST PRINCIPIANTES")</f>
        <v>OPTIMIST PRINCIPIANTES</v>
      </c>
      <c r="O131" s="6"/>
      <c r="P131" s="6">
        <f ca="1">IFERROR(__xludf.DUMMYFUNCTION("""COMPUTED_VALUE"""),3447)</f>
        <v>3447</v>
      </c>
      <c r="Q131" s="38"/>
      <c r="R131" s="38"/>
      <c r="S131" s="38"/>
      <c r="T131" s="38"/>
      <c r="U131" s="38"/>
      <c r="V131" s="38"/>
      <c r="W131" s="38"/>
      <c r="X131" s="40" t="str">
        <f ca="1">IFERROR(__xludf.DUMMYFUNCTION("""COMPUTED_VALUE"""),"Osde 60849216603")</f>
        <v>Osde 60849216603</v>
      </c>
      <c r="Y131" s="6" t="str">
        <f ca="1">IFERROR(__xludf.DUMMYFUNCTION("""COMPUTED_VALUE"""),"No")</f>
        <v>No</v>
      </c>
      <c r="Z131" s="38" t="str">
        <f ca="1">IFERROR(__xludf.DUMMYFUNCTION("""COMPUTED_VALUE"""),"Acepto")</f>
        <v>Acepto</v>
      </c>
      <c r="AA131" s="38" t="str">
        <f ca="1">IFERROR(__xludf.DUMMYFUNCTION("""COMPUTED_VALUE"""),"Terminado")</f>
        <v>Terminado</v>
      </c>
      <c r="AB131" s="38">
        <f ca="1">IFERROR(__xludf.DUMMYFUNCTION("""COMPUTED_VALUE"""),50000)</f>
        <v>50000</v>
      </c>
      <c r="AC131" s="6">
        <f ca="1">IFERROR(__xludf.DUMMYFUNCTION("""COMPUTED_VALUE"""),205361)</f>
        <v>205361</v>
      </c>
      <c r="AD131" s="6" t="str">
        <f ca="1">IFERROR(__xludf.DUMMYFUNCTION("""COMPUTED_VALUE"""),"TRF 31-08")</f>
        <v>TRF 31-08</v>
      </c>
      <c r="AE131" s="6"/>
      <c r="AF131" s="6"/>
    </row>
    <row r="132" spans="1:32" ht="13.2">
      <c r="A132" s="35">
        <f ca="1">IFERROR(__xludf.DUMMYFUNCTION("""COMPUTED_VALUE"""),45536.9188653356)</f>
        <v>45536.918865335603</v>
      </c>
      <c r="B132" s="36" t="str">
        <f ca="1">IFERROR(__xludf.DUMMYFUNCTION("""COMPUTED_VALUE"""),"Indiana")</f>
        <v>Indiana</v>
      </c>
      <c r="C132" s="36" t="str">
        <f ca="1">IFERROR(__xludf.DUMMYFUNCTION("""COMPUTED_VALUE"""),"Garro")</f>
        <v>Garro</v>
      </c>
      <c r="D132" s="36" t="str">
        <f ca="1">IFERROR(__xludf.DUMMYFUNCTION("""COMPUTED_VALUE"""),"Tigre")</f>
        <v>Tigre</v>
      </c>
      <c r="E132" s="38" t="str">
        <f ca="1">IFERROR(__xludf.DUMMYFUNCTION("""COMPUTED_VALUE"""),"ARG")</f>
        <v>ARG</v>
      </c>
      <c r="F132" s="38">
        <f ca="1">IFERROR(__xludf.DUMMYFUNCTION("""COMPUTED_VALUE"""),51330536)</f>
        <v>51330536</v>
      </c>
      <c r="G132" s="37">
        <f ca="1">IFERROR(__xludf.DUMMYFUNCTION("""COMPUTED_VALUE"""),40823)</f>
        <v>40823</v>
      </c>
      <c r="H132" s="38">
        <f ca="1">IFERROR(__xludf.DUMMYFUNCTION("""COMPUTED_VALUE"""),1134070484)</f>
        <v>1134070484</v>
      </c>
      <c r="I132" s="38"/>
      <c r="J132" s="38" t="str">
        <f ca="1">IFERROR(__xludf.DUMMYFUNCTION("""COMPUTED_VALUE"""),"ani1407@yahoo.com.ar")</f>
        <v>ani1407@yahoo.com.ar</v>
      </c>
      <c r="K132" s="38" t="str">
        <f ca="1">IFERROR(__xludf.DUMMYFUNCTION("""COMPUTED_VALUE"""),"Femenino")</f>
        <v>Femenino</v>
      </c>
      <c r="L132" s="38" t="str">
        <f ca="1">IFERROR(__xludf.DUMMYFUNCTION("""COMPUTED_VALUE"""),"CVB")</f>
        <v>CVB</v>
      </c>
      <c r="M132" s="38" t="str">
        <f ca="1">IFERROR(__xludf.DUMMYFUNCTION("""COMPUTED_VALUE"""),"Femenino")</f>
        <v>Femenino</v>
      </c>
      <c r="N132" s="6" t="str">
        <f ca="1">IFERROR(__xludf.DUMMYFUNCTION("""COMPUTED_VALUE"""),"OPTIMIST PRINCIPIANTES")</f>
        <v>OPTIMIST PRINCIPIANTES</v>
      </c>
      <c r="O132" s="6"/>
      <c r="P132" s="6">
        <f ca="1">IFERROR(__xludf.DUMMYFUNCTION("""COMPUTED_VALUE"""),3630)</f>
        <v>3630</v>
      </c>
      <c r="Q132" s="38" t="str">
        <f ca="1">IFERROR(__xludf.DUMMYFUNCTION("""COMPUTED_VALUE"""),"Aloha")</f>
        <v>Aloha</v>
      </c>
      <c r="R132" s="38"/>
      <c r="S132" s="38"/>
      <c r="T132" s="38"/>
      <c r="U132" s="38"/>
      <c r="V132" s="38"/>
      <c r="W132" s="38"/>
      <c r="X132" s="40"/>
      <c r="Y132" s="6" t="str">
        <f ca="1">IFERROR(__xludf.DUMMYFUNCTION("""COMPUTED_VALUE"""),"No")</f>
        <v>No</v>
      </c>
      <c r="Z132" s="38" t="str">
        <f ca="1">IFERROR(__xludf.DUMMYFUNCTION("""COMPUTED_VALUE"""),"Acepto")</f>
        <v>Acepto</v>
      </c>
      <c r="AA132" s="38" t="str">
        <f ca="1">IFERROR(__xludf.DUMMYFUNCTION("""COMPUTED_VALUE"""),"Terminado")</f>
        <v>Terminado</v>
      </c>
      <c r="AB132" s="38">
        <f ca="1">IFERROR(__xludf.DUMMYFUNCTION("""COMPUTED_VALUE"""),50000)</f>
        <v>50000</v>
      </c>
      <c r="AC132" s="6">
        <f ca="1">IFERROR(__xludf.DUMMYFUNCTION("""COMPUTED_VALUE"""),205393)</f>
        <v>205393</v>
      </c>
      <c r="AD132" s="6" t="str">
        <f ca="1">IFERROR(__xludf.DUMMYFUNCTION("""COMPUTED_VALUE"""),"TRF 02-09")</f>
        <v>TRF 02-09</v>
      </c>
      <c r="AE132" s="6"/>
      <c r="AF132" s="6"/>
    </row>
    <row r="133" spans="1:32" ht="13.2">
      <c r="A133" s="35">
        <f ca="1">IFERROR(__xludf.DUMMYFUNCTION("""COMPUTED_VALUE"""),45524.5652235185)</f>
        <v>45524.565223518497</v>
      </c>
      <c r="B133" s="36" t="str">
        <f ca="1">IFERROR(__xludf.DUMMYFUNCTION("""COMPUTED_VALUE"""),"Lara")</f>
        <v>Lara</v>
      </c>
      <c r="C133" s="36" t="str">
        <f ca="1">IFERROR(__xludf.DUMMYFUNCTION("""COMPUTED_VALUE"""),"Gherghi")</f>
        <v>Gherghi</v>
      </c>
      <c r="D133" s="36" t="str">
        <f ca="1">IFERROR(__xludf.DUMMYFUNCTION("""COMPUTED_VALUE"""),"Buenos Aires")</f>
        <v>Buenos Aires</v>
      </c>
      <c r="E133" s="38" t="str">
        <f ca="1">IFERROR(__xludf.DUMMYFUNCTION("""COMPUTED_VALUE"""),"ARG")</f>
        <v>ARG</v>
      </c>
      <c r="F133" s="38">
        <f ca="1">IFERROR(__xludf.DUMMYFUNCTION("""COMPUTED_VALUE"""),52672616)</f>
        <v>52672616</v>
      </c>
      <c r="G133" s="37">
        <f ca="1">IFERROR(__xludf.DUMMYFUNCTION("""COMPUTED_VALUE"""),41142)</f>
        <v>41142</v>
      </c>
      <c r="H133" s="38">
        <f ca="1">IFERROR(__xludf.DUMMYFUNCTION("""COMPUTED_VALUE"""),1158200952)</f>
        <v>1158200952</v>
      </c>
      <c r="I133" s="38">
        <f ca="1">IFERROR(__xludf.DUMMYFUNCTION("""COMPUTED_VALUE"""),1140307230)</f>
        <v>1140307230</v>
      </c>
      <c r="J133" s="38" t="str">
        <f ca="1">IFERROR(__xludf.DUMMYFUNCTION("""COMPUTED_VALUE"""),"jagherghi@gmail.com")</f>
        <v>jagherghi@gmail.com</v>
      </c>
      <c r="K133" s="38" t="str">
        <f ca="1">IFERROR(__xludf.DUMMYFUNCTION("""COMPUTED_VALUE"""),"Femenino")</f>
        <v>Femenino</v>
      </c>
      <c r="L133" s="38" t="str">
        <f ca="1">IFERROR(__xludf.DUMMYFUNCTION("""COMPUTED_VALUE"""),"YCO")</f>
        <v>YCO</v>
      </c>
      <c r="M133" s="38" t="str">
        <f ca="1">IFERROR(__xludf.DUMMYFUNCTION("""COMPUTED_VALUE"""),"Femenino")</f>
        <v>Femenino</v>
      </c>
      <c r="N133" s="6" t="str">
        <f ca="1">IFERROR(__xludf.DUMMYFUNCTION("""COMPUTED_VALUE"""),"OPTIMIST TIMONELES")</f>
        <v>OPTIMIST TIMONELES</v>
      </c>
      <c r="O133" s="6"/>
      <c r="P133" s="6">
        <f ca="1">IFERROR(__xludf.DUMMYFUNCTION("""COMPUTED_VALUE"""),3892)</f>
        <v>3892</v>
      </c>
      <c r="Q133" s="38"/>
      <c r="R133" s="38"/>
      <c r="S133" s="38"/>
      <c r="T133" s="38"/>
      <c r="U133" s="38"/>
      <c r="V133" s="38"/>
      <c r="W133" s="38"/>
      <c r="X133" s="40" t="str">
        <f ca="1">IFERROR(__xludf.DUMMYFUNCTION("""COMPUTED_VALUE"""),"Hospital Alemán ")</f>
        <v xml:space="preserve">Hospital Alemán </v>
      </c>
      <c r="Y133" s="6" t="str">
        <f ca="1">IFERROR(__xludf.DUMMYFUNCTION("""COMPUTED_VALUE"""),"Si")</f>
        <v>Si</v>
      </c>
      <c r="Z133" s="38" t="str">
        <f ca="1">IFERROR(__xludf.DUMMYFUNCTION("""COMPUTED_VALUE"""),"Acepto")</f>
        <v>Acepto</v>
      </c>
      <c r="AA133" s="38" t="str">
        <f ca="1">IFERROR(__xludf.DUMMYFUNCTION("""COMPUTED_VALUE"""),"Terminado")</f>
        <v>Terminado</v>
      </c>
      <c r="AB133" s="38">
        <f ca="1">IFERROR(__xludf.DUMMYFUNCTION("""COMPUTED_VALUE"""),50000)</f>
        <v>50000</v>
      </c>
      <c r="AC133" s="6"/>
      <c r="AD133" s="6" t="str">
        <f ca="1">IFERROR(__xludf.DUMMYFUNCTION("""COMPUTED_VALUE"""),"AF")</f>
        <v>AF</v>
      </c>
      <c r="AE133" s="6"/>
      <c r="AF133" s="6"/>
    </row>
    <row r="134" spans="1:32" ht="13.2">
      <c r="A134" s="35">
        <f ca="1">IFERROR(__xludf.DUMMYFUNCTION("""COMPUTED_VALUE"""),45538.4607017361)</f>
        <v>45538.460701736098</v>
      </c>
      <c r="B134" s="36" t="str">
        <f ca="1">IFERROR(__xludf.DUMMYFUNCTION("""COMPUTED_VALUE"""),"Isabel")</f>
        <v>Isabel</v>
      </c>
      <c r="C134" s="36" t="str">
        <f ca="1">IFERROR(__xludf.DUMMYFUNCTION("""COMPUTED_VALUE"""),"Gibert")</f>
        <v>Gibert</v>
      </c>
      <c r="D134" s="36" t="str">
        <f ca="1">IFERROR(__xludf.DUMMYFUNCTION("""COMPUTED_VALUE"""),"CABA")</f>
        <v>CABA</v>
      </c>
      <c r="E134" s="38" t="str">
        <f ca="1">IFERROR(__xludf.DUMMYFUNCTION("""COMPUTED_VALUE"""),"ARG")</f>
        <v>ARG</v>
      </c>
      <c r="F134" s="38">
        <f ca="1">IFERROR(__xludf.DUMMYFUNCTION("""COMPUTED_VALUE"""),49759489)</f>
        <v>49759489</v>
      </c>
      <c r="G134" s="37">
        <f ca="1">IFERROR(__xludf.DUMMYFUNCTION("""COMPUTED_VALUE"""),40106)</f>
        <v>40106</v>
      </c>
      <c r="H134" s="38">
        <f ca="1">IFERROR(__xludf.DUMMYFUNCTION("""COMPUTED_VALUE"""),1164117291)</f>
        <v>1164117291</v>
      </c>
      <c r="I134" s="38" t="str">
        <f ca="1">IFERROR(__xludf.DUMMYFUNCTION("""COMPUTED_VALUE"""),"idem")</f>
        <v>idem</v>
      </c>
      <c r="J134" s="38" t="str">
        <f ca="1">IFERROR(__xludf.DUMMYFUNCTION("""COMPUTED_VALUE"""),"marianogibert3@gmail.com")</f>
        <v>marianogibert3@gmail.com</v>
      </c>
      <c r="K134" s="38" t="str">
        <f ca="1">IFERROR(__xludf.DUMMYFUNCTION("""COMPUTED_VALUE"""),"Femenino")</f>
        <v>Femenino</v>
      </c>
      <c r="L134" s="38" t="str">
        <f ca="1">IFERROR(__xludf.DUMMYFUNCTION("""COMPUTED_VALUE"""),"CUBA")</f>
        <v>CUBA</v>
      </c>
      <c r="M134" s="38"/>
      <c r="N134" s="6" t="str">
        <f ca="1">IFERROR(__xludf.DUMMYFUNCTION("""COMPUTED_VALUE"""),"OPTIMIST TIMONELES")</f>
        <v>OPTIMIST TIMONELES</v>
      </c>
      <c r="O134" s="6"/>
      <c r="P134" s="6">
        <f ca="1">IFERROR(__xludf.DUMMYFUNCTION("""COMPUTED_VALUE"""),3995)</f>
        <v>3995</v>
      </c>
      <c r="Q134" s="38"/>
      <c r="R134" s="38"/>
      <c r="S134" s="38"/>
      <c r="T134" s="38"/>
      <c r="U134" s="38"/>
      <c r="V134" s="38"/>
      <c r="W134" s="38"/>
      <c r="X134" s="40" t="str">
        <f ca="1">IFERROR(__xludf.DUMMYFUNCTION("""COMPUTED_VALUE"""),"Swiss Medical 8000067256809 03 1040")</f>
        <v>Swiss Medical 8000067256809 03 1040</v>
      </c>
      <c r="Y134" s="6" t="str">
        <f ca="1">IFERROR(__xludf.DUMMYFUNCTION("""COMPUTED_VALUE"""),"No")</f>
        <v>No</v>
      </c>
      <c r="Z134" s="38" t="str">
        <f ca="1">IFERROR(__xludf.DUMMYFUNCTION("""COMPUTED_VALUE"""),"Acepto")</f>
        <v>Acepto</v>
      </c>
      <c r="AA134" s="38" t="str">
        <f ca="1">IFERROR(__xludf.DUMMYFUNCTION("""COMPUTED_VALUE"""),"Pendiente")</f>
        <v>Pendiente</v>
      </c>
      <c r="AB134" s="38"/>
      <c r="AC134" s="6"/>
      <c r="AD134" s="6"/>
      <c r="AE134" s="6"/>
      <c r="AF134" s="6"/>
    </row>
    <row r="135" spans="1:32" ht="13.2">
      <c r="A135" s="35">
        <f ca="1">IFERROR(__xludf.DUMMYFUNCTION("""COMPUTED_VALUE"""),45538.4633705439)</f>
        <v>45538.463370543897</v>
      </c>
      <c r="B135" s="36" t="str">
        <f ca="1">IFERROR(__xludf.DUMMYFUNCTION("""COMPUTED_VALUE"""),"Fermin")</f>
        <v>Fermin</v>
      </c>
      <c r="C135" s="36" t="str">
        <f ca="1">IFERROR(__xludf.DUMMYFUNCTION("""COMPUTED_VALUE"""),"Gibert")</f>
        <v>Gibert</v>
      </c>
      <c r="D135" s="36" t="str">
        <f ca="1">IFERROR(__xludf.DUMMYFUNCTION("""COMPUTED_VALUE"""),"CABA")</f>
        <v>CABA</v>
      </c>
      <c r="E135" s="38" t="str">
        <f ca="1">IFERROR(__xludf.DUMMYFUNCTION("""COMPUTED_VALUE"""),"ARG")</f>
        <v>ARG</v>
      </c>
      <c r="F135" s="38">
        <f ca="1">IFERROR(__xludf.DUMMYFUNCTION("""COMPUTED_VALUE"""),52861772)</f>
        <v>52861772</v>
      </c>
      <c r="G135" s="37">
        <f ca="1">IFERROR(__xludf.DUMMYFUNCTION("""COMPUTED_VALUE"""),41269)</f>
        <v>41269</v>
      </c>
      <c r="H135" s="38">
        <f ca="1">IFERROR(__xludf.DUMMYFUNCTION("""COMPUTED_VALUE"""),1164117291)</f>
        <v>1164117291</v>
      </c>
      <c r="I135" s="38" t="str">
        <f ca="1">IFERROR(__xludf.DUMMYFUNCTION("""COMPUTED_VALUE"""),"idem")</f>
        <v>idem</v>
      </c>
      <c r="J135" s="38" t="str">
        <f ca="1">IFERROR(__xludf.DUMMYFUNCTION("""COMPUTED_VALUE"""),"marianogibert3@gmail.com")</f>
        <v>marianogibert3@gmail.com</v>
      </c>
      <c r="K135" s="38" t="str">
        <f ca="1">IFERROR(__xludf.DUMMYFUNCTION("""COMPUTED_VALUE"""),"Masculino")</f>
        <v>Masculino</v>
      </c>
      <c r="L135" s="38" t="str">
        <f ca="1">IFERROR(__xludf.DUMMYFUNCTION("""COMPUTED_VALUE"""),"CUBA")</f>
        <v>CUBA</v>
      </c>
      <c r="M135" s="38"/>
      <c r="N135" s="6" t="str">
        <f ca="1">IFERROR(__xludf.DUMMYFUNCTION("""COMPUTED_VALUE"""),"OPTIMIST TIMONELES")</f>
        <v>OPTIMIST TIMONELES</v>
      </c>
      <c r="O135" s="6"/>
      <c r="P135" s="6">
        <f ca="1">IFERROR(__xludf.DUMMYFUNCTION("""COMPUTED_VALUE"""),3645)</f>
        <v>3645</v>
      </c>
      <c r="Q135" s="38"/>
      <c r="R135" s="38"/>
      <c r="S135" s="38"/>
      <c r="T135" s="38"/>
      <c r="U135" s="38"/>
      <c r="V135" s="38"/>
      <c r="W135" s="38"/>
      <c r="X135" s="40" t="str">
        <f ca="1">IFERROR(__xludf.DUMMYFUNCTION("""COMPUTED_VALUE"""),"Swiss Medical 800006 7256809 04 1015")</f>
        <v>Swiss Medical 800006 7256809 04 1015</v>
      </c>
      <c r="Y135" s="6" t="str">
        <f ca="1">IFERROR(__xludf.DUMMYFUNCTION("""COMPUTED_VALUE"""),"No")</f>
        <v>No</v>
      </c>
      <c r="Z135" s="38" t="str">
        <f ca="1">IFERROR(__xludf.DUMMYFUNCTION("""COMPUTED_VALUE"""),"Acepto")</f>
        <v>Acepto</v>
      </c>
      <c r="AA135" s="38" t="str">
        <f ca="1">IFERROR(__xludf.DUMMYFUNCTION("""COMPUTED_VALUE"""),"Pendiente")</f>
        <v>Pendiente</v>
      </c>
      <c r="AB135" s="38"/>
      <c r="AC135" s="6"/>
      <c r="AD135" s="6"/>
      <c r="AE135" s="6"/>
      <c r="AF135" s="6"/>
    </row>
    <row r="136" spans="1:32" ht="13.2">
      <c r="A136" s="35">
        <f ca="1">IFERROR(__xludf.DUMMYFUNCTION("""COMPUTED_VALUE"""),45530.4563375578)</f>
        <v>45530.4563375578</v>
      </c>
      <c r="B136" s="36" t="str">
        <f ca="1">IFERROR(__xludf.DUMMYFUNCTION("""COMPUTED_VALUE"""),"Salvador")</f>
        <v>Salvador</v>
      </c>
      <c r="C136" s="36" t="str">
        <f ca="1">IFERROR(__xludf.DUMMYFUNCTION("""COMPUTED_VALUE"""),"Goldenberg")</f>
        <v>Goldenberg</v>
      </c>
      <c r="D136" s="36" t="str">
        <f ca="1">IFERROR(__xludf.DUMMYFUNCTION("""COMPUTED_VALUE"""),"La Plata")</f>
        <v>La Plata</v>
      </c>
      <c r="E136" s="38" t="str">
        <f ca="1">IFERROR(__xludf.DUMMYFUNCTION("""COMPUTED_VALUE"""),"ARG")</f>
        <v>ARG</v>
      </c>
      <c r="F136" s="38">
        <f ca="1">IFERROR(__xludf.DUMMYFUNCTION("""COMPUTED_VALUE"""),49435224)</f>
        <v>49435224</v>
      </c>
      <c r="G136" s="37">
        <f ca="1">IFERROR(__xludf.DUMMYFUNCTION("""COMPUTED_VALUE"""),39910)</f>
        <v>39910</v>
      </c>
      <c r="H136" s="38" t="str">
        <f ca="1">IFERROR(__xludf.DUMMYFUNCTION("""COMPUTED_VALUE"""),"+54 911 49353140")</f>
        <v>+54 911 49353140</v>
      </c>
      <c r="I136" s="38" t="str">
        <f ca="1">IFERROR(__xludf.DUMMYFUNCTION("""COMPUTED_VALUE"""),"+54 911 68279679")</f>
        <v>+54 911 68279679</v>
      </c>
      <c r="J136" s="38" t="str">
        <f ca="1">IFERROR(__xludf.DUMMYFUNCTION("""COMPUTED_VALUE"""),"demiangoldenberg@gmail.com")</f>
        <v>demiangoldenberg@gmail.com</v>
      </c>
      <c r="K136" s="38" t="str">
        <f ca="1">IFERROR(__xludf.DUMMYFUNCTION("""COMPUTED_VALUE"""),"Masculino")</f>
        <v>Masculino</v>
      </c>
      <c r="L136" s="38" t="str">
        <f ca="1">IFERROR(__xludf.DUMMYFUNCTION("""COMPUTED_VALUE"""),"CRLP")</f>
        <v>CRLP</v>
      </c>
      <c r="M136" s="38"/>
      <c r="N136" s="6" t="str">
        <f ca="1">IFERROR(__xludf.DUMMYFUNCTION("""COMPUTED_VALUE"""),"OPTIMIST TIMONELES")</f>
        <v>OPTIMIST TIMONELES</v>
      </c>
      <c r="O136" s="6"/>
      <c r="P136" s="6">
        <f ca="1">IFERROR(__xludf.DUMMYFUNCTION("""COMPUTED_VALUE"""),3753)</f>
        <v>3753</v>
      </c>
      <c r="Q136" s="38"/>
      <c r="R136" s="38"/>
      <c r="S136" s="38"/>
      <c r="T136" s="38"/>
      <c r="U136" s="38"/>
      <c r="V136" s="38"/>
      <c r="W136" s="38"/>
      <c r="X136" s="40" t="str">
        <f ca="1">IFERROR(__xludf.DUMMYFUNCTION("""COMPUTED_VALUE"""),"14543002 DOSUBA")</f>
        <v>14543002 DOSUBA</v>
      </c>
      <c r="Y136" s="6" t="str">
        <f ca="1">IFERROR(__xludf.DUMMYFUNCTION("""COMPUTED_VALUE"""),"Si")</f>
        <v>Si</v>
      </c>
      <c r="Z136" s="38" t="str">
        <f ca="1">IFERROR(__xludf.DUMMYFUNCTION("""COMPUTED_VALUE"""),"Acepto")</f>
        <v>Acepto</v>
      </c>
      <c r="AA136" s="38" t="str">
        <f ca="1">IFERROR(__xludf.DUMMYFUNCTION("""COMPUTED_VALUE"""),"Terminado")</f>
        <v>Terminado</v>
      </c>
      <c r="AB136" s="38">
        <f ca="1">IFERROR(__xludf.DUMMYFUNCTION("""COMPUTED_VALUE"""),60000)</f>
        <v>60000</v>
      </c>
      <c r="AC136" s="6">
        <f ca="1">IFERROR(__xludf.DUMMYFUNCTION("""COMPUTED_VALUE"""),205052)</f>
        <v>205052</v>
      </c>
      <c r="AD136" s="6" t="str">
        <f ca="1">IFERROR(__xludf.DUMMYFUNCTION("""COMPUTED_VALUE"""),"TRF 23-08")</f>
        <v>TRF 23-08</v>
      </c>
      <c r="AE136" s="6"/>
      <c r="AF136" s="6"/>
    </row>
    <row r="137" spans="1:32" ht="13.2">
      <c r="A137" s="35">
        <f ca="1">IFERROR(__xludf.DUMMYFUNCTION("""COMPUTED_VALUE"""),45534.8976090625)</f>
        <v>45534.8976090625</v>
      </c>
      <c r="B137" s="36" t="str">
        <f ca="1">IFERROR(__xludf.DUMMYFUNCTION("""COMPUTED_VALUE"""),"Ulises ")</f>
        <v xml:space="preserve">Ulises </v>
      </c>
      <c r="C137" s="36" t="str">
        <f ca="1">IFERROR(__xludf.DUMMYFUNCTION("""COMPUTED_VALUE"""),"Gómez lacchini ")</f>
        <v xml:space="preserve">Gómez lacchini </v>
      </c>
      <c r="D137" s="36" t="str">
        <f ca="1">IFERROR(__xludf.DUMMYFUNCTION("""COMPUTED_VALUE"""),"La plata")</f>
        <v>La plata</v>
      </c>
      <c r="E137" s="38" t="str">
        <f ca="1">IFERROR(__xludf.DUMMYFUNCTION("""COMPUTED_VALUE"""),"ARG")</f>
        <v>ARG</v>
      </c>
      <c r="F137" s="38">
        <f ca="1">IFERROR(__xludf.DUMMYFUNCTION("""COMPUTED_VALUE"""),44677873)</f>
        <v>44677873</v>
      </c>
      <c r="G137" s="37">
        <f ca="1">IFERROR(__xludf.DUMMYFUNCTION("""COMPUTED_VALUE"""),37763)</f>
        <v>37763</v>
      </c>
      <c r="H137" s="38">
        <f ca="1">IFERROR(__xludf.DUMMYFUNCTION("""COMPUTED_VALUE"""),2216417120)</f>
        <v>2216417120</v>
      </c>
      <c r="I137" s="38"/>
      <c r="J137" s="38" t="str">
        <f ca="1">IFERROR(__xludf.DUMMYFUNCTION("""COMPUTED_VALUE"""),"ulisesgomezlacchini@gmail.com")</f>
        <v>ulisesgomezlacchini@gmail.com</v>
      </c>
      <c r="K137" s="38" t="str">
        <f ca="1">IFERROR(__xludf.DUMMYFUNCTION("""COMPUTED_VALUE"""),"Masculino")</f>
        <v>Masculino</v>
      </c>
      <c r="L137" s="38" t="str">
        <f ca="1">IFERROR(__xludf.DUMMYFUNCTION("""COMPUTED_VALUE"""),"CRLP")</f>
        <v>CRLP</v>
      </c>
      <c r="M137" s="38" t="str">
        <f ca="1">IFERROR(__xludf.DUMMYFUNCTION("""COMPUTED_VALUE"""),"Fachero")</f>
        <v>Fachero</v>
      </c>
      <c r="N137" s="6" t="str">
        <f ca="1">IFERROR(__xludf.DUMMYFUNCTION("""COMPUTED_VALUE"""),"ILCA 7")</f>
        <v>ILCA 7</v>
      </c>
      <c r="O137" s="6"/>
      <c r="P137" s="6">
        <f ca="1">IFERROR(__xludf.DUMMYFUNCTION("""COMPUTED_VALUE"""),211981)</f>
        <v>211981</v>
      </c>
      <c r="Q137" s="38"/>
      <c r="R137" s="38"/>
      <c r="S137" s="38"/>
      <c r="T137" s="38"/>
      <c r="U137" s="38"/>
      <c r="V137" s="38"/>
      <c r="W137" s="38"/>
      <c r="X137" s="40"/>
      <c r="Y137" s="6" t="str">
        <f ca="1">IFERROR(__xludf.DUMMYFUNCTION("""COMPUTED_VALUE"""),"Si")</f>
        <v>Si</v>
      </c>
      <c r="Z137" s="38" t="str">
        <f ca="1">IFERROR(__xludf.DUMMYFUNCTION("""COMPUTED_VALUE"""),"Acepto")</f>
        <v>Acepto</v>
      </c>
      <c r="AA137" s="38" t="str">
        <f ca="1">IFERROR(__xludf.DUMMYFUNCTION("""COMPUTED_VALUE"""),"Terminado")</f>
        <v>Terminado</v>
      </c>
      <c r="AB137" s="38">
        <f ca="1">IFERROR(__xludf.DUMMYFUNCTION("""COMPUTED_VALUE"""),45000)</f>
        <v>45000</v>
      </c>
      <c r="AC137" s="6" t="str">
        <f ca="1">IFERROR(__xludf.DUMMYFUNCTION("""COMPUTED_VALUE"""),"205121/205509")</f>
        <v>205121/205509</v>
      </c>
      <c r="AD137" s="6" t="str">
        <f ca="1">IFERROR(__xludf.DUMMYFUNCTION("""COMPUTED_VALUE"""),"TRF 30-08 y 05-09")</f>
        <v>TRF 30-08 y 05-09</v>
      </c>
      <c r="AE137" s="6"/>
      <c r="AF137" s="6"/>
    </row>
    <row r="138" spans="1:32" ht="13.2">
      <c r="A138" s="35">
        <f ca="1">IFERROR(__xludf.DUMMYFUNCTION("""COMPUTED_VALUE"""),45537.7486644212)</f>
        <v>45537.748664421197</v>
      </c>
      <c r="B138" s="36" t="str">
        <f ca="1">IFERROR(__xludf.DUMMYFUNCTION("""COMPUTED_VALUE"""),"Miranda")</f>
        <v>Miranda</v>
      </c>
      <c r="C138" s="36" t="str">
        <f ca="1">IFERROR(__xludf.DUMMYFUNCTION("""COMPUTED_VALUE"""),"Goncalves borrega")</f>
        <v>Goncalves borrega</v>
      </c>
      <c r="D138" s="36" t="str">
        <f ca="1">IFERROR(__xludf.DUMMYFUNCTION("""COMPUTED_VALUE"""),"Montevideo")</f>
        <v>Montevideo</v>
      </c>
      <c r="E138" s="38" t="str">
        <f ca="1">IFERROR(__xludf.DUMMYFUNCTION("""COMPUTED_VALUE"""),"URU")</f>
        <v>URU</v>
      </c>
      <c r="F138" s="38">
        <f ca="1">IFERROR(__xludf.DUMMYFUNCTION("""COMPUTED_VALUE"""),57934674)</f>
        <v>57934674</v>
      </c>
      <c r="G138" s="37">
        <f ca="1">IFERROR(__xludf.DUMMYFUNCTION("""COMPUTED_VALUE"""),39927)</f>
        <v>39927</v>
      </c>
      <c r="H138" s="38" t="str">
        <f ca="1">IFERROR(__xludf.DUMMYFUNCTION("""COMPUTED_VALUE"""),"099659292")</f>
        <v>099659292</v>
      </c>
      <c r="I138" s="38" t="str">
        <f ca="1">IFERROR(__xludf.DUMMYFUNCTION("""COMPUTED_VALUE"""),"099659292")</f>
        <v>099659292</v>
      </c>
      <c r="J138" s="38" t="str">
        <f ca="1">IFERROR(__xludf.DUMMYFUNCTION("""COMPUTED_VALUE"""),"lauracotelo@gmail.com")</f>
        <v>lauracotelo@gmail.com</v>
      </c>
      <c r="K138" s="38" t="str">
        <f ca="1">IFERROR(__xludf.DUMMYFUNCTION("""COMPUTED_VALUE"""),"Femenino")</f>
        <v>Femenino</v>
      </c>
      <c r="L138" s="38" t="str">
        <f ca="1">IFERROR(__xludf.DUMMYFUNCTION("""COMPUTED_VALUE"""),"Nyc")</f>
        <v>Nyc</v>
      </c>
      <c r="M138" s="38" t="str">
        <f ca="1">IFERROR(__xludf.DUMMYFUNCTION("""COMPUTED_VALUE"""),"Femenino, Interior (Optimist)")</f>
        <v>Femenino, Interior (Optimist)</v>
      </c>
      <c r="N138" s="6" t="str">
        <f ca="1">IFERROR(__xludf.DUMMYFUNCTION("""COMPUTED_VALUE"""),"OPTIMIST TIMONELES")</f>
        <v>OPTIMIST TIMONELES</v>
      </c>
      <c r="O138" s="6"/>
      <c r="P138" s="6">
        <f ca="1">IFERROR(__xludf.DUMMYFUNCTION("""COMPUTED_VALUE"""),347)</f>
        <v>347</v>
      </c>
      <c r="Q138" s="38" t="str">
        <f ca="1">IFERROR(__xludf.DUMMYFUNCTION("""COMPUTED_VALUE"""),"Boyante")</f>
        <v>Boyante</v>
      </c>
      <c r="R138" s="38" t="str">
        <f ca="1">IFERROR(__xludf.DUMMYFUNCTION("""COMPUTED_VALUE"""),"Miranda Goncalves")</f>
        <v>Miranda Goncalves</v>
      </c>
      <c r="S138" s="38"/>
      <c r="T138" s="38"/>
      <c r="U138" s="38"/>
      <c r="V138" s="38"/>
      <c r="W138" s="38"/>
      <c r="X138" s="40"/>
      <c r="Y138" s="6" t="str">
        <f ca="1">IFERROR(__xludf.DUMMYFUNCTION("""COMPUTED_VALUE"""),"Si")</f>
        <v>Si</v>
      </c>
      <c r="Z138" s="38" t="str">
        <f ca="1">IFERROR(__xludf.DUMMYFUNCTION("""COMPUTED_VALUE"""),"Acepto")</f>
        <v>Acepto</v>
      </c>
      <c r="AA138" s="38" t="str">
        <f ca="1">IFERROR(__xludf.DUMMYFUNCTION("""COMPUTED_VALUE"""),"Terminado")</f>
        <v>Terminado</v>
      </c>
      <c r="AB138" s="38">
        <f ca="1">IFERROR(__xludf.DUMMYFUNCTION("""COMPUTED_VALUE"""),42500)</f>
        <v>42500</v>
      </c>
      <c r="AC138" s="6">
        <f ca="1">IFERROR(__xludf.DUMMYFUNCTION("""COMPUTED_VALUE"""),205391)</f>
        <v>205391</v>
      </c>
      <c r="AD138" s="6" t="str">
        <f ca="1">IFERROR(__xludf.DUMMYFUNCTION("""COMPUTED_VALUE"""),"TRF 02-09")</f>
        <v>TRF 02-09</v>
      </c>
      <c r="AE138" s="6"/>
      <c r="AF138" s="6"/>
    </row>
    <row r="139" spans="1:32" ht="13.2">
      <c r="A139" s="35">
        <f ca="1">IFERROR(__xludf.DUMMYFUNCTION("""COMPUTED_VALUE"""),45537.7507803703)</f>
        <v>45537.750780370297</v>
      </c>
      <c r="B139" s="36" t="str">
        <f ca="1">IFERROR(__xludf.DUMMYFUNCTION("""COMPUTED_VALUE"""),"Matilda")</f>
        <v>Matilda</v>
      </c>
      <c r="C139" s="36" t="str">
        <f ca="1">IFERROR(__xludf.DUMMYFUNCTION("""COMPUTED_VALUE"""),"Goncalves Borrega")</f>
        <v>Goncalves Borrega</v>
      </c>
      <c r="D139" s="36" t="str">
        <f ca="1">IFERROR(__xludf.DUMMYFUNCTION("""COMPUTED_VALUE"""),"Montevideo")</f>
        <v>Montevideo</v>
      </c>
      <c r="E139" s="38" t="str">
        <f ca="1">IFERROR(__xludf.DUMMYFUNCTION("""COMPUTED_VALUE"""),"URU")</f>
        <v>URU</v>
      </c>
      <c r="F139" s="38">
        <f ca="1">IFERROR(__xludf.DUMMYFUNCTION("""COMPUTED_VALUE"""),59259286)</f>
        <v>59259286</v>
      </c>
      <c r="G139" s="37">
        <f ca="1">IFERROR(__xludf.DUMMYFUNCTION("""COMPUTED_VALUE"""),40771)</f>
        <v>40771</v>
      </c>
      <c r="H139" s="38" t="str">
        <f ca="1">IFERROR(__xludf.DUMMYFUNCTION("""COMPUTED_VALUE"""),"099659292")</f>
        <v>099659292</v>
      </c>
      <c r="I139" s="38" t="str">
        <f ca="1">IFERROR(__xludf.DUMMYFUNCTION("""COMPUTED_VALUE"""),"099659292")</f>
        <v>099659292</v>
      </c>
      <c r="J139" s="38" t="str">
        <f ca="1">IFERROR(__xludf.DUMMYFUNCTION("""COMPUTED_VALUE"""),"lauracotelo@gmail.com")</f>
        <v>lauracotelo@gmail.com</v>
      </c>
      <c r="K139" s="38" t="str">
        <f ca="1">IFERROR(__xludf.DUMMYFUNCTION("""COMPUTED_VALUE"""),"Femenino")</f>
        <v>Femenino</v>
      </c>
      <c r="L139" s="38" t="str">
        <f ca="1">IFERROR(__xludf.DUMMYFUNCTION("""COMPUTED_VALUE"""),"Nyc")</f>
        <v>Nyc</v>
      </c>
      <c r="M139" s="38" t="str">
        <f ca="1">IFERROR(__xludf.DUMMYFUNCTION("""COMPUTED_VALUE"""),"Femenino, Interior (Optimist)")</f>
        <v>Femenino, Interior (Optimist)</v>
      </c>
      <c r="N139" s="6" t="str">
        <f ca="1">IFERROR(__xludf.DUMMYFUNCTION("""COMPUTED_VALUE"""),"OPTIMIST TIMONELES")</f>
        <v>OPTIMIST TIMONELES</v>
      </c>
      <c r="O139" s="6"/>
      <c r="P139" s="6">
        <f ca="1">IFERROR(__xludf.DUMMYFUNCTION("""COMPUTED_VALUE"""),46)</f>
        <v>46</v>
      </c>
      <c r="Q139" s="38"/>
      <c r="R139" s="38" t="str">
        <f ca="1">IFERROR(__xludf.DUMMYFUNCTION("""COMPUTED_VALUE"""),"Matilda goncalves")</f>
        <v>Matilda goncalves</v>
      </c>
      <c r="S139" s="38"/>
      <c r="T139" s="38"/>
      <c r="U139" s="38"/>
      <c r="V139" s="38"/>
      <c r="W139" s="38"/>
      <c r="X139" s="40"/>
      <c r="Y139" s="6" t="str">
        <f ca="1">IFERROR(__xludf.DUMMYFUNCTION("""COMPUTED_VALUE"""),"Si")</f>
        <v>Si</v>
      </c>
      <c r="Z139" s="38" t="str">
        <f ca="1">IFERROR(__xludf.DUMMYFUNCTION("""COMPUTED_VALUE"""),"Acepto")</f>
        <v>Acepto</v>
      </c>
      <c r="AA139" s="38" t="str">
        <f ca="1">IFERROR(__xludf.DUMMYFUNCTION("""COMPUTED_VALUE"""),"Terminado")</f>
        <v>Terminado</v>
      </c>
      <c r="AB139" s="38">
        <f ca="1">IFERROR(__xludf.DUMMYFUNCTION("""COMPUTED_VALUE"""),42500)</f>
        <v>42500</v>
      </c>
      <c r="AC139" s="6">
        <f ca="1">IFERROR(__xludf.DUMMYFUNCTION("""COMPUTED_VALUE"""),205391)</f>
        <v>205391</v>
      </c>
      <c r="AD139" s="6" t="str">
        <f ca="1">IFERROR(__xludf.DUMMYFUNCTION("""COMPUTED_VALUE"""),"TRF 02-09")</f>
        <v>TRF 02-09</v>
      </c>
      <c r="AE139" s="6"/>
      <c r="AF139" s="6"/>
    </row>
    <row r="140" spans="1:32" ht="13.2">
      <c r="A140" s="35">
        <f ca="1">IFERROR(__xludf.DUMMYFUNCTION("""COMPUTED_VALUE"""),45535.8968420949)</f>
        <v>45535.896842094902</v>
      </c>
      <c r="B140" s="36" t="str">
        <f ca="1">IFERROR(__xludf.DUMMYFUNCTION("""COMPUTED_VALUE"""),"Santiago Gaspar")</f>
        <v>Santiago Gaspar</v>
      </c>
      <c r="C140" s="36" t="str">
        <f ca="1">IFERROR(__xludf.DUMMYFUNCTION("""COMPUTED_VALUE"""),"Gonzalez")</f>
        <v>Gonzalez</v>
      </c>
      <c r="D140" s="36" t="str">
        <f ca="1">IFERROR(__xludf.DUMMYFUNCTION("""COMPUTED_VALUE"""),"Buenos aires")</f>
        <v>Buenos aires</v>
      </c>
      <c r="E140" s="38" t="str">
        <f ca="1">IFERROR(__xludf.DUMMYFUNCTION("""COMPUTED_VALUE"""),"ARG")</f>
        <v>ARG</v>
      </c>
      <c r="F140" s="38">
        <f ca="1">IFERROR(__xludf.DUMMYFUNCTION("""COMPUTED_VALUE"""),51390049)</f>
        <v>51390049</v>
      </c>
      <c r="G140" s="37">
        <f ca="1">IFERROR(__xludf.DUMMYFUNCTION("""COMPUTED_VALUE"""),40773)</f>
        <v>40773</v>
      </c>
      <c r="H140" s="38">
        <f ca="1">IFERROR(__xludf.DUMMYFUNCTION("""COMPUTED_VALUE"""),1167049300)</f>
        <v>1167049300</v>
      </c>
      <c r="I140" s="38">
        <f ca="1">IFERROR(__xludf.DUMMYFUNCTION("""COMPUTED_VALUE"""),1567049500)</f>
        <v>1567049500</v>
      </c>
      <c r="J140" s="38" t="str">
        <f ca="1">IFERROR(__xludf.DUMMYFUNCTION("""COMPUTED_VALUE"""),"hdibatista@gmail.com")</f>
        <v>hdibatista@gmail.com</v>
      </c>
      <c r="K140" s="38" t="str">
        <f ca="1">IFERROR(__xludf.DUMMYFUNCTION("""COMPUTED_VALUE"""),"Masculino")</f>
        <v>Masculino</v>
      </c>
      <c r="L140" s="38" t="str">
        <f ca="1">IFERROR(__xludf.DUMMYFUNCTION("""COMPUTED_VALUE"""),"Cnas")</f>
        <v>Cnas</v>
      </c>
      <c r="M140" s="38"/>
      <c r="N140" s="6" t="str">
        <f ca="1">IFERROR(__xludf.DUMMYFUNCTION("""COMPUTED_VALUE"""),"OPTIMIST PRINCIPIANTES")</f>
        <v>OPTIMIST PRINCIPIANTES</v>
      </c>
      <c r="O140" s="6"/>
      <c r="P140" s="6">
        <f ca="1">IFERROR(__xludf.DUMMYFUNCTION("""COMPUTED_VALUE"""),4161)</f>
        <v>4161</v>
      </c>
      <c r="Q140" s="38"/>
      <c r="R140" s="38"/>
      <c r="S140" s="38"/>
      <c r="T140" s="38"/>
      <c r="U140" s="38"/>
      <c r="V140" s="38"/>
      <c r="W140" s="38"/>
      <c r="X140" s="40" t="str">
        <f ca="1">IFERROR(__xludf.DUMMYFUNCTION("""COMPUTED_VALUE"""),"Galeno Oro")</f>
        <v>Galeno Oro</v>
      </c>
      <c r="Y140" s="6" t="str">
        <f ca="1">IFERROR(__xludf.DUMMYFUNCTION("""COMPUTED_VALUE"""),"Si")</f>
        <v>Si</v>
      </c>
      <c r="Z140" s="38" t="str">
        <f ca="1">IFERROR(__xludf.DUMMYFUNCTION("""COMPUTED_VALUE"""),"Acepto")</f>
        <v>Acepto</v>
      </c>
      <c r="AA140" s="38" t="str">
        <f ca="1">IFERROR(__xludf.DUMMYFUNCTION("""COMPUTED_VALUE"""),"Pendiente")</f>
        <v>Pendiente</v>
      </c>
      <c r="AB140" s="38"/>
      <c r="AC140" s="6"/>
      <c r="AD140" s="6"/>
      <c r="AE140" s="6"/>
      <c r="AF140" s="6"/>
    </row>
    <row r="141" spans="1:32" ht="13.2">
      <c r="A141" s="35">
        <f ca="1">IFERROR(__xludf.DUMMYFUNCTION("""COMPUTED_VALUE"""),45525.7246101041)</f>
        <v>45525.724610104102</v>
      </c>
      <c r="B141" s="36" t="str">
        <f ca="1">IFERROR(__xludf.DUMMYFUNCTION("""COMPUTED_VALUE"""),"Federico ")</f>
        <v xml:space="preserve">Federico </v>
      </c>
      <c r="C141" s="36" t="str">
        <f ca="1">IFERROR(__xludf.DUMMYFUNCTION("""COMPUTED_VALUE"""),"González ")</f>
        <v xml:space="preserve">González </v>
      </c>
      <c r="D141" s="36" t="str">
        <f ca="1">IFERROR(__xludf.DUMMYFUNCTION("""COMPUTED_VALUE"""),"Bahía Blanca")</f>
        <v>Bahía Blanca</v>
      </c>
      <c r="E141" s="38" t="str">
        <f ca="1">IFERROR(__xludf.DUMMYFUNCTION("""COMPUTED_VALUE"""),"ARG")</f>
        <v>ARG</v>
      </c>
      <c r="F141" s="38">
        <f ca="1">IFERROR(__xludf.DUMMYFUNCTION("""COMPUTED_VALUE"""),28296764)</f>
        <v>28296764</v>
      </c>
      <c r="G141" s="37">
        <f ca="1">IFERROR(__xludf.DUMMYFUNCTION("""COMPUTED_VALUE"""),29398)</f>
        <v>29398</v>
      </c>
      <c r="H141" s="38">
        <f ca="1">IFERROR(__xludf.DUMMYFUNCTION("""COMPUTED_VALUE"""),2914195716)</f>
        <v>2914195716</v>
      </c>
      <c r="I141" s="38"/>
      <c r="J141" s="38" t="str">
        <f ca="1">IFERROR(__xludf.DUMMYFUNCTION("""COMPUTED_VALUE"""),"federico_e_gonzalez@hotmail.com")</f>
        <v>federico_e_gonzalez@hotmail.com</v>
      </c>
      <c r="K141" s="38" t="str">
        <f ca="1">IFERROR(__xludf.DUMMYFUNCTION("""COMPUTED_VALUE"""),"Masculino")</f>
        <v>Masculino</v>
      </c>
      <c r="L141" s="38" t="str">
        <f ca="1">IFERROR(__xludf.DUMMYFUNCTION("""COMPUTED_VALUE"""),"CNBB")</f>
        <v>CNBB</v>
      </c>
      <c r="M141" s="38" t="str">
        <f ca="1">IFERROR(__xludf.DUMMYFUNCTION("""COMPUTED_VALUE"""),"Mixto")</f>
        <v>Mixto</v>
      </c>
      <c r="N141" s="6" t="str">
        <f ca="1">IFERROR(__xludf.DUMMYFUNCTION("""COMPUTED_VALUE"""),"PAMPERO")</f>
        <v>PAMPERO</v>
      </c>
      <c r="O141" s="6"/>
      <c r="P141" s="6">
        <f ca="1">IFERROR(__xludf.DUMMYFUNCTION("""COMPUTED_VALUE"""),6)</f>
        <v>6</v>
      </c>
      <c r="Q141" s="38" t="str">
        <f ca="1">IFERROR(__xludf.DUMMYFUNCTION("""COMPUTED_VALUE"""),"Buscado")</f>
        <v>Buscado</v>
      </c>
      <c r="R141" s="38" t="str">
        <f ca="1">IFERROR(__xludf.DUMMYFUNCTION("""COMPUTED_VALUE"""),"Amaya Macarena")</f>
        <v>Amaya Macarena</v>
      </c>
      <c r="S141" s="38"/>
      <c r="T141" s="38"/>
      <c r="U141" s="38"/>
      <c r="V141" s="38"/>
      <c r="W141" s="38"/>
      <c r="X141" s="40" t="str">
        <f ca="1">IFERROR(__xludf.DUMMYFUNCTION("""COMPUTED_VALUE"""),"Unión Personal - 02661417008")</f>
        <v>Unión Personal - 02661417008</v>
      </c>
      <c r="Y141" s="6" t="str">
        <f ca="1">IFERROR(__xludf.DUMMYFUNCTION("""COMPUTED_VALUE"""),"Si")</f>
        <v>Si</v>
      </c>
      <c r="Z141" s="38" t="str">
        <f ca="1">IFERROR(__xludf.DUMMYFUNCTION("""COMPUTED_VALUE"""),"Acepto")</f>
        <v>Acepto</v>
      </c>
      <c r="AA141" s="38" t="str">
        <f ca="1">IFERROR(__xludf.DUMMYFUNCTION("""COMPUTED_VALUE"""),"Terminado")</f>
        <v>Terminado</v>
      </c>
      <c r="AB141" s="38">
        <f ca="1">IFERROR(__xludf.DUMMYFUNCTION("""COMPUTED_VALUE"""),60000)</f>
        <v>60000</v>
      </c>
      <c r="AC141" s="6">
        <f ca="1">IFERROR(__xludf.DUMMYFUNCTION("""COMPUTED_VALUE"""),205025)</f>
        <v>205025</v>
      </c>
      <c r="AD141" s="6" t="str">
        <f ca="1">IFERROR(__xludf.DUMMYFUNCTION("""COMPUTED_VALUE"""),"TRF 21-08")</f>
        <v>TRF 21-08</v>
      </c>
      <c r="AE141" s="6"/>
      <c r="AF141" s="6" t="str">
        <f ca="1">IFERROR(__xludf.DUMMYFUNCTION("""COMPUTED_VALUE"""),"Si")</f>
        <v>Si</v>
      </c>
    </row>
    <row r="142" spans="1:32" ht="13.2">
      <c r="A142" s="35">
        <f ca="1">IFERROR(__xludf.DUMMYFUNCTION("""COMPUTED_VALUE"""),45534.6632291087)</f>
        <v>45534.663229108701</v>
      </c>
      <c r="B142" s="36" t="str">
        <f ca="1">IFERROR(__xludf.DUMMYFUNCTION("""COMPUTED_VALUE"""),"Juan Sebastian")</f>
        <v>Juan Sebastian</v>
      </c>
      <c r="C142" s="36" t="str">
        <f ca="1">IFERROR(__xludf.DUMMYFUNCTION("""COMPUTED_VALUE"""),"Gonzalez Espinola")</f>
        <v>Gonzalez Espinola</v>
      </c>
      <c r="D142" s="36" t="str">
        <f ca="1">IFERROR(__xludf.DUMMYFUNCTION("""COMPUTED_VALUE"""),"C.a.b.a")</f>
        <v>C.a.b.a</v>
      </c>
      <c r="E142" s="38" t="str">
        <f ca="1">IFERROR(__xludf.DUMMYFUNCTION("""COMPUTED_VALUE"""),"ARG")</f>
        <v>ARG</v>
      </c>
      <c r="F142" s="38">
        <f ca="1">IFERROR(__xludf.DUMMYFUNCTION("""COMPUTED_VALUE"""),52764512)</f>
        <v>52764512</v>
      </c>
      <c r="G142" s="37">
        <f ca="1">IFERROR(__xludf.DUMMYFUNCTION("""COMPUTED_VALUE"""),41194)</f>
        <v>41194</v>
      </c>
      <c r="H142" s="38">
        <f ca="1">IFERROR(__xludf.DUMMYFUNCTION("""COMPUTED_VALUE"""),1151014498)</f>
        <v>1151014498</v>
      </c>
      <c r="I142" s="38">
        <f ca="1">IFERROR(__xludf.DUMMYFUNCTION("""COMPUTED_VALUE"""),1151082053)</f>
        <v>1151082053</v>
      </c>
      <c r="J142" s="38" t="str">
        <f ca="1">IFERROR(__xludf.DUMMYFUNCTION("""COMPUTED_VALUE"""),"lidiaespinola12@gmail.com")</f>
        <v>lidiaespinola12@gmail.com</v>
      </c>
      <c r="K142" s="38" t="str">
        <f ca="1">IFERROR(__xludf.DUMMYFUNCTION("""COMPUTED_VALUE"""),"Masculino")</f>
        <v>Masculino</v>
      </c>
      <c r="L142" s="38" t="str">
        <f ca="1">IFERROR(__xludf.DUMMYFUNCTION("""COMPUTED_VALUE"""),"CGLNM")</f>
        <v>CGLNM</v>
      </c>
      <c r="M142" s="38" t="str">
        <f ca="1">IFERROR(__xludf.DUMMYFUNCTION("""COMPUTED_VALUE"""),"Interior (Optimist)")</f>
        <v>Interior (Optimist)</v>
      </c>
      <c r="N142" s="6" t="str">
        <f ca="1">IFERROR(__xludf.DUMMYFUNCTION("""COMPUTED_VALUE"""),"OPTIMIST PRINCIPIANTES")</f>
        <v>OPTIMIST PRINCIPIANTES</v>
      </c>
      <c r="O142" s="6"/>
      <c r="P142" s="6">
        <f ca="1">IFERROR(__xludf.DUMMYFUNCTION("""COMPUTED_VALUE"""),3782)</f>
        <v>3782</v>
      </c>
      <c r="Q142" s="38" t="str">
        <f ca="1">IFERROR(__xludf.DUMMYFUNCTION("""COMPUTED_VALUE"""),"Tormenta")</f>
        <v>Tormenta</v>
      </c>
      <c r="R142" s="38"/>
      <c r="S142" s="38"/>
      <c r="T142" s="38"/>
      <c r="U142" s="38"/>
      <c r="V142" s="38"/>
      <c r="W142" s="38"/>
      <c r="X142" s="40" t="str">
        <f ca="1">IFERROR(__xludf.DUMMYFUNCTION("""COMPUTED_VALUE"""),"OMINT")</f>
        <v>OMINT</v>
      </c>
      <c r="Y142" s="6" t="str">
        <f ca="1">IFERROR(__xludf.DUMMYFUNCTION("""COMPUTED_VALUE"""),"Si")</f>
        <v>Si</v>
      </c>
      <c r="Z142" s="38" t="str">
        <f ca="1">IFERROR(__xludf.DUMMYFUNCTION("""COMPUTED_VALUE"""),"Acepto")</f>
        <v>Acepto</v>
      </c>
      <c r="AA142" s="38" t="str">
        <f ca="1">IFERROR(__xludf.DUMMYFUNCTION("""COMPUTED_VALUE"""),"Terminado")</f>
        <v>Terminado</v>
      </c>
      <c r="AB142" s="38">
        <f ca="1">IFERROR(__xludf.DUMMYFUNCTION("""COMPUTED_VALUE"""),50000)</f>
        <v>50000</v>
      </c>
      <c r="AC142" s="6">
        <f ca="1">IFERROR(__xludf.DUMMYFUNCTION("""COMPUTED_VALUE"""),205363)</f>
        <v>205363</v>
      </c>
      <c r="AD142" s="6" t="str">
        <f ca="1">IFERROR(__xludf.DUMMYFUNCTION("""COMPUTED_VALUE"""),"TRF 31-08")</f>
        <v>TRF 31-08</v>
      </c>
      <c r="AE142" s="6"/>
      <c r="AF142" s="6"/>
    </row>
    <row r="143" spans="1:32" ht="13.2">
      <c r="A143" s="35">
        <f ca="1">IFERROR(__xludf.DUMMYFUNCTION("""COMPUTED_VALUE"""),45539.8277520023)</f>
        <v>45539.827752002297</v>
      </c>
      <c r="B143" s="36" t="str">
        <f ca="1">IFERROR(__xludf.DUMMYFUNCTION("""COMPUTED_VALUE"""),"Quinto")</f>
        <v>Quinto</v>
      </c>
      <c r="C143" s="36" t="str">
        <f ca="1">IFERROR(__xludf.DUMMYFUNCTION("""COMPUTED_VALUE"""),"Graham")</f>
        <v>Graham</v>
      </c>
      <c r="D143" s="36" t="str">
        <f ca="1">IFERROR(__xludf.DUMMYFUNCTION("""COMPUTED_VALUE"""),"San Isidro")</f>
        <v>San Isidro</v>
      </c>
      <c r="E143" s="38" t="str">
        <f ca="1">IFERROR(__xludf.DUMMYFUNCTION("""COMPUTED_VALUE"""),"ARG")</f>
        <v>ARG</v>
      </c>
      <c r="F143" s="38">
        <f ca="1">IFERROR(__xludf.DUMMYFUNCTION("""COMPUTED_VALUE"""),53240593)</f>
        <v>53240593</v>
      </c>
      <c r="G143" s="37">
        <f ca="1">IFERROR(__xludf.DUMMYFUNCTION("""COMPUTED_VALUE"""),41417)</f>
        <v>41417</v>
      </c>
      <c r="H143" s="38">
        <f ca="1">IFERROR(__xludf.DUMMYFUNCTION("""COMPUTED_VALUE"""),44017277)</f>
        <v>44017277</v>
      </c>
      <c r="I143" s="38">
        <f ca="1">IFERROR(__xludf.DUMMYFUNCTION("""COMPUTED_VALUE"""),40427317)</f>
        <v>40427317</v>
      </c>
      <c r="J143" s="38" t="str">
        <f ca="1">IFERROR(__xludf.DUMMYFUNCTION("""COMPUTED_VALUE"""),"luciograham@hotmail.com")</f>
        <v>luciograham@hotmail.com</v>
      </c>
      <c r="K143" s="38" t="str">
        <f ca="1">IFERROR(__xludf.DUMMYFUNCTION("""COMPUTED_VALUE"""),"Masculino")</f>
        <v>Masculino</v>
      </c>
      <c r="L143" s="38" t="str">
        <f ca="1">IFERROR(__xludf.DUMMYFUNCTION("""COMPUTED_VALUE"""),"CNSI")</f>
        <v>CNSI</v>
      </c>
      <c r="M143" s="38"/>
      <c r="N143" s="6" t="str">
        <f ca="1">IFERROR(__xludf.DUMMYFUNCTION("""COMPUTED_VALUE"""),"OPTIMIST PRINCIPIANTES")</f>
        <v>OPTIMIST PRINCIPIANTES</v>
      </c>
      <c r="O143" s="6"/>
      <c r="P143" s="6">
        <f ca="1">IFERROR(__xludf.DUMMYFUNCTION("""COMPUTED_VALUE"""),3969)</f>
        <v>3969</v>
      </c>
      <c r="Q143" s="38"/>
      <c r="R143" s="38"/>
      <c r="S143" s="38"/>
      <c r="T143" s="38"/>
      <c r="U143" s="38"/>
      <c r="V143" s="38"/>
      <c r="W143" s="38"/>
      <c r="X143" s="40" t="str">
        <f ca="1">IFERROR(__xludf.DUMMYFUNCTION("""COMPUTED_VALUE"""),"Medicus")</f>
        <v>Medicus</v>
      </c>
      <c r="Y143" s="6" t="str">
        <f ca="1">IFERROR(__xludf.DUMMYFUNCTION("""COMPUTED_VALUE"""),"Si")</f>
        <v>Si</v>
      </c>
      <c r="Z143" s="38" t="str">
        <f ca="1">IFERROR(__xludf.DUMMYFUNCTION("""COMPUTED_VALUE"""),"Acepto")</f>
        <v>Acepto</v>
      </c>
      <c r="AA143" s="38" t="str">
        <f ca="1">IFERROR(__xludf.DUMMYFUNCTION("""COMPUTED_VALUE"""),"Terminado")</f>
        <v>Terminado</v>
      </c>
      <c r="AB143" s="38">
        <f ca="1">IFERROR(__xludf.DUMMYFUNCTION("""COMPUTED_VALUE"""),50000)</f>
        <v>50000</v>
      </c>
      <c r="AC143" s="6">
        <f ca="1">IFERROR(__xludf.DUMMYFUNCTION("""COMPUTED_VALUE"""),205453)</f>
        <v>205453</v>
      </c>
      <c r="AD143" s="6" t="str">
        <f ca="1">IFERROR(__xludf.DUMMYFUNCTION("""COMPUTED_VALUE"""),"TRF 04-09")</f>
        <v>TRF 04-09</v>
      </c>
      <c r="AE143" s="6"/>
      <c r="AF143" s="6"/>
    </row>
    <row r="144" spans="1:32" ht="13.2">
      <c r="A144" s="35">
        <f ca="1">IFERROR(__xludf.DUMMYFUNCTION("""COMPUTED_VALUE"""),45539.8850473495)</f>
        <v>45539.885047349497</v>
      </c>
      <c r="B144" s="36" t="str">
        <f ca="1">IFERROR(__xludf.DUMMYFUNCTION("""COMPUTED_VALUE"""),"Tobías")</f>
        <v>Tobías</v>
      </c>
      <c r="C144" s="36" t="str">
        <f ca="1">IFERROR(__xludf.DUMMYFUNCTION("""COMPUTED_VALUE"""),"Grinblat Dermgerd")</f>
        <v>Grinblat Dermgerd</v>
      </c>
      <c r="D144" s="36" t="str">
        <f ca="1">IFERROR(__xludf.DUMMYFUNCTION("""COMPUTED_VALUE"""),"San Fernando ")</f>
        <v xml:space="preserve">San Fernando </v>
      </c>
      <c r="E144" s="38" t="str">
        <f ca="1">IFERROR(__xludf.DUMMYFUNCTION("""COMPUTED_VALUE"""),"ARG")</f>
        <v>ARG</v>
      </c>
      <c r="F144" s="38">
        <f ca="1">IFERROR(__xludf.DUMMYFUNCTION("""COMPUTED_VALUE"""),51700380)</f>
        <v>51700380</v>
      </c>
      <c r="G144" s="37">
        <f ca="1">IFERROR(__xludf.DUMMYFUNCTION("""COMPUTED_VALUE"""),41089)</f>
        <v>41089</v>
      </c>
      <c r="H144" s="38" t="str">
        <f ca="1">IFERROR(__xludf.DUMMYFUNCTION("""COMPUTED_VALUE"""),"+5491154565555")</f>
        <v>+5491154565555</v>
      </c>
      <c r="I144" s="38" t="str">
        <f ca="1">IFERROR(__xludf.DUMMYFUNCTION("""COMPUTED_VALUE"""),"+5491155992222")</f>
        <v>+5491155992222</v>
      </c>
      <c r="J144" s="38" t="str">
        <f ca="1">IFERROR(__xludf.DUMMYFUNCTION("""COMPUTED_VALUE"""),"alegrinblat@gmail.com")</f>
        <v>alegrinblat@gmail.com</v>
      </c>
      <c r="K144" s="38" t="str">
        <f ca="1">IFERROR(__xludf.DUMMYFUNCTION("""COMPUTED_VALUE"""),"Masculino")</f>
        <v>Masculino</v>
      </c>
      <c r="L144" s="38" t="str">
        <f ca="1">IFERROR(__xludf.DUMMYFUNCTION("""COMPUTED_VALUE"""),"CNAS")</f>
        <v>CNAS</v>
      </c>
      <c r="M144" s="38"/>
      <c r="N144" s="6" t="str">
        <f ca="1">IFERROR(__xludf.DUMMYFUNCTION("""COMPUTED_VALUE"""),"OPTIMIST PRINCIPIANTES")</f>
        <v>OPTIMIST PRINCIPIANTES</v>
      </c>
      <c r="O144" s="6"/>
      <c r="P144" s="6">
        <f ca="1">IFERROR(__xludf.DUMMYFUNCTION("""COMPUTED_VALUE"""),9536)</f>
        <v>9536</v>
      </c>
      <c r="Q144" s="38" t="str">
        <f ca="1">IFERROR(__xludf.DUMMYFUNCTION("""COMPUTED_VALUE"""),"Sin nombre")</f>
        <v>Sin nombre</v>
      </c>
      <c r="R144" s="38" t="str">
        <f ca="1">IFERROR(__xludf.DUMMYFUNCTION("""COMPUTED_VALUE"""),"Tobías Grinblat Dermgerd")</f>
        <v>Tobías Grinblat Dermgerd</v>
      </c>
      <c r="S144" s="38"/>
      <c r="T144" s="38"/>
      <c r="U144" s="38"/>
      <c r="V144" s="38"/>
      <c r="W144" s="38"/>
      <c r="X144" s="40" t="str">
        <f ca="1">IFERROR(__xludf.DUMMYFUNCTION("""COMPUTED_VALUE"""),"Swiss")</f>
        <v>Swiss</v>
      </c>
      <c r="Y144" s="6" t="str">
        <f ca="1">IFERROR(__xludf.DUMMYFUNCTION("""COMPUTED_VALUE"""),"Si")</f>
        <v>Si</v>
      </c>
      <c r="Z144" s="38" t="str">
        <f ca="1">IFERROR(__xludf.DUMMYFUNCTION("""COMPUTED_VALUE"""),"Acepto")</f>
        <v>Acepto</v>
      </c>
      <c r="AA144" s="38" t="str">
        <f ca="1">IFERROR(__xludf.DUMMYFUNCTION("""COMPUTED_VALUE"""),"Terminado")</f>
        <v>Terminado</v>
      </c>
      <c r="AB144" s="38">
        <f ca="1">IFERROR(__xludf.DUMMYFUNCTION("""COMPUTED_VALUE"""),70000)</f>
        <v>70000</v>
      </c>
      <c r="AC144" s="6">
        <f ca="1">IFERROR(__xludf.DUMMYFUNCTION("""COMPUTED_VALUE"""),205497)</f>
        <v>205497</v>
      </c>
      <c r="AD144" s="6" t="str">
        <f ca="1">IFERROR(__xludf.DUMMYFUNCTION("""COMPUTED_VALUE"""),"TRF 05-09")</f>
        <v>TRF 05-09</v>
      </c>
      <c r="AE144" s="6"/>
      <c r="AF144" s="6"/>
    </row>
    <row r="145" spans="1:32" ht="13.2">
      <c r="A145" s="35">
        <f ca="1">IFERROR(__xludf.DUMMYFUNCTION("""COMPUTED_VALUE"""),45535.5319603703)</f>
        <v>45535.531960370303</v>
      </c>
      <c r="B145" s="36" t="str">
        <f ca="1">IFERROR(__xludf.DUMMYFUNCTION("""COMPUTED_VALUE"""),"ESTEFANIA")</f>
        <v>ESTEFANIA</v>
      </c>
      <c r="C145" s="36" t="str">
        <f ca="1">IFERROR(__xludf.DUMMYFUNCTION("""COMPUTED_VALUE"""),"GUERRA WEDER")</f>
        <v>GUERRA WEDER</v>
      </c>
      <c r="D145" s="36" t="str">
        <f ca="1">IFERROR(__xludf.DUMMYFUNCTION("""COMPUTED_VALUE"""),"ROSARIO")</f>
        <v>ROSARIO</v>
      </c>
      <c r="E145" s="38" t="str">
        <f ca="1">IFERROR(__xludf.DUMMYFUNCTION("""COMPUTED_VALUE"""),"ARG")</f>
        <v>ARG</v>
      </c>
      <c r="F145" s="38">
        <f ca="1">IFERROR(__xludf.DUMMYFUNCTION("""COMPUTED_VALUE"""),53618936)</f>
        <v>53618936</v>
      </c>
      <c r="G145" s="37">
        <f ca="1">IFERROR(__xludf.DUMMYFUNCTION("""COMPUTED_VALUE"""),41599)</f>
        <v>41599</v>
      </c>
      <c r="H145" s="38">
        <f ca="1">IFERROR(__xludf.DUMMYFUNCTION("""COMPUTED_VALUE"""),3413195438)</f>
        <v>3413195438</v>
      </c>
      <c r="I145" s="38">
        <f ca="1">IFERROR(__xludf.DUMMYFUNCTION("""COMPUTED_VALUE"""),3413195438)</f>
        <v>3413195438</v>
      </c>
      <c r="J145" s="38" t="str">
        <f ca="1">IFERROR(__xludf.DUMMYFUNCTION("""COMPUTED_VALUE"""),"florchus_guerra@hotmail.com")</f>
        <v>florchus_guerra@hotmail.com</v>
      </c>
      <c r="K145" s="38" t="str">
        <f ca="1">IFERROR(__xludf.DUMMYFUNCTION("""COMPUTED_VALUE"""),"Femenino")</f>
        <v>Femenino</v>
      </c>
      <c r="L145" s="38" t="str">
        <f ca="1">IFERROR(__xludf.DUMMYFUNCTION("""COMPUTED_VALUE"""),"CVR")</f>
        <v>CVR</v>
      </c>
      <c r="M145" s="38" t="str">
        <f ca="1">IFERROR(__xludf.DUMMYFUNCTION("""COMPUTED_VALUE"""),"Femenino, Interior (Optimist)")</f>
        <v>Femenino, Interior (Optimist)</v>
      </c>
      <c r="N145" s="6" t="str">
        <f ca="1">IFERROR(__xludf.DUMMYFUNCTION("""COMPUTED_VALUE"""),"OPTIMIST PRINCIPIANTES")</f>
        <v>OPTIMIST PRINCIPIANTES</v>
      </c>
      <c r="O145" s="6"/>
      <c r="P145" s="6">
        <f ca="1">IFERROR(__xludf.DUMMYFUNCTION("""COMPUTED_VALUE"""),4159)</f>
        <v>4159</v>
      </c>
      <c r="Q145" s="38" t="str">
        <f ca="1">IFERROR(__xludf.DUMMYFUNCTION("""COMPUTED_VALUE"""),"FLECHA")</f>
        <v>FLECHA</v>
      </c>
      <c r="R145" s="38"/>
      <c r="S145" s="38"/>
      <c r="T145" s="38"/>
      <c r="U145" s="38"/>
      <c r="V145" s="38"/>
      <c r="W145" s="38"/>
      <c r="X145" s="40"/>
      <c r="Y145" s="6" t="str">
        <f ca="1">IFERROR(__xludf.DUMMYFUNCTION("""COMPUTED_VALUE"""),"No")</f>
        <v>No</v>
      </c>
      <c r="Z145" s="38" t="str">
        <f ca="1">IFERROR(__xludf.DUMMYFUNCTION("""COMPUTED_VALUE"""),"Acepto")</f>
        <v>Acepto</v>
      </c>
      <c r="AA145" s="38" t="str">
        <f ca="1">IFERROR(__xludf.DUMMYFUNCTION("""COMPUTED_VALUE"""),"Terminado")</f>
        <v>Terminado</v>
      </c>
      <c r="AB145" s="38">
        <f ca="1">IFERROR(__xludf.DUMMYFUNCTION("""COMPUTED_VALUE"""),60000)</f>
        <v>60000</v>
      </c>
      <c r="AC145" s="6">
        <f ca="1">IFERROR(__xludf.DUMMYFUNCTION("""COMPUTED_VALUE"""),205358)</f>
        <v>205358</v>
      </c>
      <c r="AD145" s="6" t="str">
        <f ca="1">IFERROR(__xludf.DUMMYFUNCTION("""COMPUTED_VALUE"""),"TRF 31-08")</f>
        <v>TRF 31-08</v>
      </c>
      <c r="AE145" s="6"/>
      <c r="AF145" s="6"/>
    </row>
    <row r="146" spans="1:32" ht="13.2">
      <c r="A146" s="35">
        <f ca="1">IFERROR(__xludf.DUMMYFUNCTION("""COMPUTED_VALUE"""),45535.5911542361)</f>
        <v>45535.591154236099</v>
      </c>
      <c r="B146" s="36" t="str">
        <f ca="1">IFERROR(__xludf.DUMMYFUNCTION("""COMPUTED_VALUE"""),"Mateo")</f>
        <v>Mateo</v>
      </c>
      <c r="C146" s="36" t="str">
        <f ca="1">IFERROR(__xludf.DUMMYFUNCTION("""COMPUTED_VALUE"""),"Guille")</f>
        <v>Guille</v>
      </c>
      <c r="D146" s="36" t="str">
        <f ca="1">IFERROR(__xludf.DUMMYFUNCTION("""COMPUTED_VALUE"""),"Zárate")</f>
        <v>Zárate</v>
      </c>
      <c r="E146" s="38" t="str">
        <f ca="1">IFERROR(__xludf.DUMMYFUNCTION("""COMPUTED_VALUE"""),"ARG")</f>
        <v>ARG</v>
      </c>
      <c r="F146" s="38">
        <f ca="1">IFERROR(__xludf.DUMMYFUNCTION("""COMPUTED_VALUE"""),52136031)</f>
        <v>52136031</v>
      </c>
      <c r="G146" s="37">
        <f ca="1">IFERROR(__xludf.DUMMYFUNCTION("""COMPUTED_VALUE"""),40917)</f>
        <v>40917</v>
      </c>
      <c r="H146" s="38">
        <f ca="1">IFERROR(__xludf.DUMMYFUNCTION("""COMPUTED_VALUE"""),3487536965)</f>
        <v>3487536965</v>
      </c>
      <c r="I146" s="38">
        <f ca="1">IFERROR(__xludf.DUMMYFUNCTION("""COMPUTED_VALUE"""),3487471784)</f>
        <v>3487471784</v>
      </c>
      <c r="J146" s="38" t="str">
        <f ca="1">IFERROR(__xludf.DUMMYFUNCTION("""COMPUTED_VALUE"""),"mcecih@hotmail.com")</f>
        <v>mcecih@hotmail.com</v>
      </c>
      <c r="K146" s="38" t="str">
        <f ca="1">IFERROR(__xludf.DUMMYFUNCTION("""COMPUTED_VALUE"""),"Masculino")</f>
        <v>Masculino</v>
      </c>
      <c r="L146" s="38" t="str">
        <f ca="1">IFERROR(__xludf.DUMMYFUNCTION("""COMPUTED_VALUE"""),"CNZ")</f>
        <v>CNZ</v>
      </c>
      <c r="M146" s="38" t="str">
        <f ca="1">IFERROR(__xludf.DUMMYFUNCTION("""COMPUTED_VALUE"""),"Interior (Optimist)")</f>
        <v>Interior (Optimist)</v>
      </c>
      <c r="N146" s="6" t="str">
        <f ca="1">IFERROR(__xludf.DUMMYFUNCTION("""COMPUTED_VALUE"""),"OPTIMIST TIMONELES")</f>
        <v>OPTIMIST TIMONELES</v>
      </c>
      <c r="O146" s="6"/>
      <c r="P146" s="6">
        <f ca="1">IFERROR(__xludf.DUMMYFUNCTION("""COMPUTED_VALUE"""),4093)</f>
        <v>4093</v>
      </c>
      <c r="Q146" s="38" t="str">
        <f ca="1">IFERROR(__xludf.DUMMYFUNCTION("""COMPUTED_VALUE"""),"Capitán Chino")</f>
        <v>Capitán Chino</v>
      </c>
      <c r="R146" s="38"/>
      <c r="S146" s="38"/>
      <c r="T146" s="38"/>
      <c r="U146" s="38"/>
      <c r="V146" s="38"/>
      <c r="W146" s="38"/>
      <c r="X146" s="40" t="str">
        <f ca="1">IFERROR(__xludf.DUMMYFUNCTION("""COMPUTED_VALUE"""),"IOMA ")</f>
        <v xml:space="preserve">IOMA </v>
      </c>
      <c r="Y146" s="6" t="str">
        <f ca="1">IFERROR(__xludf.DUMMYFUNCTION("""COMPUTED_VALUE"""),"Si")</f>
        <v>Si</v>
      </c>
      <c r="Z146" s="38" t="str">
        <f ca="1">IFERROR(__xludf.DUMMYFUNCTION("""COMPUTED_VALUE"""),"Acepto")</f>
        <v>Acepto</v>
      </c>
      <c r="AA146" s="38" t="str">
        <f ca="1">IFERROR(__xludf.DUMMYFUNCTION("""COMPUTED_VALUE"""),"Terminado")</f>
        <v>Terminado</v>
      </c>
      <c r="AB146" s="38">
        <f ca="1">IFERROR(__xludf.DUMMYFUNCTION("""COMPUTED_VALUE"""),50000)</f>
        <v>50000</v>
      </c>
      <c r="AC146" s="6">
        <f ca="1">IFERROR(__xludf.DUMMYFUNCTION("""COMPUTED_VALUE"""),205336)</f>
        <v>205336</v>
      </c>
      <c r="AD146" s="6" t="str">
        <f ca="1">IFERROR(__xludf.DUMMYFUNCTION("""COMPUTED_VALUE"""),"TRF01-09")</f>
        <v>TRF01-09</v>
      </c>
      <c r="AE146" s="6"/>
      <c r="AF146" s="6"/>
    </row>
    <row r="147" spans="1:32" ht="13.2">
      <c r="A147" s="35">
        <f ca="1">IFERROR(__xludf.DUMMYFUNCTION("""COMPUTED_VALUE"""),45535.5929136805)</f>
        <v>45535.592913680499</v>
      </c>
      <c r="B147" s="36" t="str">
        <f ca="1">IFERROR(__xludf.DUMMYFUNCTION("""COMPUTED_VALUE"""),"Sofía")</f>
        <v>Sofía</v>
      </c>
      <c r="C147" s="36" t="str">
        <f ca="1">IFERROR(__xludf.DUMMYFUNCTION("""COMPUTED_VALUE"""),"Guille")</f>
        <v>Guille</v>
      </c>
      <c r="D147" s="36" t="str">
        <f ca="1">IFERROR(__xludf.DUMMYFUNCTION("""COMPUTED_VALUE"""),"Zárate")</f>
        <v>Zárate</v>
      </c>
      <c r="E147" s="38" t="str">
        <f ca="1">IFERROR(__xludf.DUMMYFUNCTION("""COMPUTED_VALUE"""),"ARG")</f>
        <v>ARG</v>
      </c>
      <c r="F147" s="38">
        <f ca="1">IFERROR(__xludf.DUMMYFUNCTION("""COMPUTED_VALUE"""),54297764)</f>
        <v>54297764</v>
      </c>
      <c r="G147" s="37">
        <f ca="1">IFERROR(__xludf.DUMMYFUNCTION("""COMPUTED_VALUE"""),41886)</f>
        <v>41886</v>
      </c>
      <c r="H147" s="38">
        <f ca="1">IFERROR(__xludf.DUMMYFUNCTION("""COMPUTED_VALUE"""),3487536965)</f>
        <v>3487536965</v>
      </c>
      <c r="I147" s="38">
        <f ca="1">IFERROR(__xludf.DUMMYFUNCTION("""COMPUTED_VALUE"""),3487471784)</f>
        <v>3487471784</v>
      </c>
      <c r="J147" s="38" t="str">
        <f ca="1">IFERROR(__xludf.DUMMYFUNCTION("""COMPUTED_VALUE"""),"mcecih@hotmail.com")</f>
        <v>mcecih@hotmail.com</v>
      </c>
      <c r="K147" s="38" t="str">
        <f ca="1">IFERROR(__xludf.DUMMYFUNCTION("""COMPUTED_VALUE"""),"Femenino")</f>
        <v>Femenino</v>
      </c>
      <c r="L147" s="38" t="str">
        <f ca="1">IFERROR(__xludf.DUMMYFUNCTION("""COMPUTED_VALUE"""),"CNZ")</f>
        <v>CNZ</v>
      </c>
      <c r="M147" s="38" t="str">
        <f ca="1">IFERROR(__xludf.DUMMYFUNCTION("""COMPUTED_VALUE"""),"Interior (Optimist)")</f>
        <v>Interior (Optimist)</v>
      </c>
      <c r="N147" s="6" t="str">
        <f ca="1">IFERROR(__xludf.DUMMYFUNCTION("""COMPUTED_VALUE"""),"OPTIMIST PRINCIPIANTES")</f>
        <v>OPTIMIST PRINCIPIANTES</v>
      </c>
      <c r="O147" s="6"/>
      <c r="P147" s="6">
        <f ca="1">IFERROR(__xludf.DUMMYFUNCTION("""COMPUTED_VALUE"""),4064)</f>
        <v>4064</v>
      </c>
      <c r="Q147" s="38" t="str">
        <f ca="1">IFERROR(__xludf.DUMMYFUNCTION("""COMPUTED_VALUE"""),"CHINA")</f>
        <v>CHINA</v>
      </c>
      <c r="R147" s="38"/>
      <c r="S147" s="38"/>
      <c r="T147" s="38"/>
      <c r="U147" s="38"/>
      <c r="V147" s="38"/>
      <c r="W147" s="38"/>
      <c r="X147" s="40" t="str">
        <f ca="1">IFERROR(__xludf.DUMMYFUNCTION("""COMPUTED_VALUE"""),"IOMA ")</f>
        <v xml:space="preserve">IOMA </v>
      </c>
      <c r="Y147" s="6" t="str">
        <f ca="1">IFERROR(__xludf.DUMMYFUNCTION("""COMPUTED_VALUE"""),"Si")</f>
        <v>Si</v>
      </c>
      <c r="Z147" s="38" t="str">
        <f ca="1">IFERROR(__xludf.DUMMYFUNCTION("""COMPUTED_VALUE"""),"Acepto")</f>
        <v>Acepto</v>
      </c>
      <c r="AA147" s="38" t="str">
        <f ca="1">IFERROR(__xludf.DUMMYFUNCTION("""COMPUTED_VALUE"""),"Terminado")</f>
        <v>Terminado</v>
      </c>
      <c r="AB147" s="38">
        <f ca="1">IFERROR(__xludf.DUMMYFUNCTION("""COMPUTED_VALUE"""),50000)</f>
        <v>50000</v>
      </c>
      <c r="AC147" s="6">
        <f ca="1">IFERROR(__xludf.DUMMYFUNCTION("""COMPUTED_VALUE"""),205337)</f>
        <v>205337</v>
      </c>
      <c r="AD147" s="6" t="str">
        <f ca="1">IFERROR(__xludf.DUMMYFUNCTION("""COMPUTED_VALUE"""),"TRF01-09")</f>
        <v>TRF01-09</v>
      </c>
      <c r="AE147" s="6"/>
      <c r="AF147" s="6"/>
    </row>
    <row r="148" spans="1:32" ht="13.2">
      <c r="A148" s="35">
        <f ca="1">IFERROR(__xludf.DUMMYFUNCTION("""COMPUTED_VALUE"""),45535.8798191319)</f>
        <v>45535.8798191319</v>
      </c>
      <c r="B148" s="36" t="str">
        <f ca="1">IFERROR(__xludf.DUMMYFUNCTION("""COMPUTED_VALUE"""),"Emilia")</f>
        <v>Emilia</v>
      </c>
      <c r="C148" s="36" t="str">
        <f ca="1">IFERROR(__xludf.DUMMYFUNCTION("""COMPUTED_VALUE"""),"Gullo")</f>
        <v>Gullo</v>
      </c>
      <c r="D148" s="36" t="str">
        <f ca="1">IFERROR(__xludf.DUMMYFUNCTION("""COMPUTED_VALUE"""),"La Plata")</f>
        <v>La Plata</v>
      </c>
      <c r="E148" s="38" t="str">
        <f ca="1">IFERROR(__xludf.DUMMYFUNCTION("""COMPUTED_VALUE"""),"ARG")</f>
        <v>ARG</v>
      </c>
      <c r="F148" s="38">
        <f ca="1">IFERROR(__xludf.DUMMYFUNCTION("""COMPUTED_VALUE"""),51440730)</f>
        <v>51440730</v>
      </c>
      <c r="G148" s="37">
        <f ca="1">IFERROR(__xludf.DUMMYFUNCTION("""COMPUTED_VALUE"""),40834)</f>
        <v>40834</v>
      </c>
      <c r="H148" s="38">
        <f ca="1">IFERROR(__xludf.DUMMYFUNCTION("""COMPUTED_VALUE"""),2215659991)</f>
        <v>2215659991</v>
      </c>
      <c r="I148" s="38">
        <f ca="1">IFERROR(__xludf.DUMMYFUNCTION("""COMPUTED_VALUE"""),2215659991)</f>
        <v>2215659991</v>
      </c>
      <c r="J148" s="38" t="str">
        <f ca="1">IFERROR(__xludf.DUMMYFUNCTION("""COMPUTED_VALUE"""),"maxigullo@gmail.com")</f>
        <v>maxigullo@gmail.com</v>
      </c>
      <c r="K148" s="38" t="str">
        <f ca="1">IFERROR(__xludf.DUMMYFUNCTION("""COMPUTED_VALUE"""),"Femenino")</f>
        <v>Femenino</v>
      </c>
      <c r="L148" s="38" t="str">
        <f ca="1">IFERROR(__xludf.DUMMYFUNCTION("""COMPUTED_VALUE"""),"CRLP")</f>
        <v>CRLP</v>
      </c>
      <c r="M148" s="38" t="str">
        <f ca="1">IFERROR(__xludf.DUMMYFUNCTION("""COMPUTED_VALUE"""),"Femenino")</f>
        <v>Femenino</v>
      </c>
      <c r="N148" s="6" t="str">
        <f ca="1">IFERROR(__xludf.DUMMYFUNCTION("""COMPUTED_VALUE"""),"OPTIMIST TIMONELES")</f>
        <v>OPTIMIST TIMONELES</v>
      </c>
      <c r="O148" s="6"/>
      <c r="P148" s="6">
        <f ca="1">IFERROR(__xludf.DUMMYFUNCTION("""COMPUTED_VALUE"""),3590)</f>
        <v>3590</v>
      </c>
      <c r="Q148" s="38" t="str">
        <f ca="1">IFERROR(__xludf.DUMMYFUNCTION("""COMPUTED_VALUE"""),"Perseo")</f>
        <v>Perseo</v>
      </c>
      <c r="R148" s="38"/>
      <c r="S148" s="38"/>
      <c r="T148" s="38"/>
      <c r="U148" s="38"/>
      <c r="V148" s="38"/>
      <c r="W148" s="38"/>
      <c r="X148" s="40" t="str">
        <f ca="1">IFERROR(__xludf.DUMMYFUNCTION("""COMPUTED_VALUE"""),"IOMA")</f>
        <v>IOMA</v>
      </c>
      <c r="Y148" s="6" t="str">
        <f ca="1">IFERROR(__xludf.DUMMYFUNCTION("""COMPUTED_VALUE"""),"Si")</f>
        <v>Si</v>
      </c>
      <c r="Z148" s="38" t="str">
        <f ca="1">IFERROR(__xludf.DUMMYFUNCTION("""COMPUTED_VALUE"""),"Acepto")</f>
        <v>Acepto</v>
      </c>
      <c r="AA148" s="38" t="str">
        <f ca="1">IFERROR(__xludf.DUMMYFUNCTION("""COMPUTED_VALUE"""),"Terminado")</f>
        <v>Terminado</v>
      </c>
      <c r="AB148" s="38">
        <f ca="1">IFERROR(__xludf.DUMMYFUNCTION("""COMPUTED_VALUE"""),50000)</f>
        <v>50000</v>
      </c>
      <c r="AC148" s="6">
        <f ca="1">IFERROR(__xludf.DUMMYFUNCTION("""COMPUTED_VALUE"""),205341)</f>
        <v>205341</v>
      </c>
      <c r="AD148" s="6" t="str">
        <f ca="1">IFERROR(__xludf.DUMMYFUNCTION("""COMPUTED_VALUE"""),"TRF 31-08")</f>
        <v>TRF 31-08</v>
      </c>
      <c r="AE148" s="6"/>
      <c r="AF148" s="6"/>
    </row>
    <row r="149" spans="1:32" ht="13.2">
      <c r="A149" s="35">
        <f ca="1">IFERROR(__xludf.DUMMYFUNCTION("""COMPUTED_VALUE"""),45530.6734399768)</f>
        <v>45530.673439976803</v>
      </c>
      <c r="B149" s="36" t="str">
        <f ca="1">IFERROR(__xludf.DUMMYFUNCTION("""COMPUTED_VALUE"""),"Fernando  ")</f>
        <v xml:space="preserve">Fernando  </v>
      </c>
      <c r="C149" s="36" t="str">
        <f ca="1">IFERROR(__xludf.DUMMYFUNCTION("""COMPUTED_VALUE"""),"Gwozdz")</f>
        <v>Gwozdz</v>
      </c>
      <c r="D149" s="36" t="str">
        <f ca="1">IFERROR(__xludf.DUMMYFUNCTION("""COMPUTED_VALUE"""),"Quilmes ")</f>
        <v xml:space="preserve">Quilmes </v>
      </c>
      <c r="E149" s="38" t="str">
        <f ca="1">IFERROR(__xludf.DUMMYFUNCTION("""COMPUTED_VALUE"""),"ARG")</f>
        <v>ARG</v>
      </c>
      <c r="F149" s="38">
        <f ca="1">IFERROR(__xludf.DUMMYFUNCTION("""COMPUTED_VALUE"""),30820322)</f>
        <v>30820322</v>
      </c>
      <c r="G149" s="37">
        <f ca="1">IFERROR(__xludf.DUMMYFUNCTION("""COMPUTED_VALUE"""),30719)</f>
        <v>30719</v>
      </c>
      <c r="H149" s="38" t="str">
        <f ca="1">IFERROR(__xludf.DUMMYFUNCTION("""COMPUTED_VALUE"""),"01140248300")</f>
        <v>01140248300</v>
      </c>
      <c r="I149" s="38"/>
      <c r="J149" s="38" t="str">
        <f ca="1">IFERROR(__xludf.DUMMYFUNCTION("""COMPUTED_VALUE"""),"fergwozdz@gmail.com")</f>
        <v>fergwozdz@gmail.com</v>
      </c>
      <c r="K149" s="38" t="str">
        <f ca="1">IFERROR(__xludf.DUMMYFUNCTION("""COMPUTED_VALUE"""),"Masculino")</f>
        <v>Masculino</v>
      </c>
      <c r="L149" s="38" t="str">
        <f ca="1">IFERROR(__xludf.DUMMYFUNCTION("""COMPUTED_VALUE"""),"YCA ")</f>
        <v xml:space="preserve">YCA </v>
      </c>
      <c r="M149" s="38" t="str">
        <f ca="1">IFERROR(__xludf.DUMMYFUNCTION("""COMPUTED_VALUE"""),"J70")</f>
        <v>J70</v>
      </c>
      <c r="N149" s="6" t="str">
        <f ca="1">IFERROR(__xludf.DUMMYFUNCTION("""COMPUTED_VALUE"""),"J 70")</f>
        <v>J 70</v>
      </c>
      <c r="O149" s="6">
        <f ca="1">IFERROR(__xludf.DUMMYFUNCTION("""COMPUTED_VALUE"""),46)</f>
        <v>46</v>
      </c>
      <c r="P149" s="6">
        <f ca="1">IFERROR(__xludf.DUMMYFUNCTION("""COMPUTED_VALUE"""),1560)</f>
        <v>1560</v>
      </c>
      <c r="Q149" s="38"/>
      <c r="R149" s="38" t="str">
        <f ca="1">IFERROR(__xludf.DUMMYFUNCTION("""COMPUTED_VALUE"""),"Beeb Beep ")</f>
        <v xml:space="preserve">Beeb Beep </v>
      </c>
      <c r="S149" s="38" t="str">
        <f ca="1">IFERROR(__xludf.DUMMYFUNCTION("""COMPUTED_VALUE"""),"Federico Travasio ")</f>
        <v xml:space="preserve">Federico Travasio </v>
      </c>
      <c r="T149" s="38" t="str">
        <f ca="1">IFERROR(__xludf.DUMMYFUNCTION("""COMPUTED_VALUE"""),"Piru Di Bernardo ")</f>
        <v xml:space="preserve">Piru Di Bernardo </v>
      </c>
      <c r="U149" s="38" t="str">
        <f ca="1">IFERROR(__xludf.DUMMYFUNCTION("""COMPUTED_VALUE"""),"Manuel  Gonzalez Vidal ")</f>
        <v xml:space="preserve">Manuel  Gonzalez Vidal </v>
      </c>
      <c r="V149" s="38"/>
      <c r="W149" s="38"/>
      <c r="X149" s="40" t="str">
        <f ca="1">IFERROR(__xludf.DUMMYFUNCTION("""COMPUTED_VALUE"""),"Osde ")</f>
        <v xml:space="preserve">Osde </v>
      </c>
      <c r="Y149" s="6" t="str">
        <f ca="1">IFERROR(__xludf.DUMMYFUNCTION("""COMPUTED_VALUE"""),"No")</f>
        <v>No</v>
      </c>
      <c r="Z149" s="38" t="str">
        <f ca="1">IFERROR(__xludf.DUMMYFUNCTION("""COMPUTED_VALUE"""),"Acepto")</f>
        <v>Acepto</v>
      </c>
      <c r="AA149" s="38" t="str">
        <f ca="1">IFERROR(__xludf.DUMMYFUNCTION("""COMPUTED_VALUE"""),"Terminado")</f>
        <v>Terminado</v>
      </c>
      <c r="AB149" s="38">
        <f ca="1">IFERROR(__xludf.DUMMYFUNCTION("""COMPUTED_VALUE"""),90000)</f>
        <v>90000</v>
      </c>
      <c r="AC149" s="6">
        <f ca="1">IFERROR(__xludf.DUMMYFUNCTION("""COMPUTED_VALUE"""),205064)</f>
        <v>205064</v>
      </c>
      <c r="AD149" s="6" t="str">
        <f ca="1">IFERROR(__xludf.DUMMYFUNCTION("""COMPUTED_VALUE"""),"TRF 27-08")</f>
        <v>TRF 27-08</v>
      </c>
      <c r="AE149" s="6"/>
      <c r="AF149" s="6"/>
    </row>
    <row r="150" spans="1:32" ht="13.2">
      <c r="A150" s="35">
        <f ca="1">IFERROR(__xludf.DUMMYFUNCTION("""COMPUTED_VALUE"""),45540.555867037)</f>
        <v>45540.555867037001</v>
      </c>
      <c r="B150" s="36" t="str">
        <f ca="1">IFERROR(__xludf.DUMMYFUNCTION("""COMPUTED_VALUE"""),"Andres")</f>
        <v>Andres</v>
      </c>
      <c r="C150" s="36" t="str">
        <f ca="1">IFERROR(__xludf.DUMMYFUNCTION("""COMPUTED_VALUE"""),"Heredia")</f>
        <v>Heredia</v>
      </c>
      <c r="D150" s="36" t="str">
        <f ca="1">IFERROR(__xludf.DUMMYFUNCTION("""COMPUTED_VALUE"""),"Buenos Aires")</f>
        <v>Buenos Aires</v>
      </c>
      <c r="E150" s="38" t="str">
        <f ca="1">IFERROR(__xludf.DUMMYFUNCTION("""COMPUTED_VALUE"""),"ARG")</f>
        <v>ARG</v>
      </c>
      <c r="F150" s="38">
        <f ca="1">IFERROR(__xludf.DUMMYFUNCTION("""COMPUTED_VALUE"""),30368109)</f>
        <v>30368109</v>
      </c>
      <c r="G150" s="37">
        <f ca="1">IFERROR(__xludf.DUMMYFUNCTION("""COMPUTED_VALUE"""),30473)</f>
        <v>30473</v>
      </c>
      <c r="H150" s="38" t="str">
        <f ca="1">IFERROR(__xludf.DUMMYFUNCTION("""COMPUTED_VALUE"""),"+5491161347543")</f>
        <v>+5491161347543</v>
      </c>
      <c r="I150" s="38" t="str">
        <f ca="1">IFERROR(__xludf.DUMMYFUNCTION("""COMPUTED_VALUE"""),"+5491161347543")</f>
        <v>+5491161347543</v>
      </c>
      <c r="J150" s="38" t="str">
        <f ca="1">IFERROR(__xludf.DUMMYFUNCTION("""COMPUTED_VALUE"""),"flotalaser@gmail.com")</f>
        <v>flotalaser@gmail.com</v>
      </c>
      <c r="K150" s="38" t="str">
        <f ca="1">IFERROR(__xludf.DUMMYFUNCTION("""COMPUTED_VALUE"""),"Masculino")</f>
        <v>Masculino</v>
      </c>
      <c r="L150" s="38" t="str">
        <f ca="1">IFERROR(__xludf.DUMMYFUNCTION("""COMPUTED_VALUE"""),"YCO")</f>
        <v>YCO</v>
      </c>
      <c r="M150" s="38" t="str">
        <f ca="1">IFERROR(__xludf.DUMMYFUNCTION("""COMPUTED_VALUE"""),"Master (ILCA)")</f>
        <v>Master (ILCA)</v>
      </c>
      <c r="N150" s="6" t="str">
        <f ca="1">IFERROR(__xludf.DUMMYFUNCTION("""COMPUTED_VALUE"""),"ILCA 7")</f>
        <v>ILCA 7</v>
      </c>
      <c r="O150" s="6"/>
      <c r="P150" s="6">
        <f ca="1">IFERROR(__xludf.DUMMYFUNCTION("""COMPUTED_VALUE"""),202660)</f>
        <v>202660</v>
      </c>
      <c r="Q150" s="38"/>
      <c r="R150" s="38"/>
      <c r="S150" s="38"/>
      <c r="T150" s="38"/>
      <c r="U150" s="38"/>
      <c r="V150" s="38"/>
      <c r="W150" s="38"/>
      <c r="X150" s="40" t="str">
        <f ca="1">IFERROR(__xludf.DUMMYFUNCTION("""COMPUTED_VALUE"""),"OSDE")</f>
        <v>OSDE</v>
      </c>
      <c r="Y150" s="6" t="str">
        <f ca="1">IFERROR(__xludf.DUMMYFUNCTION("""COMPUTED_VALUE"""),"Si")</f>
        <v>Si</v>
      </c>
      <c r="Z150" s="38" t="str">
        <f ca="1">IFERROR(__xludf.DUMMYFUNCTION("""COMPUTED_VALUE"""),"Acepto")</f>
        <v>Acepto</v>
      </c>
      <c r="AA150" s="38" t="str">
        <f ca="1">IFERROR(__xludf.DUMMYFUNCTION("""COMPUTED_VALUE"""),"Terminado")</f>
        <v>Terminado</v>
      </c>
      <c r="AB150" s="38">
        <f ca="1">IFERROR(__xludf.DUMMYFUNCTION("""COMPUTED_VALUE"""),45000)</f>
        <v>45000</v>
      </c>
      <c r="AC150" s="6">
        <f ca="1">IFERROR(__xludf.DUMMYFUNCTION("""COMPUTED_VALUE"""),205479)</f>
        <v>205479</v>
      </c>
      <c r="AD150" s="6" t="str">
        <f ca="1">IFERROR(__xludf.DUMMYFUNCTION("""COMPUTED_VALUE"""),"TRF 05-09")</f>
        <v>TRF 05-09</v>
      </c>
      <c r="AE150" s="6"/>
      <c r="AF150" s="6"/>
    </row>
    <row r="151" spans="1:32" ht="13.2">
      <c r="A151" s="35">
        <f ca="1">IFERROR(__xludf.DUMMYFUNCTION("""COMPUTED_VALUE"""),45540.559574699)</f>
        <v>45540.559574699</v>
      </c>
      <c r="B151" s="36" t="str">
        <f ca="1">IFERROR(__xludf.DUMMYFUNCTION("""COMPUTED_VALUE"""),"Marcos")</f>
        <v>Marcos</v>
      </c>
      <c r="C151" s="36" t="str">
        <f ca="1">IFERROR(__xludf.DUMMYFUNCTION("""COMPUTED_VALUE"""),"Heredia")</f>
        <v>Heredia</v>
      </c>
      <c r="D151" s="36" t="str">
        <f ca="1">IFERROR(__xludf.DUMMYFUNCTION("""COMPUTED_VALUE"""),"Buenos Aires")</f>
        <v>Buenos Aires</v>
      </c>
      <c r="E151" s="38" t="str">
        <f ca="1">IFERROR(__xludf.DUMMYFUNCTION("""COMPUTED_VALUE"""),"ARG")</f>
        <v>ARG</v>
      </c>
      <c r="F151" s="38">
        <f ca="1">IFERROR(__xludf.DUMMYFUNCTION("""COMPUTED_VALUE"""),53855489)</f>
        <v>53855489</v>
      </c>
      <c r="G151" s="37">
        <f ca="1">IFERROR(__xludf.DUMMYFUNCTION("""COMPUTED_VALUE"""),41725)</f>
        <v>41725</v>
      </c>
      <c r="H151" s="38" t="str">
        <f ca="1">IFERROR(__xludf.DUMMYFUNCTION("""COMPUTED_VALUE"""),"+5491161347543")</f>
        <v>+5491161347543</v>
      </c>
      <c r="I151" s="38" t="str">
        <f ca="1">IFERROR(__xludf.DUMMYFUNCTION("""COMPUTED_VALUE"""),"+5491161347543")</f>
        <v>+5491161347543</v>
      </c>
      <c r="J151" s="38" t="str">
        <f ca="1">IFERROR(__xludf.DUMMYFUNCTION("""COMPUTED_VALUE"""),"flotalaser@gmail.com")</f>
        <v>flotalaser@gmail.com</v>
      </c>
      <c r="K151" s="38" t="str">
        <f ca="1">IFERROR(__xludf.DUMMYFUNCTION("""COMPUTED_VALUE"""),"Masculino")</f>
        <v>Masculino</v>
      </c>
      <c r="L151" s="38" t="str">
        <f ca="1">IFERROR(__xludf.DUMMYFUNCTION("""COMPUTED_VALUE"""),"YCO")</f>
        <v>YCO</v>
      </c>
      <c r="M151" s="38"/>
      <c r="N151" s="6" t="str">
        <f ca="1">IFERROR(__xludf.DUMMYFUNCTION("""COMPUTED_VALUE"""),"OPTIMIST PRINCIPIANTES")</f>
        <v>OPTIMIST PRINCIPIANTES</v>
      </c>
      <c r="O151" s="6"/>
      <c r="P151" s="6">
        <f ca="1">IFERROR(__xludf.DUMMYFUNCTION("""COMPUTED_VALUE"""),4011)</f>
        <v>4011</v>
      </c>
      <c r="Q151" s="38"/>
      <c r="R151" s="38"/>
      <c r="S151" s="38"/>
      <c r="T151" s="38"/>
      <c r="U151" s="38"/>
      <c r="V151" s="38"/>
      <c r="W151" s="38"/>
      <c r="X151" s="40" t="str">
        <f ca="1">IFERROR(__xludf.DUMMYFUNCTION("""COMPUTED_VALUE"""),"OSDE")</f>
        <v>OSDE</v>
      </c>
      <c r="Y151" s="6" t="str">
        <f ca="1">IFERROR(__xludf.DUMMYFUNCTION("""COMPUTED_VALUE"""),"Si")</f>
        <v>Si</v>
      </c>
      <c r="Z151" s="38" t="str">
        <f ca="1">IFERROR(__xludf.DUMMYFUNCTION("""COMPUTED_VALUE"""),"Acepto")</f>
        <v>Acepto</v>
      </c>
      <c r="AA151" s="38" t="str">
        <f ca="1">IFERROR(__xludf.DUMMYFUNCTION("""COMPUTED_VALUE"""),"Terminado")</f>
        <v>Terminado</v>
      </c>
      <c r="AB151" s="38">
        <f ca="1">IFERROR(__xludf.DUMMYFUNCTION("""COMPUTED_VALUE"""),50000)</f>
        <v>50000</v>
      </c>
      <c r="AC151" s="6">
        <f ca="1">IFERROR(__xludf.DUMMYFUNCTION("""COMPUTED_VALUE"""),205479)</f>
        <v>205479</v>
      </c>
      <c r="AD151" s="6" t="str">
        <f ca="1">IFERROR(__xludf.DUMMYFUNCTION("""COMPUTED_VALUE"""),"TRF 05-09")</f>
        <v>TRF 05-09</v>
      </c>
      <c r="AE151" s="6"/>
      <c r="AF151" s="6"/>
    </row>
    <row r="152" spans="1:32" ht="13.2">
      <c r="A152" s="35">
        <f ca="1">IFERROR(__xludf.DUMMYFUNCTION("""COMPUTED_VALUE"""),45534.597474618)</f>
        <v>45534.597474618</v>
      </c>
      <c r="B152" s="36" t="str">
        <f ca="1">IFERROR(__xludf.DUMMYFUNCTION("""COMPUTED_VALUE"""),"Inés ")</f>
        <v xml:space="preserve">Inés </v>
      </c>
      <c r="C152" s="36" t="str">
        <f ca="1">IFERROR(__xludf.DUMMYFUNCTION("""COMPUTED_VALUE"""),"Hernández ")</f>
        <v xml:space="preserve">Hernández </v>
      </c>
      <c r="D152" s="36" t="str">
        <f ca="1">IFERROR(__xludf.DUMMYFUNCTION("""COMPUTED_VALUE"""),"San Pedro")</f>
        <v>San Pedro</v>
      </c>
      <c r="E152" s="38" t="str">
        <f ca="1">IFERROR(__xludf.DUMMYFUNCTION("""COMPUTED_VALUE"""),"ARG")</f>
        <v>ARG</v>
      </c>
      <c r="F152" s="38">
        <f ca="1">IFERROR(__xludf.DUMMYFUNCTION("""COMPUTED_VALUE"""),53442924)</f>
        <v>53442924</v>
      </c>
      <c r="G152" s="37">
        <f ca="1">IFERROR(__xludf.DUMMYFUNCTION("""COMPUTED_VALUE"""),41557)</f>
        <v>41557</v>
      </c>
      <c r="H152" s="38">
        <f ca="1">IFERROR(__xludf.DUMMYFUNCTION("""COMPUTED_VALUE"""),3329515502)</f>
        <v>3329515502</v>
      </c>
      <c r="I152" s="38">
        <f ca="1">IFERROR(__xludf.DUMMYFUNCTION("""COMPUTED_VALUE"""),3329522546)</f>
        <v>3329522546</v>
      </c>
      <c r="J152" s="38" t="str">
        <f ca="1">IFERROR(__xludf.DUMMYFUNCTION("""COMPUTED_VALUE"""),"rotundosofia@hotmail.com")</f>
        <v>rotundosofia@hotmail.com</v>
      </c>
      <c r="K152" s="38" t="str">
        <f ca="1">IFERROR(__xludf.DUMMYFUNCTION("""COMPUTED_VALUE"""),"Femenino")</f>
        <v>Femenino</v>
      </c>
      <c r="L152" s="38" t="str">
        <f ca="1">IFERROR(__xludf.DUMMYFUNCTION("""COMPUTED_VALUE"""),"CNSP")</f>
        <v>CNSP</v>
      </c>
      <c r="M152" s="38"/>
      <c r="N152" s="6" t="str">
        <f ca="1">IFERROR(__xludf.DUMMYFUNCTION("""COMPUTED_VALUE"""),"OPTIMIST TIMONELES")</f>
        <v>OPTIMIST TIMONELES</v>
      </c>
      <c r="O152" s="6"/>
      <c r="P152" s="6">
        <f ca="1">IFERROR(__xludf.DUMMYFUNCTION("""COMPUTED_VALUE"""),4141)</f>
        <v>4141</v>
      </c>
      <c r="Q152" s="38"/>
      <c r="R152" s="38"/>
      <c r="S152" s="38"/>
      <c r="T152" s="38"/>
      <c r="U152" s="38"/>
      <c r="V152" s="38"/>
      <c r="W152" s="38"/>
      <c r="X152" s="40" t="str">
        <f ca="1">IFERROR(__xludf.DUMMYFUNCTION("""COMPUTED_VALUE"""),"Accord Dorado ")</f>
        <v xml:space="preserve">Accord Dorado </v>
      </c>
      <c r="Y152" s="6" t="str">
        <f ca="1">IFERROR(__xludf.DUMMYFUNCTION("""COMPUTED_VALUE"""),"Si")</f>
        <v>Si</v>
      </c>
      <c r="Z152" s="38" t="str">
        <f ca="1">IFERROR(__xludf.DUMMYFUNCTION("""COMPUTED_VALUE"""),"Acepto")</f>
        <v>Acepto</v>
      </c>
      <c r="AA152" s="38" t="str">
        <f ca="1">IFERROR(__xludf.DUMMYFUNCTION("""COMPUTED_VALUE"""),"Terminado")</f>
        <v>Terminado</v>
      </c>
      <c r="AB152" s="38">
        <f ca="1">IFERROR(__xludf.DUMMYFUNCTION("""COMPUTED_VALUE"""),50000)</f>
        <v>50000</v>
      </c>
      <c r="AC152" s="6">
        <f ca="1">IFERROR(__xludf.DUMMYFUNCTION("""COMPUTED_VALUE"""),205106)</f>
        <v>205106</v>
      </c>
      <c r="AD152" s="6" t="str">
        <f ca="1">IFERROR(__xludf.DUMMYFUNCTION("""COMPUTED_VALUE"""),"TRF 30-08")</f>
        <v>TRF 30-08</v>
      </c>
      <c r="AE152" s="6"/>
      <c r="AF152" s="6"/>
    </row>
    <row r="153" spans="1:32" ht="13.2">
      <c r="A153" s="35">
        <f ca="1">IFERROR(__xludf.DUMMYFUNCTION("""COMPUTED_VALUE"""),45538.4768552314)</f>
        <v>45538.476855231398</v>
      </c>
      <c r="B153" s="36" t="str">
        <f ca="1">IFERROR(__xludf.DUMMYFUNCTION("""COMPUTED_VALUE"""),"Brandon")</f>
        <v>Brandon</v>
      </c>
      <c r="C153" s="36" t="str">
        <f ca="1">IFERROR(__xludf.DUMMYFUNCTION("""COMPUTED_VALUE"""),"Herrera Barrera")</f>
        <v>Herrera Barrera</v>
      </c>
      <c r="D153" s="36" t="str">
        <f ca="1">IFERROR(__xludf.DUMMYFUNCTION("""COMPUTED_VALUE"""),"San Isidro")</f>
        <v>San Isidro</v>
      </c>
      <c r="E153" s="38" t="str">
        <f ca="1">IFERROR(__xludf.DUMMYFUNCTION("""COMPUTED_VALUE"""),"ARG")</f>
        <v>ARG</v>
      </c>
      <c r="F153" s="38">
        <f ca="1">IFERROR(__xludf.DUMMYFUNCTION("""COMPUTED_VALUE"""),49264184)</f>
        <v>49264184</v>
      </c>
      <c r="G153" s="37">
        <f ca="1">IFERROR(__xludf.DUMMYFUNCTION("""COMPUTED_VALUE"""),39876)</f>
        <v>39876</v>
      </c>
      <c r="H153" s="38" t="str">
        <f ca="1">IFERROR(__xludf.DUMMYFUNCTION("""COMPUTED_VALUE"""),"+54 9 11 3394-3846")</f>
        <v>+54 9 11 3394-3846</v>
      </c>
      <c r="I153" s="38"/>
      <c r="J153" s="38" t="str">
        <f ca="1">IFERROR(__xludf.DUMMYFUNCTION("""COMPUTED_VALUE"""),"ignacio.varisco@gmail.com")</f>
        <v>ignacio.varisco@gmail.com</v>
      </c>
      <c r="K153" s="38" t="str">
        <f ca="1">IFERROR(__xludf.DUMMYFUNCTION("""COMPUTED_VALUE"""),"Masculino")</f>
        <v>Masculino</v>
      </c>
      <c r="L153" s="38" t="str">
        <f ca="1">IFERROR(__xludf.DUMMYFUNCTION("""COMPUTED_VALUE"""),"CPNLB- CBRIO")</f>
        <v>CPNLB- CBRIO</v>
      </c>
      <c r="M153" s="38"/>
      <c r="N153" s="6" t="str">
        <f ca="1">IFERROR(__xludf.DUMMYFUNCTION("""COMPUTED_VALUE"""),"OPTIMIST TIMONELES")</f>
        <v>OPTIMIST TIMONELES</v>
      </c>
      <c r="O153" s="6"/>
      <c r="P153" s="6" t="str">
        <f ca="1">IFERROR(__xludf.DUMMYFUNCTION("""COMPUTED_VALUE"""),"ARG 3513")</f>
        <v>ARG 3513</v>
      </c>
      <c r="Q153" s="38" t="str">
        <f ca="1">IFERROR(__xludf.DUMMYFUNCTION("""COMPUTED_VALUE"""),"Tronador")</f>
        <v>Tronador</v>
      </c>
      <c r="R153" s="38"/>
      <c r="S153" s="38"/>
      <c r="T153" s="38"/>
      <c r="U153" s="38"/>
      <c r="V153" s="38"/>
      <c r="W153" s="38"/>
      <c r="X153" s="40"/>
      <c r="Y153" s="6" t="str">
        <f ca="1">IFERROR(__xludf.DUMMYFUNCTION("""COMPUTED_VALUE"""),"Si")</f>
        <v>Si</v>
      </c>
      <c r="Z153" s="38" t="str">
        <f ca="1">IFERROR(__xludf.DUMMYFUNCTION("""COMPUTED_VALUE"""),"Acepto")</f>
        <v>Acepto</v>
      </c>
      <c r="AA153" s="38" t="str">
        <f ca="1">IFERROR(__xludf.DUMMYFUNCTION("""COMPUTED_VALUE"""),"Pendiente")</f>
        <v>Pendiente</v>
      </c>
      <c r="AB153" s="38"/>
      <c r="AC153" s="6"/>
      <c r="AD153" s="6"/>
      <c r="AE153" s="6"/>
      <c r="AF153" s="6"/>
    </row>
    <row r="154" spans="1:32" ht="13.2">
      <c r="A154" s="35">
        <f ca="1">IFERROR(__xludf.DUMMYFUNCTION("""COMPUTED_VALUE"""),45535.4887601504)</f>
        <v>45535.488760150402</v>
      </c>
      <c r="B154" s="36" t="str">
        <f ca="1">IFERROR(__xludf.DUMMYFUNCTION("""COMPUTED_VALUE"""),"Thaya")</f>
        <v>Thaya</v>
      </c>
      <c r="C154" s="36" t="str">
        <f ca="1">IFERROR(__xludf.DUMMYFUNCTION("""COMPUTED_VALUE"""),"Jaimovich Landeo")</f>
        <v>Jaimovich Landeo</v>
      </c>
      <c r="D154" s="36" t="str">
        <f ca="1">IFERROR(__xludf.DUMMYFUNCTION("""COMPUTED_VALUE"""),"CABA")</f>
        <v>CABA</v>
      </c>
      <c r="E154" s="38" t="str">
        <f ca="1">IFERROR(__xludf.DUMMYFUNCTION("""COMPUTED_VALUE"""),"ARG")</f>
        <v>ARG</v>
      </c>
      <c r="F154" s="38">
        <f ca="1">IFERROR(__xludf.DUMMYFUNCTION("""COMPUTED_VALUE"""),53236008)</f>
        <v>53236008</v>
      </c>
      <c r="G154" s="37">
        <f ca="1">IFERROR(__xludf.DUMMYFUNCTION("""COMPUTED_VALUE"""),41388)</f>
        <v>41388</v>
      </c>
      <c r="H154" s="38">
        <f ca="1">IFERROR(__xludf.DUMMYFUNCTION("""COMPUTED_VALUE"""),1140883466)</f>
        <v>1140883466</v>
      </c>
      <c r="I154" s="38">
        <f ca="1">IFERROR(__xludf.DUMMYFUNCTION("""COMPUTED_VALUE"""),11658290733)</f>
        <v>11658290733</v>
      </c>
      <c r="J154" s="38" t="str">
        <f ca="1">IFERROR(__xludf.DUMMYFUNCTION("""COMPUTED_VALUE"""),"Damianjaimovichdrive@gmail.com")</f>
        <v>Damianjaimovichdrive@gmail.com</v>
      </c>
      <c r="K154" s="38" t="str">
        <f ca="1">IFERROR(__xludf.DUMMYFUNCTION("""COMPUTED_VALUE"""),"Femenino")</f>
        <v>Femenino</v>
      </c>
      <c r="L154" s="38" t="str">
        <f ca="1">IFERROR(__xludf.DUMMYFUNCTION("""COMPUTED_VALUE"""),"CPNLB")</f>
        <v>CPNLB</v>
      </c>
      <c r="M154" s="38" t="str">
        <f ca="1">IFERROR(__xludf.DUMMYFUNCTION("""COMPUTED_VALUE"""),"Femenino")</f>
        <v>Femenino</v>
      </c>
      <c r="N154" s="6" t="str">
        <f ca="1">IFERROR(__xludf.DUMMYFUNCTION("""COMPUTED_VALUE"""),"OPTIMIST PRINCIPIANTES")</f>
        <v>OPTIMIST PRINCIPIANTES</v>
      </c>
      <c r="O154" s="6"/>
      <c r="P154" s="6">
        <f ca="1">IFERROR(__xludf.DUMMYFUNCTION("""COMPUTED_VALUE"""),2793)</f>
        <v>2793</v>
      </c>
      <c r="Q154" s="38"/>
      <c r="R154" s="38"/>
      <c r="S154" s="38"/>
      <c r="T154" s="38"/>
      <c r="U154" s="38"/>
      <c r="V154" s="38"/>
      <c r="W154" s="38"/>
      <c r="X154" s="40" t="str">
        <f ca="1">IFERROR(__xludf.DUMMYFUNCTION("""COMPUTED_VALUE"""),"Medicus 14084892001")</f>
        <v>Medicus 14084892001</v>
      </c>
      <c r="Y154" s="6" t="str">
        <f ca="1">IFERROR(__xludf.DUMMYFUNCTION("""COMPUTED_VALUE"""),"Si")</f>
        <v>Si</v>
      </c>
      <c r="Z154" s="38" t="str">
        <f ca="1">IFERROR(__xludf.DUMMYFUNCTION("""COMPUTED_VALUE"""),"Acepto")</f>
        <v>Acepto</v>
      </c>
      <c r="AA154" s="38" t="str">
        <f ca="1">IFERROR(__xludf.DUMMYFUNCTION("""COMPUTED_VALUE"""),"Terminado")</f>
        <v>Terminado</v>
      </c>
      <c r="AB154" s="38">
        <f ca="1">IFERROR(__xludf.DUMMYFUNCTION("""COMPUTED_VALUE"""),50000)</f>
        <v>50000</v>
      </c>
      <c r="AC154" s="6">
        <f ca="1">IFERROR(__xludf.DUMMYFUNCTION("""COMPUTED_VALUE"""),205157)</f>
        <v>205157</v>
      </c>
      <c r="AD154" s="6" t="str">
        <f ca="1">IFERROR(__xludf.DUMMYFUNCTION("""COMPUTED_VALUE"""),"TRF 31-08")</f>
        <v>TRF 31-08</v>
      </c>
      <c r="AE154" s="6"/>
      <c r="AF154" s="6"/>
    </row>
    <row r="155" spans="1:32" ht="13.2">
      <c r="A155" s="35">
        <f ca="1">IFERROR(__xludf.DUMMYFUNCTION("""COMPUTED_VALUE"""),45535.6408517013)</f>
        <v>45535.640851701297</v>
      </c>
      <c r="B155" s="36" t="str">
        <f ca="1">IFERROR(__xludf.DUMMYFUNCTION("""COMPUTED_VALUE"""),"Ciro")</f>
        <v>Ciro</v>
      </c>
      <c r="C155" s="36" t="str">
        <f ca="1">IFERROR(__xludf.DUMMYFUNCTION("""COMPUTED_VALUE"""),"Juan de Paz")</f>
        <v>Juan de Paz</v>
      </c>
      <c r="D155" s="36" t="str">
        <f ca="1">IFERROR(__xludf.DUMMYFUNCTION("""COMPUTED_VALUE"""),"Zarate")</f>
        <v>Zarate</v>
      </c>
      <c r="E155" s="38" t="str">
        <f ca="1">IFERROR(__xludf.DUMMYFUNCTION("""COMPUTED_VALUE"""),"ARG")</f>
        <v>ARG</v>
      </c>
      <c r="F155" s="38">
        <f ca="1">IFERROR(__xludf.DUMMYFUNCTION("""COMPUTED_VALUE"""),53595476)</f>
        <v>53595476</v>
      </c>
      <c r="G155" s="37">
        <f ca="1">IFERROR(__xludf.DUMMYFUNCTION("""COMPUTED_VALUE"""),41624)</f>
        <v>41624</v>
      </c>
      <c r="H155" s="38">
        <f ca="1">IFERROR(__xludf.DUMMYFUNCTION("""COMPUTED_VALUE"""),1141749061)</f>
        <v>1141749061</v>
      </c>
      <c r="I155" s="38">
        <f ca="1">IFERROR(__xludf.DUMMYFUNCTION("""COMPUTED_VALUE"""),1141749061)</f>
        <v>1141749061</v>
      </c>
      <c r="J155" s="38" t="str">
        <f ca="1">IFERROR(__xludf.DUMMYFUNCTION("""COMPUTED_VALUE"""),"Alejdepaz@hotmail.com")</f>
        <v>Alejdepaz@hotmail.com</v>
      </c>
      <c r="K155" s="38" t="str">
        <f ca="1">IFERROR(__xludf.DUMMYFUNCTION("""COMPUTED_VALUE"""),"Masculino")</f>
        <v>Masculino</v>
      </c>
      <c r="L155" s="38" t="str">
        <f ca="1">IFERROR(__xludf.DUMMYFUNCTION("""COMPUTED_VALUE"""),"CNZ")</f>
        <v>CNZ</v>
      </c>
      <c r="M155" s="38" t="str">
        <f ca="1">IFERROR(__xludf.DUMMYFUNCTION("""COMPUTED_VALUE"""),"Interior (Optimist)")</f>
        <v>Interior (Optimist)</v>
      </c>
      <c r="N155" s="6" t="str">
        <f ca="1">IFERROR(__xludf.DUMMYFUNCTION("""COMPUTED_VALUE"""),"OPTIMIST PRINCIPIANTES")</f>
        <v>OPTIMIST PRINCIPIANTES</v>
      </c>
      <c r="O155" s="6">
        <f ca="1">IFERROR(__xludf.DUMMYFUNCTION("""COMPUTED_VALUE"""),0)</f>
        <v>0</v>
      </c>
      <c r="P155" s="6" t="str">
        <f ca="1">IFERROR(__xludf.DUMMYFUNCTION("""COMPUTED_VALUE"""),"ARG4053")</f>
        <v>ARG4053</v>
      </c>
      <c r="Q155" s="38" t="str">
        <f ca="1">IFERROR(__xludf.DUMMYFUNCTION("""COMPUTED_VALUE"""),"Supra")</f>
        <v>Supra</v>
      </c>
      <c r="R155" s="38"/>
      <c r="S155" s="38"/>
      <c r="T155" s="38"/>
      <c r="U155" s="38"/>
      <c r="V155" s="38"/>
      <c r="W155" s="38"/>
      <c r="X155" s="40"/>
      <c r="Y155" s="6" t="str">
        <f ca="1">IFERROR(__xludf.DUMMYFUNCTION("""COMPUTED_VALUE"""),"Si")</f>
        <v>Si</v>
      </c>
      <c r="Z155" s="38" t="str">
        <f ca="1">IFERROR(__xludf.DUMMYFUNCTION("""COMPUTED_VALUE"""),"Acepto")</f>
        <v>Acepto</v>
      </c>
      <c r="AA155" s="38" t="str">
        <f ca="1">IFERROR(__xludf.DUMMYFUNCTION("""COMPUTED_VALUE"""),"Terminado")</f>
        <v>Terminado</v>
      </c>
      <c r="AB155" s="38">
        <f ca="1">IFERROR(__xludf.DUMMYFUNCTION("""COMPUTED_VALUE"""),50000)</f>
        <v>50000</v>
      </c>
      <c r="AC155" s="6">
        <f ca="1">IFERROR(__xludf.DUMMYFUNCTION("""COMPUTED_VALUE"""),205380)</f>
        <v>205380</v>
      </c>
      <c r="AD155" s="6" t="str">
        <f ca="1">IFERROR(__xludf.DUMMYFUNCTION("""COMPUTED_VALUE"""),"TRF 02-09")</f>
        <v>TRF 02-09</v>
      </c>
      <c r="AE155" s="6"/>
      <c r="AF155" s="6"/>
    </row>
    <row r="156" spans="1:32" ht="13.2">
      <c r="A156" s="35">
        <f ca="1">IFERROR(__xludf.DUMMYFUNCTION("""COMPUTED_VALUE"""),45535.5012050231)</f>
        <v>45535.501205023102</v>
      </c>
      <c r="B156" s="36" t="str">
        <f ca="1">IFERROR(__xludf.DUMMYFUNCTION("""COMPUTED_VALUE"""),"Ticiano")</f>
        <v>Ticiano</v>
      </c>
      <c r="C156" s="36" t="str">
        <f ca="1">IFERROR(__xludf.DUMMYFUNCTION("""COMPUTED_VALUE"""),"Koltez")</f>
        <v>Koltez</v>
      </c>
      <c r="D156" s="36" t="str">
        <f ca="1">IFERROR(__xludf.DUMMYFUNCTION("""COMPUTED_VALUE"""),"Rada Tilly")</f>
        <v>Rada Tilly</v>
      </c>
      <c r="E156" s="38" t="str">
        <f ca="1">IFERROR(__xludf.DUMMYFUNCTION("""COMPUTED_VALUE"""),"ARG")</f>
        <v>ARG</v>
      </c>
      <c r="F156" s="38">
        <f ca="1">IFERROR(__xludf.DUMMYFUNCTION("""COMPUTED_VALUE"""),44601424)</f>
        <v>44601424</v>
      </c>
      <c r="G156" s="37">
        <f ca="1">IFERROR(__xludf.DUMMYFUNCTION("""COMPUTED_VALUE"""),37689)</f>
        <v>37689</v>
      </c>
      <c r="H156" s="38">
        <f ca="1">IFERROR(__xludf.DUMMYFUNCTION("""COMPUTED_VALUE"""),2974572501)</f>
        <v>2974572501</v>
      </c>
      <c r="I156" s="38"/>
      <c r="J156" s="38" t="str">
        <f ca="1">IFERROR(__xludf.DUMMYFUNCTION("""COMPUTED_VALUE"""),"ticianokoltez@gmail.com")</f>
        <v>ticianokoltez@gmail.com</v>
      </c>
      <c r="K156" s="38" t="str">
        <f ca="1">IFERROR(__xludf.DUMMYFUNCTION("""COMPUTED_VALUE"""),"Masculino")</f>
        <v>Masculino</v>
      </c>
      <c r="L156" s="38" t="str">
        <f ca="1">IFERROR(__xludf.DUMMYFUNCTION("""COMPUTED_VALUE"""),"YCO - CNRT")</f>
        <v>YCO - CNRT</v>
      </c>
      <c r="M156" s="38"/>
      <c r="N156" s="6" t="str">
        <f ca="1">IFERROR(__xludf.DUMMYFUNCTION("""COMPUTED_VALUE"""),"ILCA 6")</f>
        <v>ILCA 6</v>
      </c>
      <c r="O156" s="6"/>
      <c r="P156" s="6">
        <f ca="1">IFERROR(__xludf.DUMMYFUNCTION("""COMPUTED_VALUE"""),195383)</f>
        <v>195383</v>
      </c>
      <c r="Q156" s="38"/>
      <c r="R156" s="38"/>
      <c r="S156" s="38"/>
      <c r="T156" s="38"/>
      <c r="U156" s="38"/>
      <c r="V156" s="38"/>
      <c r="W156" s="38"/>
      <c r="X156" s="40" t="str">
        <f ca="1">IFERROR(__xludf.DUMMYFUNCTION("""COMPUTED_VALUE"""),"Osde")</f>
        <v>Osde</v>
      </c>
      <c r="Y156" s="6" t="str">
        <f ca="1">IFERROR(__xludf.DUMMYFUNCTION("""COMPUTED_VALUE"""),"Si")</f>
        <v>Si</v>
      </c>
      <c r="Z156" s="38" t="str">
        <f ca="1">IFERROR(__xludf.DUMMYFUNCTION("""COMPUTED_VALUE"""),"Acepto")</f>
        <v>Acepto</v>
      </c>
      <c r="AA156" s="38" t="str">
        <f ca="1">IFERROR(__xludf.DUMMYFUNCTION("""COMPUTED_VALUE"""),"Terminado")</f>
        <v>Terminado</v>
      </c>
      <c r="AB156" s="38">
        <f ca="1">IFERROR(__xludf.DUMMYFUNCTION("""COMPUTED_VALUE"""),45000)</f>
        <v>45000</v>
      </c>
      <c r="AC156" s="6">
        <f ca="1">IFERROR(__xludf.DUMMYFUNCTION("""COMPUTED_VALUE"""),205159)</f>
        <v>205159</v>
      </c>
      <c r="AD156" s="6" t="str">
        <f ca="1">IFERROR(__xludf.DUMMYFUNCTION("""COMPUTED_VALUE"""),"TRF 31-08")</f>
        <v>TRF 31-08</v>
      </c>
      <c r="AE156" s="6"/>
      <c r="AF156" s="6"/>
    </row>
    <row r="157" spans="1:32" ht="13.2">
      <c r="A157" s="35">
        <f ca="1">IFERROR(__xludf.DUMMYFUNCTION("""COMPUTED_VALUE"""),45525.6053085995)</f>
        <v>45525.605308599501</v>
      </c>
      <c r="B157" s="36" t="str">
        <f ca="1">IFERROR(__xludf.DUMMYFUNCTION("""COMPUTED_VALUE"""),"Francisco")</f>
        <v>Francisco</v>
      </c>
      <c r="C157" s="36" t="str">
        <f ca="1">IFERROR(__xludf.DUMMYFUNCTION("""COMPUTED_VALUE"""),"Krenek")</f>
        <v>Krenek</v>
      </c>
      <c r="D157" s="36" t="str">
        <f ca="1">IFERROR(__xludf.DUMMYFUNCTION("""COMPUTED_VALUE"""),"VICENTE LOPEZ")</f>
        <v>VICENTE LOPEZ</v>
      </c>
      <c r="E157" s="38" t="str">
        <f ca="1">IFERROR(__xludf.DUMMYFUNCTION("""COMPUTED_VALUE"""),"ARG")</f>
        <v>ARG</v>
      </c>
      <c r="F157" s="38">
        <f ca="1">IFERROR(__xludf.DUMMYFUNCTION("""COMPUTED_VALUE"""),52856304)</f>
        <v>52856304</v>
      </c>
      <c r="G157" s="37">
        <f ca="1">IFERROR(__xludf.DUMMYFUNCTION("""COMPUTED_VALUE"""),41238)</f>
        <v>41238</v>
      </c>
      <c r="H157" s="38">
        <f ca="1">IFERROR(__xludf.DUMMYFUNCTION("""COMPUTED_VALUE"""),1165688066)</f>
        <v>1165688066</v>
      </c>
      <c r="I157" s="38">
        <f ca="1">IFERROR(__xludf.DUMMYFUNCTION("""COMPUTED_VALUE"""),1162859402)</f>
        <v>1162859402</v>
      </c>
      <c r="J157" s="38" t="str">
        <f ca="1">IFERROR(__xludf.DUMMYFUNCTION("""COMPUTED_VALUE"""),"carloskrenek@yahoo.com.ar")</f>
        <v>carloskrenek@yahoo.com.ar</v>
      </c>
      <c r="K157" s="38" t="str">
        <f ca="1">IFERROR(__xludf.DUMMYFUNCTION("""COMPUTED_VALUE"""),"Masculino")</f>
        <v>Masculino</v>
      </c>
      <c r="L157" s="38" t="str">
        <f ca="1">IFERROR(__xludf.DUMMYFUNCTION("""COMPUTED_VALUE"""),"YCO")</f>
        <v>YCO</v>
      </c>
      <c r="M157" s="38"/>
      <c r="N157" s="6" t="str">
        <f ca="1">IFERROR(__xludf.DUMMYFUNCTION("""COMPUTED_VALUE"""),"OPTIMIST TIMONELES")</f>
        <v>OPTIMIST TIMONELES</v>
      </c>
      <c r="O157" s="6"/>
      <c r="P157" s="6" t="str">
        <f ca="1">IFERROR(__xludf.DUMMYFUNCTION("""COMPUTED_VALUE"""),"ARG 3817")</f>
        <v>ARG 3817</v>
      </c>
      <c r="Q157" s="38"/>
      <c r="R157" s="38"/>
      <c r="S157" s="38"/>
      <c r="T157" s="38"/>
      <c r="U157" s="38"/>
      <c r="V157" s="38"/>
      <c r="W157" s="38"/>
      <c r="X157" s="40" t="str">
        <f ca="1">IFERROR(__xludf.DUMMYFUNCTION("""COMPUTED_VALUE"""),"OSDE")</f>
        <v>OSDE</v>
      </c>
      <c r="Y157" s="6" t="str">
        <f ca="1">IFERROR(__xludf.DUMMYFUNCTION("""COMPUTED_VALUE"""),"Si")</f>
        <v>Si</v>
      </c>
      <c r="Z157" s="38" t="str">
        <f ca="1">IFERROR(__xludf.DUMMYFUNCTION("""COMPUTED_VALUE"""),"Acepto")</f>
        <v>Acepto</v>
      </c>
      <c r="AA157" s="38" t="str">
        <f ca="1">IFERROR(__xludf.DUMMYFUNCTION("""COMPUTED_VALUE"""),"Terminado")</f>
        <v>Terminado</v>
      </c>
      <c r="AB157" s="38">
        <f ca="1">IFERROR(__xludf.DUMMYFUNCTION("""COMPUTED_VALUE"""),60000)</f>
        <v>60000</v>
      </c>
      <c r="AC157" s="6">
        <f ca="1">IFERROR(__xludf.DUMMYFUNCTION("""COMPUTED_VALUE"""),205016)</f>
        <v>205016</v>
      </c>
      <c r="AD157" s="6" t="str">
        <f ca="1">IFERROR(__xludf.DUMMYFUNCTION("""COMPUTED_VALUE"""),"TRF 21-08")</f>
        <v>TRF 21-08</v>
      </c>
      <c r="AE157" s="6"/>
      <c r="AF157" s="6"/>
    </row>
    <row r="158" spans="1:32" ht="13.2">
      <c r="A158" s="35">
        <f ca="1">IFERROR(__xludf.DUMMYFUNCTION("""COMPUTED_VALUE"""),45523.750309456)</f>
        <v>45523.750309456002</v>
      </c>
      <c r="B158" s="36" t="str">
        <f ca="1">IFERROR(__xludf.DUMMYFUNCTION("""COMPUTED_VALUE"""),"RAUL")</f>
        <v>RAUL</v>
      </c>
      <c r="C158" s="36" t="str">
        <f ca="1">IFERROR(__xludf.DUMMYFUNCTION("""COMPUTED_VALUE"""),"LACCHINI")</f>
        <v>LACCHINI</v>
      </c>
      <c r="D158" s="36" t="str">
        <f ca="1">IFERROR(__xludf.DUMMYFUNCTION("""COMPUTED_VALUE"""),"City Bell")</f>
        <v>City Bell</v>
      </c>
      <c r="E158" s="38" t="str">
        <f ca="1">IFERROR(__xludf.DUMMYFUNCTION("""COMPUTED_VALUE"""),"ARG")</f>
        <v>ARG</v>
      </c>
      <c r="F158" s="38">
        <f ca="1">IFERROR(__xludf.DUMMYFUNCTION("""COMPUTED_VALUE"""),7828749)</f>
        <v>7828749</v>
      </c>
      <c r="G158" s="37">
        <f ca="1">IFERROR(__xludf.DUMMYFUNCTION("""COMPUTED_VALUE"""),18225)</f>
        <v>18225</v>
      </c>
      <c r="H158" s="38" t="str">
        <f ca="1">IFERROR(__xludf.DUMMYFUNCTION("""COMPUTED_VALUE"""),"221_408 3720")</f>
        <v>221_408 3720</v>
      </c>
      <c r="I158" s="38"/>
      <c r="J158" s="38" t="str">
        <f ca="1">IFERROR(__xludf.DUMMYFUNCTION("""COMPUTED_VALUE"""),"Raulachi@gmail.com")</f>
        <v>Raulachi@gmail.com</v>
      </c>
      <c r="K158" s="38" t="str">
        <f ca="1">IFERROR(__xludf.DUMMYFUNCTION("""COMPUTED_VALUE"""),"Masculino")</f>
        <v>Masculino</v>
      </c>
      <c r="L158" s="38" t="str">
        <f ca="1">IFERROR(__xludf.DUMMYFUNCTION("""COMPUTED_VALUE"""),"CRLP")</f>
        <v>CRLP</v>
      </c>
      <c r="M158" s="38" t="str">
        <f ca="1">IFERROR(__xludf.DUMMYFUNCTION("""COMPUTED_VALUE"""),"Master (ILCA)")</f>
        <v>Master (ILCA)</v>
      </c>
      <c r="N158" s="6" t="str">
        <f ca="1">IFERROR(__xludf.DUMMYFUNCTION("""COMPUTED_VALUE"""),"PAMPERO")</f>
        <v>PAMPERO</v>
      </c>
      <c r="O158" s="6"/>
      <c r="P158" s="6">
        <f ca="1">IFERROR(__xludf.DUMMYFUNCTION("""COMPUTED_VALUE"""),1017)</f>
        <v>1017</v>
      </c>
      <c r="Q158" s="38" t="str">
        <f ca="1">IFERROR(__xludf.DUMMYFUNCTION("""COMPUTED_VALUE"""),"EPAMINONDA")</f>
        <v>EPAMINONDA</v>
      </c>
      <c r="R158" s="38" t="str">
        <f ca="1">IFERROR(__xludf.DUMMYFUNCTION("""COMPUTED_VALUE"""),"Ana María Acevedo")</f>
        <v>Ana María Acevedo</v>
      </c>
      <c r="S158" s="38"/>
      <c r="T158" s="38"/>
      <c r="U158" s="38"/>
      <c r="V158" s="38"/>
      <c r="W158" s="38"/>
      <c r="X158" s="40"/>
      <c r="Y158" s="6" t="str">
        <f ca="1">IFERROR(__xludf.DUMMYFUNCTION("""COMPUTED_VALUE"""),"Si")</f>
        <v>Si</v>
      </c>
      <c r="Z158" s="38" t="str">
        <f ca="1">IFERROR(__xludf.DUMMYFUNCTION("""COMPUTED_VALUE"""),"Acepto")</f>
        <v>Acepto</v>
      </c>
      <c r="AA158" s="38" t="str">
        <f ca="1">IFERROR(__xludf.DUMMYFUNCTION("""COMPUTED_VALUE"""),"Terminado")</f>
        <v>Terminado</v>
      </c>
      <c r="AB158" s="38">
        <f ca="1">IFERROR(__xludf.DUMMYFUNCTION("""COMPUTED_VALUE"""),60000)</f>
        <v>60000</v>
      </c>
      <c r="AC158" s="6">
        <f ca="1">IFERROR(__xludf.DUMMYFUNCTION("""COMPUTED_VALUE"""),205007)</f>
        <v>205007</v>
      </c>
      <c r="AD158" s="6" t="str">
        <f ca="1">IFERROR(__xludf.DUMMYFUNCTION("""COMPUTED_VALUE"""),"TRF 19-8")</f>
        <v>TRF 19-8</v>
      </c>
      <c r="AE158" s="6"/>
      <c r="AF158" s="6" t="str">
        <f ca="1">IFERROR(__xludf.DUMMYFUNCTION("""COMPUTED_VALUE"""),"Si")</f>
        <v>Si</v>
      </c>
    </row>
    <row r="159" spans="1:32" ht="13.2">
      <c r="A159" s="35">
        <f ca="1">IFERROR(__xludf.DUMMYFUNCTION("""COMPUTED_VALUE"""),45527.7913277546)</f>
        <v>45527.791327754603</v>
      </c>
      <c r="B159" s="36" t="str">
        <f ca="1">IFERROR(__xludf.DUMMYFUNCTION("""COMPUTED_VALUE"""),"Carlos ")</f>
        <v xml:space="preserve">Carlos </v>
      </c>
      <c r="C159" s="36" t="str">
        <f ca="1">IFERROR(__xludf.DUMMYFUNCTION("""COMPUTED_VALUE"""),"Lacchini")</f>
        <v>Lacchini</v>
      </c>
      <c r="D159" s="36" t="str">
        <f ca="1">IFERROR(__xludf.DUMMYFUNCTION("""COMPUTED_VALUE"""),"La Plata")</f>
        <v>La Plata</v>
      </c>
      <c r="E159" s="38" t="str">
        <f ca="1">IFERROR(__xludf.DUMMYFUNCTION("""COMPUTED_VALUE"""),"ARG")</f>
        <v>ARG</v>
      </c>
      <c r="F159" s="38">
        <f ca="1">IFERROR(__xludf.DUMMYFUNCTION("""COMPUTED_VALUE"""),26106153)</f>
        <v>26106153</v>
      </c>
      <c r="G159" s="37">
        <f ca="1">IFERROR(__xludf.DUMMYFUNCTION("""COMPUTED_VALUE"""),28310)</f>
        <v>28310</v>
      </c>
      <c r="H159" s="38">
        <f ca="1">IFERROR(__xludf.DUMMYFUNCTION("""COMPUTED_VALUE"""),2214188871)</f>
        <v>2214188871</v>
      </c>
      <c r="I159" s="38">
        <f ca="1">IFERROR(__xludf.DUMMYFUNCTION("""COMPUTED_VALUE"""),2216371227)</f>
        <v>2216371227</v>
      </c>
      <c r="J159" s="38" t="str">
        <f ca="1">IFERROR(__xludf.DUMMYFUNCTION("""COMPUTED_VALUE"""),"carloslacchini@gmail.com")</f>
        <v>carloslacchini@gmail.com</v>
      </c>
      <c r="K159" s="38" t="str">
        <f ca="1">IFERROR(__xludf.DUMMYFUNCTION("""COMPUTED_VALUE"""),"Masculino")</f>
        <v>Masculino</v>
      </c>
      <c r="L159" s="38" t="str">
        <f ca="1">IFERROR(__xludf.DUMMYFUNCTION("""COMPUTED_VALUE"""),"YCA - CRLP")</f>
        <v>YCA - CRLP</v>
      </c>
      <c r="M159" s="38" t="str">
        <f ca="1">IFERROR(__xludf.DUMMYFUNCTION("""COMPUTED_VALUE"""),"Corinthian")</f>
        <v>Corinthian</v>
      </c>
      <c r="N159" s="6" t="str">
        <f ca="1">IFERROR(__xludf.DUMMYFUNCTION("""COMPUTED_VALUE"""),"J 70")</f>
        <v>J 70</v>
      </c>
      <c r="O159" s="6" t="str">
        <f ca="1">IFERROR(__xludf.DUMMYFUNCTION("""COMPUTED_VALUE"""),"01")</f>
        <v>01</v>
      </c>
      <c r="P159" s="6">
        <f ca="1">IFERROR(__xludf.DUMMYFUNCTION("""COMPUTED_VALUE"""),1020)</f>
        <v>1020</v>
      </c>
      <c r="Q159" s="38" t="str">
        <f ca="1">IFERROR(__xludf.DUMMYFUNCTION("""COMPUTED_VALUE"""),"Si Querida")</f>
        <v>Si Querida</v>
      </c>
      <c r="R159" s="38" t="str">
        <f ca="1">IFERROR(__xludf.DUMMYFUNCTION("""COMPUTED_VALUE"""),"Juani Queirel")</f>
        <v>Juani Queirel</v>
      </c>
      <c r="S159" s="38" t="str">
        <f ca="1">IFERROR(__xludf.DUMMYFUNCTION("""COMPUTED_VALUE"""),"Ana Julia Lacchini")</f>
        <v>Ana Julia Lacchini</v>
      </c>
      <c r="T159" s="38" t="str">
        <f ca="1">IFERROR(__xludf.DUMMYFUNCTION("""COMPUTED_VALUE"""),"Lihuel Gomez Lacchini")</f>
        <v>Lihuel Gomez Lacchini</v>
      </c>
      <c r="U159" s="38" t="str">
        <f ca="1">IFERROR(__xludf.DUMMYFUNCTION("""COMPUTED_VALUE"""),"Ulises Gomez LAcchini")</f>
        <v>Ulises Gomez LAcchini</v>
      </c>
      <c r="V159" s="38"/>
      <c r="W159" s="38"/>
      <c r="X159" s="40"/>
      <c r="Y159" s="6" t="str">
        <f ca="1">IFERROR(__xludf.DUMMYFUNCTION("""COMPUTED_VALUE"""),"No")</f>
        <v>No</v>
      </c>
      <c r="Z159" s="38" t="str">
        <f ca="1">IFERROR(__xludf.DUMMYFUNCTION("""COMPUTED_VALUE"""),"Acepto")</f>
        <v>Acepto</v>
      </c>
      <c r="AA159" s="38" t="str">
        <f ca="1">IFERROR(__xludf.DUMMYFUNCTION("""COMPUTED_VALUE"""),"Terminado")</f>
        <v>Terminado</v>
      </c>
      <c r="AB159" s="38">
        <f ca="1">IFERROR(__xludf.DUMMYFUNCTION("""COMPUTED_VALUE"""),80000)</f>
        <v>80000</v>
      </c>
      <c r="AC159" s="6">
        <f ca="1">IFERROR(__xludf.DUMMYFUNCTION("""COMPUTED_VALUE"""),205045)</f>
        <v>205045</v>
      </c>
      <c r="AD159" s="6" t="str">
        <f ca="1">IFERROR(__xludf.DUMMYFUNCTION("""COMPUTED_VALUE"""),"TRF 23-08")</f>
        <v>TRF 23-08</v>
      </c>
      <c r="AE159" s="6"/>
      <c r="AF159" s="6"/>
    </row>
    <row r="160" spans="1:32" ht="13.2">
      <c r="A160" s="35">
        <f ca="1">IFERROR(__xludf.DUMMYFUNCTION("""COMPUTED_VALUE"""),45534.6592007754)</f>
        <v>45534.659200775401</v>
      </c>
      <c r="B160" s="36" t="str">
        <f ca="1">IFERROR(__xludf.DUMMYFUNCTION("""COMPUTED_VALUE"""),"Fausto")</f>
        <v>Fausto</v>
      </c>
      <c r="C160" s="36" t="str">
        <f ca="1">IFERROR(__xludf.DUMMYFUNCTION("""COMPUTED_VALUE"""),"Lacchini")</f>
        <v>Lacchini</v>
      </c>
      <c r="D160" s="36" t="str">
        <f ca="1">IFERROR(__xludf.DUMMYFUNCTION("""COMPUTED_VALUE"""),"La Plata")</f>
        <v>La Plata</v>
      </c>
      <c r="E160" s="38" t="str">
        <f ca="1">IFERROR(__xludf.DUMMYFUNCTION("""COMPUTED_VALUE"""),"ARG")</f>
        <v>ARG</v>
      </c>
      <c r="F160" s="38">
        <f ca="1">IFERROR(__xludf.DUMMYFUNCTION("""COMPUTED_VALUE"""),53456040)</f>
        <v>53456040</v>
      </c>
      <c r="G160" s="37">
        <f ca="1">IFERROR(__xludf.DUMMYFUNCTION("""COMPUTED_VALUE"""),41535)</f>
        <v>41535</v>
      </c>
      <c r="H160" s="38">
        <f ca="1">IFERROR(__xludf.DUMMYFUNCTION("""COMPUTED_VALUE"""),2214188871)</f>
        <v>2214188871</v>
      </c>
      <c r="I160" s="38">
        <f ca="1">IFERROR(__xludf.DUMMYFUNCTION("""COMPUTED_VALUE"""),2216371227)</f>
        <v>2216371227</v>
      </c>
      <c r="J160" s="38" t="str">
        <f ca="1">IFERROR(__xludf.DUMMYFUNCTION("""COMPUTED_VALUE"""),"carloslacchini@gmail.com")</f>
        <v>carloslacchini@gmail.com</v>
      </c>
      <c r="K160" s="38" t="str">
        <f ca="1">IFERROR(__xludf.DUMMYFUNCTION("""COMPUTED_VALUE"""),"Masculino")</f>
        <v>Masculino</v>
      </c>
      <c r="L160" s="38" t="str">
        <f ca="1">IFERROR(__xludf.DUMMYFUNCTION("""COMPUTED_VALUE"""),"CRLP")</f>
        <v>CRLP</v>
      </c>
      <c r="M160" s="38"/>
      <c r="N160" s="6" t="str">
        <f ca="1">IFERROR(__xludf.DUMMYFUNCTION("""COMPUTED_VALUE"""),"OPTIMIST TIMONELES")</f>
        <v>OPTIMIST TIMONELES</v>
      </c>
      <c r="O160" s="6"/>
      <c r="P160" s="6">
        <f ca="1">IFERROR(__xludf.DUMMYFUNCTION("""COMPUTED_VALUE"""),3781)</f>
        <v>3781</v>
      </c>
      <c r="Q160" s="38" t="str">
        <f ca="1">IFERROR(__xludf.DUMMYFUNCTION("""COMPUTED_VALUE"""),"Biondina 2.0")</f>
        <v>Biondina 2.0</v>
      </c>
      <c r="R160" s="38"/>
      <c r="S160" s="38"/>
      <c r="T160" s="38"/>
      <c r="U160" s="38"/>
      <c r="V160" s="38"/>
      <c r="W160" s="38"/>
      <c r="X160" s="40" t="str">
        <f ca="1">IFERROR(__xludf.DUMMYFUNCTION("""COMPUTED_VALUE"""),"Galeno 023399760201")</f>
        <v>Galeno 023399760201</v>
      </c>
      <c r="Y160" s="6" t="str">
        <f ca="1">IFERROR(__xludf.DUMMYFUNCTION("""COMPUTED_VALUE"""),"Si")</f>
        <v>Si</v>
      </c>
      <c r="Z160" s="38" t="str">
        <f ca="1">IFERROR(__xludf.DUMMYFUNCTION("""COMPUTED_VALUE"""),"Acepto")</f>
        <v>Acepto</v>
      </c>
      <c r="AA160" s="38" t="str">
        <f ca="1">IFERROR(__xludf.DUMMYFUNCTION("""COMPUTED_VALUE"""),"Terminado")</f>
        <v>Terminado</v>
      </c>
      <c r="AB160" s="38">
        <f ca="1">IFERROR(__xludf.DUMMYFUNCTION("""COMPUTED_VALUE"""),50000)</f>
        <v>50000</v>
      </c>
      <c r="AC160" s="6">
        <f ca="1">IFERROR(__xludf.DUMMYFUNCTION("""COMPUTED_VALUE"""),205101)</f>
        <v>205101</v>
      </c>
      <c r="AD160" s="6" t="str">
        <f ca="1">IFERROR(__xludf.DUMMYFUNCTION("""COMPUTED_VALUE"""),"TRF 30-08")</f>
        <v>TRF 30-08</v>
      </c>
      <c r="AE160" s="6"/>
      <c r="AF160" s="6"/>
    </row>
    <row r="161" spans="1:32" ht="13.2">
      <c r="A161" s="35">
        <f ca="1">IFERROR(__xludf.DUMMYFUNCTION("""COMPUTED_VALUE"""),45531.438049155)</f>
        <v>45531.438049154996</v>
      </c>
      <c r="B161" s="36" t="str">
        <f ca="1">IFERROR(__xludf.DUMMYFUNCTION("""COMPUTED_VALUE"""),"Tiziano")</f>
        <v>Tiziano</v>
      </c>
      <c r="C161" s="36" t="str">
        <f ca="1">IFERROR(__xludf.DUMMYFUNCTION("""COMPUTED_VALUE"""),"Laise")</f>
        <v>Laise</v>
      </c>
      <c r="D161" s="36" t="str">
        <f ca="1">IFERROR(__xludf.DUMMYFUNCTION("""COMPUTED_VALUE"""),"CABA")</f>
        <v>CABA</v>
      </c>
      <c r="E161" s="38" t="str">
        <f ca="1">IFERROR(__xludf.DUMMYFUNCTION("""COMPUTED_VALUE"""),"ARG")</f>
        <v>ARG</v>
      </c>
      <c r="F161" s="38">
        <f ca="1">IFERROR(__xludf.DUMMYFUNCTION("""COMPUTED_VALUE"""),53957972)</f>
        <v>53957972</v>
      </c>
      <c r="G161" s="37">
        <f ca="1">IFERROR(__xludf.DUMMYFUNCTION("""COMPUTED_VALUE"""),41776)</f>
        <v>41776</v>
      </c>
      <c r="H161" s="38">
        <f ca="1">IFERROR(__xludf.DUMMYFUNCTION("""COMPUTED_VALUE"""),1140759121)</f>
        <v>1140759121</v>
      </c>
      <c r="I161" s="38">
        <f ca="1">IFERROR(__xludf.DUMMYFUNCTION("""COMPUTED_VALUE"""),1140444113)</f>
        <v>1140444113</v>
      </c>
      <c r="J161" s="38" t="str">
        <f ca="1">IFERROR(__xludf.DUMMYFUNCTION("""COMPUTED_VALUE"""),"Andreafriedlander@hotmail.com")</f>
        <v>Andreafriedlander@hotmail.com</v>
      </c>
      <c r="K161" s="38" t="str">
        <f ca="1">IFERROR(__xludf.DUMMYFUNCTION("""COMPUTED_VALUE"""),"Masculino")</f>
        <v>Masculino</v>
      </c>
      <c r="L161" s="38" t="str">
        <f ca="1">IFERROR(__xludf.DUMMYFUNCTION("""COMPUTED_VALUE"""),"YCA")</f>
        <v>YCA</v>
      </c>
      <c r="M161" s="38"/>
      <c r="N161" s="6" t="str">
        <f ca="1">IFERROR(__xludf.DUMMYFUNCTION("""COMPUTED_VALUE"""),"OPTIMIST PRINCIPIANTES")</f>
        <v>OPTIMIST PRINCIPIANTES</v>
      </c>
      <c r="O161" s="6"/>
      <c r="P161" s="6" t="str">
        <f ca="1">IFERROR(__xludf.DUMMYFUNCTION("""COMPUTED_VALUE"""),"ARG 3946")</f>
        <v>ARG 3946</v>
      </c>
      <c r="Q161" s="38" t="str">
        <f ca="1">IFERROR(__xludf.DUMMYFUNCTION("""COMPUTED_VALUE"""),"Seductor")</f>
        <v>Seductor</v>
      </c>
      <c r="R161" s="38" t="str">
        <f ca="1">IFERROR(__xludf.DUMMYFUNCTION("""COMPUTED_VALUE"""),"Tiziano Laise")</f>
        <v>Tiziano Laise</v>
      </c>
      <c r="S161" s="38"/>
      <c r="T161" s="38"/>
      <c r="U161" s="38"/>
      <c r="V161" s="38"/>
      <c r="W161" s="38"/>
      <c r="X161" s="40" t="str">
        <f ca="1">IFERROR(__xludf.DUMMYFUNCTION("""COMPUTED_VALUE"""),"OSDE 310")</f>
        <v>OSDE 310</v>
      </c>
      <c r="Y161" s="6" t="str">
        <f ca="1">IFERROR(__xludf.DUMMYFUNCTION("""COMPUTED_VALUE"""),"Si")</f>
        <v>Si</v>
      </c>
      <c r="Z161" s="38" t="str">
        <f ca="1">IFERROR(__xludf.DUMMYFUNCTION("""COMPUTED_VALUE"""),"Acepto")</f>
        <v>Acepto</v>
      </c>
      <c r="AA161" s="38" t="str">
        <f ca="1">IFERROR(__xludf.DUMMYFUNCTION("""COMPUTED_VALUE"""),"Terminado")</f>
        <v>Terminado</v>
      </c>
      <c r="AB161" s="38">
        <f ca="1">IFERROR(__xludf.DUMMYFUNCTION("""COMPUTED_VALUE"""),50000)</f>
        <v>50000</v>
      </c>
      <c r="AC161" s="6">
        <f ca="1">IFERROR(__xludf.DUMMYFUNCTION("""COMPUTED_VALUE"""),205055)</f>
        <v>205055</v>
      </c>
      <c r="AD161" s="6" t="str">
        <f ca="1">IFERROR(__xludf.DUMMYFUNCTION("""COMPUTED_VALUE"""),"TRF 27-08")</f>
        <v>TRF 27-08</v>
      </c>
      <c r="AE161" s="6"/>
      <c r="AF161" s="6"/>
    </row>
    <row r="162" spans="1:32" ht="13.2">
      <c r="A162" s="35">
        <f ca="1">IFERROR(__xludf.DUMMYFUNCTION("""COMPUTED_VALUE"""),45534.6886252314)</f>
        <v>45534.6886252314</v>
      </c>
      <c r="B162" s="36" t="str">
        <f ca="1">IFERROR(__xludf.DUMMYFUNCTION("""COMPUTED_VALUE"""),"Enzo ")</f>
        <v xml:space="preserve">Enzo </v>
      </c>
      <c r="C162" s="36" t="str">
        <f ca="1">IFERROR(__xludf.DUMMYFUNCTION("""COMPUTED_VALUE"""),"Lannia ")</f>
        <v xml:space="preserve">Lannia </v>
      </c>
      <c r="D162" s="36" t="str">
        <f ca="1">IFERROR(__xludf.DUMMYFUNCTION("""COMPUTED_VALUE"""),"Buenos aires")</f>
        <v>Buenos aires</v>
      </c>
      <c r="E162" s="38" t="str">
        <f ca="1">IFERROR(__xludf.DUMMYFUNCTION("""COMPUTED_VALUE"""),"ARG")</f>
        <v>ARG</v>
      </c>
      <c r="F162" s="38">
        <f ca="1">IFERROR(__xludf.DUMMYFUNCTION("""COMPUTED_VALUE"""),50306735)</f>
        <v>50306735</v>
      </c>
      <c r="G162" s="37">
        <f ca="1">IFERROR(__xludf.DUMMYFUNCTION("""COMPUTED_VALUE"""),40316)</f>
        <v>40316</v>
      </c>
      <c r="H162" s="38">
        <f ca="1">IFERROR(__xludf.DUMMYFUNCTION("""COMPUTED_VALUE"""),1132763991)</f>
        <v>1132763991</v>
      </c>
      <c r="I162" s="38">
        <f ca="1">IFERROR(__xludf.DUMMYFUNCTION("""COMPUTED_VALUE"""),1132763953)</f>
        <v>1132763953</v>
      </c>
      <c r="J162" s="38" t="str">
        <f ca="1">IFERROR(__xludf.DUMMYFUNCTION("""COMPUTED_VALUE"""),"andreval05@homail.com")</f>
        <v>andreval05@homail.com</v>
      </c>
      <c r="K162" s="38" t="str">
        <f ca="1">IFERROR(__xludf.DUMMYFUNCTION("""COMPUTED_VALUE"""),"Masculino")</f>
        <v>Masculino</v>
      </c>
      <c r="L162" s="38" t="str">
        <f ca="1">IFERROR(__xludf.DUMMYFUNCTION("""COMPUTED_VALUE"""),"Cvb")</f>
        <v>Cvb</v>
      </c>
      <c r="M162" s="38" t="str">
        <f ca="1">IFERROR(__xludf.DUMMYFUNCTION("""COMPUTED_VALUE"""),"Interior (Optimist)")</f>
        <v>Interior (Optimist)</v>
      </c>
      <c r="N162" s="6" t="str">
        <f ca="1">IFERROR(__xludf.DUMMYFUNCTION("""COMPUTED_VALUE"""),"OPTIMIST TIMONELES")</f>
        <v>OPTIMIST TIMONELES</v>
      </c>
      <c r="O162" s="6"/>
      <c r="P162" s="6">
        <f ca="1">IFERROR(__xludf.DUMMYFUNCTION("""COMPUTED_VALUE"""),3114)</f>
        <v>3114</v>
      </c>
      <c r="Q162" s="38"/>
      <c r="R162" s="38"/>
      <c r="S162" s="38"/>
      <c r="T162" s="38"/>
      <c r="U162" s="38"/>
      <c r="V162" s="38"/>
      <c r="W162" s="38"/>
      <c r="X162" s="40" t="str">
        <f ca="1">IFERROR(__xludf.DUMMYFUNCTION("""COMPUTED_VALUE"""),"Swiss medical")</f>
        <v>Swiss medical</v>
      </c>
      <c r="Y162" s="6" t="str">
        <f ca="1">IFERROR(__xludf.DUMMYFUNCTION("""COMPUTED_VALUE"""),"Si")</f>
        <v>Si</v>
      </c>
      <c r="Z162" s="38" t="str">
        <f ca="1">IFERROR(__xludf.DUMMYFUNCTION("""COMPUTED_VALUE"""),"Acepto")</f>
        <v>Acepto</v>
      </c>
      <c r="AA162" s="38" t="str">
        <f ca="1">IFERROR(__xludf.DUMMYFUNCTION("""COMPUTED_VALUE"""),"Terminado")</f>
        <v>Terminado</v>
      </c>
      <c r="AB162" s="38">
        <f ca="1">IFERROR(__xludf.DUMMYFUNCTION("""COMPUTED_VALUE"""),50000)</f>
        <v>50000</v>
      </c>
      <c r="AC162" s="6">
        <f ca="1">IFERROR(__xludf.DUMMYFUNCTION("""COMPUTED_VALUE"""),205136)</f>
        <v>205136</v>
      </c>
      <c r="AD162" s="6" t="str">
        <f ca="1">IFERROR(__xludf.DUMMYFUNCTION("""COMPUTED_VALUE"""),"TRF 30-08")</f>
        <v>TRF 30-08</v>
      </c>
      <c r="AE162" s="6"/>
      <c r="AF162" s="6"/>
    </row>
    <row r="163" spans="1:32" ht="13.2">
      <c r="A163" s="35">
        <f ca="1">IFERROR(__xludf.DUMMYFUNCTION("""COMPUTED_VALUE"""),45535.8106453125)</f>
        <v>45535.8106453125</v>
      </c>
      <c r="B163" s="36" t="str">
        <f ca="1">IFERROR(__xludf.DUMMYFUNCTION("""COMPUTED_VALUE"""),"Santiago")</f>
        <v>Santiago</v>
      </c>
      <c r="C163" s="36" t="str">
        <f ca="1">IFERROR(__xludf.DUMMYFUNCTION("""COMPUTED_VALUE"""),"Latorre")</f>
        <v>Latorre</v>
      </c>
      <c r="D163" s="36" t="str">
        <f ca="1">IFERROR(__xludf.DUMMYFUNCTION("""COMPUTED_VALUE"""),"Buenos Aires")</f>
        <v>Buenos Aires</v>
      </c>
      <c r="E163" s="38" t="str">
        <f ca="1">IFERROR(__xludf.DUMMYFUNCTION("""COMPUTED_VALUE"""),"ARG")</f>
        <v>ARG</v>
      </c>
      <c r="F163" s="38">
        <f ca="1">IFERROR(__xludf.DUMMYFUNCTION("""COMPUTED_VALUE"""),48715531)</f>
        <v>48715531</v>
      </c>
      <c r="G163" s="37">
        <f ca="1">IFERROR(__xludf.DUMMYFUNCTION("""COMPUTED_VALUE"""),39575)</f>
        <v>39575</v>
      </c>
      <c r="H163" s="38">
        <f ca="1">IFERROR(__xludf.DUMMYFUNCTION("""COMPUTED_VALUE"""),1556687314)</f>
        <v>1556687314</v>
      </c>
      <c r="I163" s="38">
        <f ca="1">IFERROR(__xludf.DUMMYFUNCTION("""COMPUTED_VALUE"""),1556687314)</f>
        <v>1556687314</v>
      </c>
      <c r="J163" s="38" t="str">
        <f ca="1">IFERROR(__xludf.DUMMYFUNCTION("""COMPUTED_VALUE"""),"mariananasrala69@gmail.com")</f>
        <v>mariananasrala69@gmail.com</v>
      </c>
      <c r="K163" s="38" t="str">
        <f ca="1">IFERROR(__xludf.DUMMYFUNCTION("""COMPUTED_VALUE"""),"Masculino")</f>
        <v>Masculino</v>
      </c>
      <c r="L163" s="38" t="str">
        <f ca="1">IFERROR(__xludf.DUMMYFUNCTION("""COMPUTED_VALUE"""),"Yca")</f>
        <v>Yca</v>
      </c>
      <c r="M163" s="38"/>
      <c r="N163" s="6" t="str">
        <f ca="1">IFERROR(__xludf.DUMMYFUNCTION("""COMPUTED_VALUE"""),"ILCA 6")</f>
        <v>ILCA 6</v>
      </c>
      <c r="O163" s="6"/>
      <c r="P163" s="6">
        <f ca="1">IFERROR(__xludf.DUMMYFUNCTION("""COMPUTED_VALUE"""),218118)</f>
        <v>218118</v>
      </c>
      <c r="Q163" s="38"/>
      <c r="R163" s="38"/>
      <c r="S163" s="38"/>
      <c r="T163" s="38"/>
      <c r="U163" s="38"/>
      <c r="V163" s="38"/>
      <c r="W163" s="38"/>
      <c r="X163" s="40"/>
      <c r="Y163" s="6" t="str">
        <f ca="1">IFERROR(__xludf.DUMMYFUNCTION("""COMPUTED_VALUE"""),"No")</f>
        <v>No</v>
      </c>
      <c r="Z163" s="38" t="str">
        <f ca="1">IFERROR(__xludf.DUMMYFUNCTION("""COMPUTED_VALUE"""),"Acepto")</f>
        <v>Acepto</v>
      </c>
      <c r="AA163" s="38" t="str">
        <f ca="1">IFERROR(__xludf.DUMMYFUNCTION("""COMPUTED_VALUE"""),"Terminado")</f>
        <v>Terminado</v>
      </c>
      <c r="AB163" s="38">
        <f ca="1">IFERROR(__xludf.DUMMYFUNCTION("""COMPUTED_VALUE"""),45000)</f>
        <v>45000</v>
      </c>
      <c r="AC163" s="6">
        <f ca="1">IFERROR(__xludf.DUMMYFUNCTION("""COMPUTED_VALUE"""),205375)</f>
        <v>205375</v>
      </c>
      <c r="AD163" s="6" t="str">
        <f ca="1">IFERROR(__xludf.DUMMYFUNCTION("""COMPUTED_VALUE"""),"TRF02-09")</f>
        <v>TRF02-09</v>
      </c>
      <c r="AE163" s="6"/>
      <c r="AF163" s="6"/>
    </row>
    <row r="164" spans="1:32" ht="13.2">
      <c r="A164" s="35">
        <f ca="1">IFERROR(__xludf.DUMMYFUNCTION("""COMPUTED_VALUE"""),45537.7455798148)</f>
        <v>45537.7455798148</v>
      </c>
      <c r="B164" s="36" t="str">
        <f ca="1">IFERROR(__xludf.DUMMYFUNCTION("""COMPUTED_VALUE"""),"Agustin")</f>
        <v>Agustin</v>
      </c>
      <c r="C164" s="36" t="str">
        <f ca="1">IFERROR(__xludf.DUMMYFUNCTION("""COMPUTED_VALUE"""),"Layafa")</f>
        <v>Layafa</v>
      </c>
      <c r="D164" s="36" t="str">
        <f ca="1">IFERROR(__xludf.DUMMYFUNCTION("""COMPUTED_VALUE"""),"Parque del plata ")</f>
        <v xml:space="preserve">Parque del plata </v>
      </c>
      <c r="E164" s="38" t="str">
        <f ca="1">IFERROR(__xludf.DUMMYFUNCTION("""COMPUTED_VALUE"""),"URU")</f>
        <v>URU</v>
      </c>
      <c r="F164" s="38">
        <f ca="1">IFERROR(__xludf.DUMMYFUNCTION("""COMPUTED_VALUE"""),59244211)</f>
        <v>59244211</v>
      </c>
      <c r="G164" s="37">
        <f ca="1">IFERROR(__xludf.DUMMYFUNCTION("""COMPUTED_VALUE"""),40770)</f>
        <v>40770</v>
      </c>
      <c r="H164" s="38" t="str">
        <f ca="1">IFERROR(__xludf.DUMMYFUNCTION("""COMPUTED_VALUE"""),"+59899728846")</f>
        <v>+59899728846</v>
      </c>
      <c r="I164" s="38" t="str">
        <f ca="1">IFERROR(__xludf.DUMMYFUNCTION("""COMPUTED_VALUE"""),"+59899976289")</f>
        <v>+59899976289</v>
      </c>
      <c r="J164" s="38" t="str">
        <f ca="1">IFERROR(__xludf.DUMMYFUNCTION("""COMPUTED_VALUE"""),"Mlayafa@hotmail.com")</f>
        <v>Mlayafa@hotmail.com</v>
      </c>
      <c r="K164" s="38" t="str">
        <f ca="1">IFERROR(__xludf.DUMMYFUNCTION("""COMPUTED_VALUE"""),"Masculino")</f>
        <v>Masculino</v>
      </c>
      <c r="L164" s="38" t="str">
        <f ca="1">IFERROR(__xludf.DUMMYFUNCTION("""COMPUTED_VALUE"""),"NYC")</f>
        <v>NYC</v>
      </c>
      <c r="M164" s="38" t="str">
        <f ca="1">IFERROR(__xludf.DUMMYFUNCTION("""COMPUTED_VALUE"""),"Interior (Optimist)")</f>
        <v>Interior (Optimist)</v>
      </c>
      <c r="N164" s="6" t="str">
        <f ca="1">IFERROR(__xludf.DUMMYFUNCTION("""COMPUTED_VALUE"""),"OPTIMIST PRINCIPIANTES")</f>
        <v>OPTIMIST PRINCIPIANTES</v>
      </c>
      <c r="O164" s="6"/>
      <c r="P164" s="6">
        <f ca="1">IFERROR(__xludf.DUMMYFUNCTION("""COMPUTED_VALUE"""),409)</f>
        <v>409</v>
      </c>
      <c r="Q164" s="38" t="str">
        <f ca="1">IFERROR(__xludf.DUMMYFUNCTION("""COMPUTED_VALUE"""),"“ el tata “")</f>
        <v>“ el tata “</v>
      </c>
      <c r="R164" s="38"/>
      <c r="S164" s="38"/>
      <c r="T164" s="38"/>
      <c r="U164" s="38"/>
      <c r="V164" s="38"/>
      <c r="W164" s="38"/>
      <c r="X164" s="40" t="str">
        <f ca="1">IFERROR(__xludf.DUMMYFUNCTION("""COMPUTED_VALUE"""),"Assep")</f>
        <v>Assep</v>
      </c>
      <c r="Y164" s="6" t="str">
        <f ca="1">IFERROR(__xludf.DUMMYFUNCTION("""COMPUTED_VALUE"""),"Si")</f>
        <v>Si</v>
      </c>
      <c r="Z164" s="38" t="str">
        <f ca="1">IFERROR(__xludf.DUMMYFUNCTION("""COMPUTED_VALUE"""),"Acepto")</f>
        <v>Acepto</v>
      </c>
      <c r="AA164" s="38" t="str">
        <f ca="1">IFERROR(__xludf.DUMMYFUNCTION("""COMPUTED_VALUE"""),"Terminado")</f>
        <v>Terminado</v>
      </c>
      <c r="AB164" s="38">
        <f ca="1">IFERROR(__xludf.DUMMYFUNCTION("""COMPUTED_VALUE"""),42500)</f>
        <v>42500</v>
      </c>
      <c r="AC164" s="6">
        <f ca="1">IFERROR(__xludf.DUMMYFUNCTION("""COMPUTED_VALUE"""),205391)</f>
        <v>205391</v>
      </c>
      <c r="AD164" s="6" t="str">
        <f ca="1">IFERROR(__xludf.DUMMYFUNCTION("""COMPUTED_VALUE"""),"TRF 02-09")</f>
        <v>TRF 02-09</v>
      </c>
      <c r="AE164" s="6"/>
      <c r="AF164" s="6"/>
    </row>
    <row r="165" spans="1:32" ht="13.2">
      <c r="A165" s="35">
        <f ca="1">IFERROR(__xludf.DUMMYFUNCTION("""COMPUTED_VALUE"""),45531.792457905)</f>
        <v>45531.792457905001</v>
      </c>
      <c r="B165" s="36" t="str">
        <f ca="1">IFERROR(__xludf.DUMMYFUNCTION("""COMPUTED_VALUE"""),"Agustin")</f>
        <v>Agustin</v>
      </c>
      <c r="C165" s="36" t="str">
        <f ca="1">IFERROR(__xludf.DUMMYFUNCTION("""COMPUTED_VALUE"""),"Lemos Viviant")</f>
        <v>Lemos Viviant</v>
      </c>
      <c r="D165" s="36" t="str">
        <f ca="1">IFERROR(__xludf.DUMMYFUNCTION("""COMPUTED_VALUE"""),"CABA")</f>
        <v>CABA</v>
      </c>
      <c r="E165" s="38" t="str">
        <f ca="1">IFERROR(__xludf.DUMMYFUNCTION("""COMPUTED_VALUE"""),"ARG")</f>
        <v>ARG</v>
      </c>
      <c r="F165" s="38">
        <f ca="1">IFERROR(__xludf.DUMMYFUNCTION("""COMPUTED_VALUE"""),20185318)</f>
        <v>20185318</v>
      </c>
      <c r="G165" s="37">
        <f ca="1">IFERROR(__xludf.DUMMYFUNCTION("""COMPUTED_VALUE"""),40754)</f>
        <v>40754</v>
      </c>
      <c r="H165" s="38">
        <f ca="1">IFERROR(__xludf.DUMMYFUNCTION("""COMPUTED_VALUE"""),1122407512)</f>
        <v>1122407512</v>
      </c>
      <c r="I165" s="38" t="str">
        <f ca="1">IFERROR(__xludf.DUMMYFUNCTION("""COMPUTED_VALUE"""),"01122407512")</f>
        <v>01122407512</v>
      </c>
      <c r="J165" s="38" t="str">
        <f ca="1">IFERROR(__xludf.DUMMYFUNCTION("""COMPUTED_VALUE"""),"jlemos@cema.edu.ar")</f>
        <v>jlemos@cema.edu.ar</v>
      </c>
      <c r="K165" s="38" t="str">
        <f ca="1">IFERROR(__xludf.DUMMYFUNCTION("""COMPUTED_VALUE"""),"Masculino")</f>
        <v>Masculino</v>
      </c>
      <c r="L165" s="38" t="str">
        <f ca="1">IFERROR(__xludf.DUMMYFUNCTION("""COMPUTED_VALUE"""),"CVB")</f>
        <v>CVB</v>
      </c>
      <c r="M165" s="38" t="str">
        <f ca="1">IFERROR(__xludf.DUMMYFUNCTION("""COMPUTED_VALUE"""),"Interior (Optimist)")</f>
        <v>Interior (Optimist)</v>
      </c>
      <c r="N165" s="6" t="str">
        <f ca="1">IFERROR(__xludf.DUMMYFUNCTION("""COMPUTED_VALUE"""),"OPTIMIST PRINCIPIANTES")</f>
        <v>OPTIMIST PRINCIPIANTES</v>
      </c>
      <c r="O165" s="6"/>
      <c r="P165" s="6">
        <f ca="1">IFERROR(__xludf.DUMMYFUNCTION("""COMPUTED_VALUE"""),3856)</f>
        <v>3856</v>
      </c>
      <c r="Q165" s="38" t="str">
        <f ca="1">IFERROR(__xludf.DUMMYFUNCTION("""COMPUTED_VALUE"""),"Agustin lemos viviant")</f>
        <v>Agustin lemos viviant</v>
      </c>
      <c r="R165" s="38"/>
      <c r="S165" s="38"/>
      <c r="T165" s="38"/>
      <c r="U165" s="38"/>
      <c r="V165" s="38"/>
      <c r="W165" s="38"/>
      <c r="X165" s="40" t="str">
        <f ca="1">IFERROR(__xludf.DUMMYFUNCTION("""COMPUTED_VALUE"""),"Swiss medical")</f>
        <v>Swiss medical</v>
      </c>
      <c r="Y165" s="6" t="str">
        <f ca="1">IFERROR(__xludf.DUMMYFUNCTION("""COMPUTED_VALUE"""),"Si")</f>
        <v>Si</v>
      </c>
      <c r="Z165" s="38" t="str">
        <f ca="1">IFERROR(__xludf.DUMMYFUNCTION("""COMPUTED_VALUE"""),"Acepto")</f>
        <v>Acepto</v>
      </c>
      <c r="AA165" s="38" t="str">
        <f ca="1">IFERROR(__xludf.DUMMYFUNCTION("""COMPUTED_VALUE"""),"Terminado")</f>
        <v>Terminado</v>
      </c>
      <c r="AB165" s="38">
        <f ca="1">IFERROR(__xludf.DUMMYFUNCTION("""COMPUTED_VALUE"""),50000)</f>
        <v>50000</v>
      </c>
      <c r="AC165" s="6">
        <f ca="1">IFERROR(__xludf.DUMMYFUNCTION("""COMPUTED_VALUE"""),205062)</f>
        <v>205062</v>
      </c>
      <c r="AD165" s="6" t="str">
        <f ca="1">IFERROR(__xludf.DUMMYFUNCTION("""COMPUTED_VALUE"""),"TRF 27-08")</f>
        <v>TRF 27-08</v>
      </c>
      <c r="AE165" s="6"/>
      <c r="AF165" s="6"/>
    </row>
    <row r="166" spans="1:32" ht="13.2">
      <c r="A166" s="35">
        <f ca="1">IFERROR(__xludf.DUMMYFUNCTION("""COMPUTED_VALUE"""),45532.3776852199)</f>
        <v>45532.377685219901</v>
      </c>
      <c r="B166" s="36" t="str">
        <f ca="1">IFERROR(__xludf.DUMMYFUNCTION("""COMPUTED_VALUE"""),"Grecia")</f>
        <v>Grecia</v>
      </c>
      <c r="C166" s="36" t="str">
        <f ca="1">IFERROR(__xludf.DUMMYFUNCTION("""COMPUTED_VALUE"""),"Lenzetti Colin")</f>
        <v>Lenzetti Colin</v>
      </c>
      <c r="D166" s="36" t="str">
        <f ca="1">IFERROR(__xludf.DUMMYFUNCTION("""COMPUTED_VALUE"""),"La Plata")</f>
        <v>La Plata</v>
      </c>
      <c r="E166" s="38" t="str">
        <f ca="1">IFERROR(__xludf.DUMMYFUNCTION("""COMPUTED_VALUE"""),"ARG")</f>
        <v>ARG</v>
      </c>
      <c r="F166" s="38">
        <f ca="1">IFERROR(__xludf.DUMMYFUNCTION("""COMPUTED_VALUE"""),48922460)</f>
        <v>48922460</v>
      </c>
      <c r="G166" s="37">
        <f ca="1">IFERROR(__xludf.DUMMYFUNCTION("""COMPUTED_VALUE"""),39692)</f>
        <v>39692</v>
      </c>
      <c r="H166" s="38">
        <f ca="1">IFERROR(__xludf.DUMMYFUNCTION("""COMPUTED_VALUE"""),2213573333)</f>
        <v>2213573333</v>
      </c>
      <c r="I166" s="38">
        <f ca="1">IFERROR(__xludf.DUMMYFUNCTION("""COMPUTED_VALUE"""),2213573333)</f>
        <v>2213573333</v>
      </c>
      <c r="J166" s="38" t="str">
        <f ca="1">IFERROR(__xludf.DUMMYFUNCTION("""COMPUTED_VALUE"""),"martin.lenzetti@gmail.com")</f>
        <v>martin.lenzetti@gmail.com</v>
      </c>
      <c r="K166" s="38" t="str">
        <f ca="1">IFERROR(__xludf.DUMMYFUNCTION("""COMPUTED_VALUE"""),"Femenino")</f>
        <v>Femenino</v>
      </c>
      <c r="L166" s="38" t="str">
        <f ca="1">IFERROR(__xludf.DUMMYFUNCTION("""COMPUTED_VALUE"""),"CRLP")</f>
        <v>CRLP</v>
      </c>
      <c r="M166" s="38" t="str">
        <f ca="1">IFERROR(__xludf.DUMMYFUNCTION("""COMPUTED_VALUE"""),"Femenino")</f>
        <v>Femenino</v>
      </c>
      <c r="N166" s="6" t="str">
        <f ca="1">IFERROR(__xludf.DUMMYFUNCTION("""COMPUTED_VALUE"""),"ILCA 4")</f>
        <v>ILCA 4</v>
      </c>
      <c r="O166" s="6"/>
      <c r="P166" s="6">
        <f ca="1">IFERROR(__xludf.DUMMYFUNCTION("""COMPUTED_VALUE"""),221267)</f>
        <v>221267</v>
      </c>
      <c r="Q166" s="38"/>
      <c r="R166" s="38"/>
      <c r="S166" s="38"/>
      <c r="T166" s="38"/>
      <c r="U166" s="38"/>
      <c r="V166" s="38"/>
      <c r="W166" s="38"/>
      <c r="X166" s="40" t="str">
        <f ca="1">IFERROR(__xludf.DUMMYFUNCTION("""COMPUTED_VALUE"""),"Swiss Medical / Nº8000063965174030015")</f>
        <v>Swiss Medical / Nº8000063965174030015</v>
      </c>
      <c r="Y166" s="6" t="str">
        <f ca="1">IFERROR(__xludf.DUMMYFUNCTION("""COMPUTED_VALUE"""),"No")</f>
        <v>No</v>
      </c>
      <c r="Z166" s="38" t="str">
        <f ca="1">IFERROR(__xludf.DUMMYFUNCTION("""COMPUTED_VALUE"""),"Acepto")</f>
        <v>Acepto</v>
      </c>
      <c r="AA166" s="38" t="str">
        <f ca="1">IFERROR(__xludf.DUMMYFUNCTION("""COMPUTED_VALUE"""),"Terminado")</f>
        <v>Terminado</v>
      </c>
      <c r="AB166" s="38">
        <f ca="1">IFERROR(__xludf.DUMMYFUNCTION("""COMPUTED_VALUE"""),45000)</f>
        <v>45000</v>
      </c>
      <c r="AC166" s="6">
        <f ca="1">IFERROR(__xludf.DUMMYFUNCTION("""COMPUTED_VALUE"""),205065)</f>
        <v>205065</v>
      </c>
      <c r="AD166" s="6" t="str">
        <f ca="1">IFERROR(__xludf.DUMMYFUNCTION("""COMPUTED_VALUE"""),"TRF 28-08")</f>
        <v>TRF 28-08</v>
      </c>
      <c r="AE166" s="6"/>
      <c r="AF166" s="6"/>
    </row>
    <row r="167" spans="1:32" ht="13.2">
      <c r="A167" s="35">
        <f ca="1">IFERROR(__xludf.DUMMYFUNCTION("""COMPUTED_VALUE"""),45532.5297163773)</f>
        <v>45532.529716377299</v>
      </c>
      <c r="B167" s="36" t="str">
        <f ca="1">IFERROR(__xludf.DUMMYFUNCTION("""COMPUTED_VALUE"""),"Emma")</f>
        <v>Emma</v>
      </c>
      <c r="C167" s="36" t="str">
        <f ca="1">IFERROR(__xludf.DUMMYFUNCTION("""COMPUTED_VALUE"""),"Lenzetti Colin ")</f>
        <v xml:space="preserve">Lenzetti Colin </v>
      </c>
      <c r="D167" s="36" t="str">
        <f ca="1">IFERROR(__xludf.DUMMYFUNCTION("""COMPUTED_VALUE"""),"La Plata ")</f>
        <v xml:space="preserve">La Plata </v>
      </c>
      <c r="E167" s="38" t="str">
        <f ca="1">IFERROR(__xludf.DUMMYFUNCTION("""COMPUTED_VALUE"""),"ARG")</f>
        <v>ARG</v>
      </c>
      <c r="F167" s="38">
        <f ca="1">IFERROR(__xludf.DUMMYFUNCTION("""COMPUTED_VALUE"""),51261170)</f>
        <v>51261170</v>
      </c>
      <c r="G167" s="37">
        <f ca="1">IFERROR(__xludf.DUMMYFUNCTION("""COMPUTED_VALUE"""),40755)</f>
        <v>40755</v>
      </c>
      <c r="H167" s="38">
        <f ca="1">IFERROR(__xludf.DUMMYFUNCTION("""COMPUTED_VALUE"""),2216112066)</f>
        <v>2216112066</v>
      </c>
      <c r="I167" s="38">
        <f ca="1">IFERROR(__xludf.DUMMYFUNCTION("""COMPUTED_VALUE"""),2213573333)</f>
        <v>2213573333</v>
      </c>
      <c r="J167" s="38" t="str">
        <f ca="1">IFERROR(__xludf.DUMMYFUNCTION("""COMPUTED_VALUE"""),"emmalenzetticolin@gmail.com")</f>
        <v>emmalenzetticolin@gmail.com</v>
      </c>
      <c r="K167" s="38" t="str">
        <f ca="1">IFERROR(__xludf.DUMMYFUNCTION("""COMPUTED_VALUE"""),"Femenino")</f>
        <v>Femenino</v>
      </c>
      <c r="L167" s="38" t="str">
        <f ca="1">IFERROR(__xludf.DUMMYFUNCTION("""COMPUTED_VALUE"""),"CRLP")</f>
        <v>CRLP</v>
      </c>
      <c r="M167" s="38" t="str">
        <f ca="1">IFERROR(__xludf.DUMMYFUNCTION("""COMPUTED_VALUE"""),"Femenino")</f>
        <v>Femenino</v>
      </c>
      <c r="N167" s="6" t="str">
        <f ca="1">IFERROR(__xludf.DUMMYFUNCTION("""COMPUTED_VALUE"""),"OPTIMIST TIMONELES")</f>
        <v>OPTIMIST TIMONELES</v>
      </c>
      <c r="O167" s="6"/>
      <c r="P167" s="6">
        <f ca="1">IFERROR(__xludf.DUMMYFUNCTION("""COMPUTED_VALUE"""),3754)</f>
        <v>3754</v>
      </c>
      <c r="Q167" s="38"/>
      <c r="R167" s="38"/>
      <c r="S167" s="38"/>
      <c r="T167" s="38"/>
      <c r="U167" s="38"/>
      <c r="V167" s="38"/>
      <c r="W167" s="38"/>
      <c r="X167" s="40" t="str">
        <f ca="1">IFERROR(__xludf.DUMMYFUNCTION("""COMPUTED_VALUE"""),"swiss medical 800006 3965174 04 0014")</f>
        <v>swiss medical 800006 3965174 04 0014</v>
      </c>
      <c r="Y167" s="6" t="str">
        <f ca="1">IFERROR(__xludf.DUMMYFUNCTION("""COMPUTED_VALUE"""),"Si")</f>
        <v>Si</v>
      </c>
      <c r="Z167" s="38" t="str">
        <f ca="1">IFERROR(__xludf.DUMMYFUNCTION("""COMPUTED_VALUE"""),"Acepto")</f>
        <v>Acepto</v>
      </c>
      <c r="AA167" s="38" t="str">
        <f ca="1">IFERROR(__xludf.DUMMYFUNCTION("""COMPUTED_VALUE"""),"Terminado")</f>
        <v>Terminado</v>
      </c>
      <c r="AB167" s="38">
        <f ca="1">IFERROR(__xludf.DUMMYFUNCTION("""COMPUTED_VALUE"""),50000)</f>
        <v>50000</v>
      </c>
      <c r="AC167" s="6">
        <f ca="1">IFERROR(__xludf.DUMMYFUNCTION("""COMPUTED_VALUE"""),205067)</f>
        <v>205067</v>
      </c>
      <c r="AD167" s="6" t="str">
        <f ca="1">IFERROR(__xludf.DUMMYFUNCTION("""COMPUTED_VALUE"""),"TRF 28-08")</f>
        <v>TRF 28-08</v>
      </c>
      <c r="AE167" s="6"/>
      <c r="AF167" s="6"/>
    </row>
    <row r="168" spans="1:32" ht="13.2">
      <c r="A168" s="35">
        <f ca="1">IFERROR(__xludf.DUMMYFUNCTION("""COMPUTED_VALUE"""),45538.7790147222)</f>
        <v>45538.779014722197</v>
      </c>
      <c r="B168" s="36" t="str">
        <f ca="1">IFERROR(__xludf.DUMMYFUNCTION("""COMPUTED_VALUE"""),"María Trinidad ")</f>
        <v xml:space="preserve">María Trinidad </v>
      </c>
      <c r="C168" s="36" t="str">
        <f ca="1">IFERROR(__xludf.DUMMYFUNCTION("""COMPUTED_VALUE"""),"León Herrán")</f>
        <v>León Herrán</v>
      </c>
      <c r="D168" s="36" t="str">
        <f ca="1">IFERROR(__xludf.DUMMYFUNCTION("""COMPUTED_VALUE"""),"CABA")</f>
        <v>CABA</v>
      </c>
      <c r="E168" s="38" t="str">
        <f ca="1">IFERROR(__xludf.DUMMYFUNCTION("""COMPUTED_VALUE"""),"ARG")</f>
        <v>ARG</v>
      </c>
      <c r="F168" s="38">
        <f ca="1">IFERROR(__xludf.DUMMYFUNCTION("""COMPUTED_VALUE"""),49701997)</f>
        <v>49701997</v>
      </c>
      <c r="G168" s="37">
        <f ca="1">IFERROR(__xludf.DUMMYFUNCTION("""COMPUTED_VALUE"""),40052)</f>
        <v>40052</v>
      </c>
      <c r="H168" s="38">
        <f ca="1">IFERROR(__xludf.DUMMYFUNCTION("""COMPUTED_VALUE"""),1155842334)</f>
        <v>1155842334</v>
      </c>
      <c r="I168" s="38">
        <f ca="1">IFERROR(__xludf.DUMMYFUNCTION("""COMPUTED_VALUE"""),1155842334)</f>
        <v>1155842334</v>
      </c>
      <c r="J168" s="38" t="str">
        <f ca="1">IFERROR(__xludf.DUMMYFUNCTION("""COMPUTED_VALUE"""),"l.a.leon80@gmail.com")</f>
        <v>l.a.leon80@gmail.com</v>
      </c>
      <c r="K168" s="38" t="str">
        <f ca="1">IFERROR(__xludf.DUMMYFUNCTION("""COMPUTED_VALUE"""),"Femenino")</f>
        <v>Femenino</v>
      </c>
      <c r="L168" s="38" t="str">
        <f ca="1">IFERROR(__xludf.DUMMYFUNCTION("""COMPUTED_VALUE"""),"CUBA")</f>
        <v>CUBA</v>
      </c>
      <c r="M168" s="38" t="str">
        <f ca="1">IFERROR(__xludf.DUMMYFUNCTION("""COMPUTED_VALUE"""),"Femenino")</f>
        <v>Femenino</v>
      </c>
      <c r="N168" s="6" t="str">
        <f ca="1">IFERROR(__xludf.DUMMYFUNCTION("""COMPUTED_VALUE"""),"OPTIMIST TIMONELES")</f>
        <v>OPTIMIST TIMONELES</v>
      </c>
      <c r="O168" s="6"/>
      <c r="P168" s="6">
        <f ca="1">IFERROR(__xludf.DUMMYFUNCTION("""COMPUTED_VALUE"""),3721)</f>
        <v>3721</v>
      </c>
      <c r="Q168" s="38"/>
      <c r="R168" s="38"/>
      <c r="S168" s="38"/>
      <c r="T168" s="38"/>
      <c r="U168" s="38"/>
      <c r="V168" s="38"/>
      <c r="W168" s="38"/>
      <c r="X168" s="40">
        <f ca="1">IFERROR(__xludf.DUMMYFUNCTION("""COMPUTED_VALUE"""),61628272803)</f>
        <v>61628272803</v>
      </c>
      <c r="Y168" s="6" t="str">
        <f ca="1">IFERROR(__xludf.DUMMYFUNCTION("""COMPUTED_VALUE"""),"No")</f>
        <v>No</v>
      </c>
      <c r="Z168" s="38" t="str">
        <f ca="1">IFERROR(__xludf.DUMMYFUNCTION("""COMPUTED_VALUE"""),"Acepto")</f>
        <v>Acepto</v>
      </c>
      <c r="AA168" s="38" t="str">
        <f ca="1">IFERROR(__xludf.DUMMYFUNCTION("""COMPUTED_VALUE"""),"Terminado")</f>
        <v>Terminado</v>
      </c>
      <c r="AB168" s="38">
        <f ca="1">IFERROR(__xludf.DUMMYFUNCTION("""COMPUTED_VALUE"""),50000)</f>
        <v>50000</v>
      </c>
      <c r="AC168" s="6">
        <f ca="1">IFERROR(__xludf.DUMMYFUNCTION("""COMPUTED_VALUE"""),205471)</f>
        <v>205471</v>
      </c>
      <c r="AD168" s="6" t="str">
        <f ca="1">IFERROR(__xludf.DUMMYFUNCTION("""COMPUTED_VALUE"""),"TRF 03-09")</f>
        <v>TRF 03-09</v>
      </c>
      <c r="AE168" s="6"/>
      <c r="AF168" s="6"/>
    </row>
    <row r="169" spans="1:32" ht="13.2">
      <c r="A169" s="35">
        <f ca="1">IFERROR(__xludf.DUMMYFUNCTION("""COMPUTED_VALUE"""),45535.520852743)</f>
        <v>45535.520852743</v>
      </c>
      <c r="B169" s="36" t="str">
        <f ca="1">IFERROR(__xludf.DUMMYFUNCTION("""COMPUTED_VALUE"""),"Beltran ")</f>
        <v xml:space="preserve">Beltran </v>
      </c>
      <c r="C169" s="36" t="str">
        <f ca="1">IFERROR(__xludf.DUMMYFUNCTION("""COMPUTED_VALUE"""),"Lepori")</f>
        <v>Lepori</v>
      </c>
      <c r="D169" s="36" t="str">
        <f ca="1">IFERROR(__xludf.DUMMYFUNCTION("""COMPUTED_VALUE"""),"CABA")</f>
        <v>CABA</v>
      </c>
      <c r="E169" s="38" t="str">
        <f ca="1">IFERROR(__xludf.DUMMYFUNCTION("""COMPUTED_VALUE"""),"ARG")</f>
        <v>ARG</v>
      </c>
      <c r="F169" s="38">
        <f ca="1">IFERROR(__xludf.DUMMYFUNCTION("""COMPUTED_VALUE"""),47436729)</f>
        <v>47436729</v>
      </c>
      <c r="G169" s="37">
        <f ca="1">IFERROR(__xludf.DUMMYFUNCTION("""COMPUTED_VALUE"""),38946)</f>
        <v>38946</v>
      </c>
      <c r="H169" s="38">
        <f ca="1">IFERROR(__xludf.DUMMYFUNCTION("""COMPUTED_VALUE"""),1163353841)</f>
        <v>1163353841</v>
      </c>
      <c r="I169" s="38">
        <f ca="1">IFERROR(__xludf.DUMMYFUNCTION("""COMPUTED_VALUE"""),1561528948)</f>
        <v>1561528948</v>
      </c>
      <c r="J169" s="38" t="str">
        <f ca="1">IFERROR(__xludf.DUMMYFUNCTION("""COMPUTED_VALUE"""),"bi.lepori@scms.edu.ar")</f>
        <v>bi.lepori@scms.edu.ar</v>
      </c>
      <c r="K169" s="38" t="str">
        <f ca="1">IFERROR(__xludf.DUMMYFUNCTION("""COMPUTED_VALUE"""),"Masculino")</f>
        <v>Masculino</v>
      </c>
      <c r="L169" s="38" t="str">
        <f ca="1">IFERROR(__xludf.DUMMYFUNCTION("""COMPUTED_VALUE"""),"YCA")</f>
        <v>YCA</v>
      </c>
      <c r="M169" s="38"/>
      <c r="N169" s="6">
        <f ca="1">IFERROR(__xludf.DUMMYFUNCTION("""COMPUTED_VALUE"""),420)</f>
        <v>420</v>
      </c>
      <c r="O169" s="6" t="str">
        <f ca="1">IFERROR(__xludf.DUMMYFUNCTION("""COMPUTED_VALUE"""),"02")</f>
        <v>02</v>
      </c>
      <c r="P169" s="6">
        <f ca="1">IFERROR(__xludf.DUMMYFUNCTION("""COMPUTED_VALUE"""),57295)</f>
        <v>57295</v>
      </c>
      <c r="Q169" s="38" t="str">
        <f ca="1">IFERROR(__xludf.DUMMYFUNCTION("""COMPUTED_VALUE"""),"KATANGA")</f>
        <v>KATANGA</v>
      </c>
      <c r="R169" s="38" t="str">
        <f ca="1">IFERROR(__xludf.DUMMYFUNCTION("""COMPUTED_VALUE"""),"Celeste Parini")</f>
        <v>Celeste Parini</v>
      </c>
      <c r="S169" s="38"/>
      <c r="T169" s="38"/>
      <c r="U169" s="38"/>
      <c r="V169" s="38"/>
      <c r="W169" s="38"/>
      <c r="X169" s="40" t="str">
        <f ca="1">IFERROR(__xludf.DUMMYFUNCTION("""COMPUTED_VALUE"""),"OSDE")</f>
        <v>OSDE</v>
      </c>
      <c r="Y169" s="6" t="str">
        <f ca="1">IFERROR(__xludf.DUMMYFUNCTION("""COMPUTED_VALUE"""),"No")</f>
        <v>No</v>
      </c>
      <c r="Z169" s="38" t="str">
        <f ca="1">IFERROR(__xludf.DUMMYFUNCTION("""COMPUTED_VALUE"""),"Acepto")</f>
        <v>Acepto</v>
      </c>
      <c r="AA169" s="38" t="str">
        <f ca="1">IFERROR(__xludf.DUMMYFUNCTION("""COMPUTED_VALUE"""),"Repetido")</f>
        <v>Repetido</v>
      </c>
      <c r="AB169" s="38"/>
      <c r="AC169" s="6"/>
      <c r="AD169" s="6"/>
      <c r="AE169" s="6"/>
      <c r="AF169" s="6"/>
    </row>
    <row r="170" spans="1:32" ht="13.2">
      <c r="A170" s="35">
        <f ca="1">IFERROR(__xludf.DUMMYFUNCTION("""COMPUTED_VALUE"""),45536.8186180324)</f>
        <v>45536.818618032397</v>
      </c>
      <c r="B170" s="36" t="str">
        <f ca="1">IFERROR(__xludf.DUMMYFUNCTION("""COMPUTED_VALUE"""),"Beltran ")</f>
        <v xml:space="preserve">Beltran </v>
      </c>
      <c r="C170" s="36" t="str">
        <f ca="1">IFERROR(__xludf.DUMMYFUNCTION("""COMPUTED_VALUE"""),"Lepori")</f>
        <v>Lepori</v>
      </c>
      <c r="D170" s="36" t="str">
        <f ca="1">IFERROR(__xludf.DUMMYFUNCTION("""COMPUTED_VALUE"""),"CABA")</f>
        <v>CABA</v>
      </c>
      <c r="E170" s="38" t="str">
        <f ca="1">IFERROR(__xludf.DUMMYFUNCTION("""COMPUTED_VALUE"""),"ARG")</f>
        <v>ARG</v>
      </c>
      <c r="F170" s="38">
        <f ca="1">IFERROR(__xludf.DUMMYFUNCTION("""COMPUTED_VALUE"""),47436729)</f>
        <v>47436729</v>
      </c>
      <c r="G170" s="37">
        <f ca="1">IFERROR(__xludf.DUMMYFUNCTION("""COMPUTED_VALUE"""),38946)</f>
        <v>38946</v>
      </c>
      <c r="H170" s="38" t="str">
        <f ca="1">IFERROR(__xludf.DUMMYFUNCTION("""COMPUTED_VALUE"""),"6335-3841")</f>
        <v>6335-3841</v>
      </c>
      <c r="I170" s="38">
        <f ca="1">IFERROR(__xludf.DUMMYFUNCTION("""COMPUTED_VALUE"""),1561528948)</f>
        <v>1561528948</v>
      </c>
      <c r="J170" s="38" t="str">
        <f ca="1">IFERROR(__xludf.DUMMYFUNCTION("""COMPUTED_VALUE"""),"bi.lepori@scms.edu.ar")</f>
        <v>bi.lepori@scms.edu.ar</v>
      </c>
      <c r="K170" s="38" t="str">
        <f ca="1">IFERROR(__xludf.DUMMYFUNCTION("""COMPUTED_VALUE"""),"Masculino")</f>
        <v>Masculino</v>
      </c>
      <c r="L170" s="38" t="str">
        <f ca="1">IFERROR(__xludf.DUMMYFUNCTION("""COMPUTED_VALUE"""),"YCA")</f>
        <v>YCA</v>
      </c>
      <c r="M170" s="38"/>
      <c r="N170" s="6">
        <f ca="1">IFERROR(__xludf.DUMMYFUNCTION("""COMPUTED_VALUE"""),420)</f>
        <v>420</v>
      </c>
      <c r="O170" s="6" t="str">
        <f ca="1">IFERROR(__xludf.DUMMYFUNCTION("""COMPUTED_VALUE"""),"02")</f>
        <v>02</v>
      </c>
      <c r="P170" s="6">
        <f ca="1">IFERROR(__xludf.DUMMYFUNCTION("""COMPUTED_VALUE"""),57295)</f>
        <v>57295</v>
      </c>
      <c r="Q170" s="38" t="str">
        <f ca="1">IFERROR(__xludf.DUMMYFUNCTION("""COMPUTED_VALUE"""),"KATANGA")</f>
        <v>KATANGA</v>
      </c>
      <c r="R170" s="38" t="str">
        <f ca="1">IFERROR(__xludf.DUMMYFUNCTION("""COMPUTED_VALUE"""),"Celeste Parini")</f>
        <v>Celeste Parini</v>
      </c>
      <c r="S170" s="38"/>
      <c r="T170" s="38"/>
      <c r="U170" s="38"/>
      <c r="V170" s="38"/>
      <c r="W170" s="38"/>
      <c r="X170" s="40"/>
      <c r="Y170" s="6" t="str">
        <f ca="1">IFERROR(__xludf.DUMMYFUNCTION("""COMPUTED_VALUE"""),"No")</f>
        <v>No</v>
      </c>
      <c r="Z170" s="38" t="str">
        <f ca="1">IFERROR(__xludf.DUMMYFUNCTION("""COMPUTED_VALUE"""),"Acepto")</f>
        <v>Acepto</v>
      </c>
      <c r="AA170" s="38" t="str">
        <f ca="1">IFERROR(__xludf.DUMMYFUNCTION("""COMPUTED_VALUE"""),"Terminado")</f>
        <v>Terminado</v>
      </c>
      <c r="AB170" s="38">
        <f ca="1">IFERROR(__xludf.DUMMYFUNCTION("""COMPUTED_VALUE"""),65000)</f>
        <v>65000</v>
      </c>
      <c r="AC170" s="6">
        <f ca="1">IFERROR(__xludf.DUMMYFUNCTION("""COMPUTED_VALUE"""),205548)</f>
        <v>205548</v>
      </c>
      <c r="AD170" s="6" t="str">
        <f ca="1">IFERROR(__xludf.DUMMYFUNCTION("""COMPUTED_VALUE"""),"TRF 06-09")</f>
        <v>TRF 06-09</v>
      </c>
      <c r="AE170" s="6"/>
      <c r="AF170" s="6"/>
    </row>
    <row r="171" spans="1:32" ht="13.2">
      <c r="A171" s="35">
        <f ca="1">IFERROR(__xludf.DUMMYFUNCTION("""COMPUTED_VALUE"""),45536.5725109606)</f>
        <v>45536.572510960599</v>
      </c>
      <c r="B171" s="36" t="str">
        <f ca="1">IFERROR(__xludf.DUMMYFUNCTION("""COMPUTED_VALUE"""),"Felipe")</f>
        <v>Felipe</v>
      </c>
      <c r="C171" s="36" t="str">
        <f ca="1">IFERROR(__xludf.DUMMYFUNCTION("""COMPUTED_VALUE"""),"Lerner")</f>
        <v>Lerner</v>
      </c>
      <c r="D171" s="36" t="str">
        <f ca="1">IFERROR(__xludf.DUMMYFUNCTION("""COMPUTED_VALUE"""),"Buenos Aires")</f>
        <v>Buenos Aires</v>
      </c>
      <c r="E171" s="38" t="str">
        <f ca="1">IFERROR(__xludf.DUMMYFUNCTION("""COMPUTED_VALUE"""),"ARG")</f>
        <v>ARG</v>
      </c>
      <c r="F171" s="38">
        <f ca="1">IFERROR(__xludf.DUMMYFUNCTION("""COMPUTED_VALUE"""),50419847)</f>
        <v>50419847</v>
      </c>
      <c r="G171" s="37">
        <f ca="1">IFERROR(__xludf.DUMMYFUNCTION("""COMPUTED_VALUE"""),40408)</f>
        <v>40408</v>
      </c>
      <c r="H171" s="38">
        <f ca="1">IFERROR(__xludf.DUMMYFUNCTION("""COMPUTED_VALUE"""),1155813709)</f>
        <v>1155813709</v>
      </c>
      <c r="I171" s="38">
        <f ca="1">IFERROR(__xludf.DUMMYFUNCTION("""COMPUTED_VALUE"""),1136512492)</f>
        <v>1136512492</v>
      </c>
      <c r="J171" s="38" t="str">
        <f ca="1">IFERROR(__xludf.DUMMYFUNCTION("""COMPUTED_VALUE"""),"nitoler@gmail.com")</f>
        <v>nitoler@gmail.com</v>
      </c>
      <c r="K171" s="38" t="str">
        <f ca="1">IFERROR(__xludf.DUMMYFUNCTION("""COMPUTED_VALUE"""),"Masculino")</f>
        <v>Masculino</v>
      </c>
      <c r="L171" s="38" t="str">
        <f ca="1">IFERROR(__xludf.DUMMYFUNCTION("""COMPUTED_VALUE"""),"CNAz")</f>
        <v>CNAz</v>
      </c>
      <c r="M171" s="38" t="str">
        <f ca="1">IFERROR(__xludf.DUMMYFUNCTION("""COMPUTED_VALUE"""),"Interior (Optimist)")</f>
        <v>Interior (Optimist)</v>
      </c>
      <c r="N171" s="6" t="str">
        <f ca="1">IFERROR(__xludf.DUMMYFUNCTION("""COMPUTED_VALUE"""),"OPTIMIST PRINCIPIANTES")</f>
        <v>OPTIMIST PRINCIPIANTES</v>
      </c>
      <c r="O171" s="6"/>
      <c r="P171" s="6">
        <f ca="1">IFERROR(__xludf.DUMMYFUNCTION("""COMPUTED_VALUE"""),3405)</f>
        <v>3405</v>
      </c>
      <c r="Q171" s="38" t="str">
        <f ca="1">IFERROR(__xludf.DUMMYFUNCTION("""COMPUTED_VALUE"""),"VALTRIEK")</f>
        <v>VALTRIEK</v>
      </c>
      <c r="R171" s="38"/>
      <c r="S171" s="38"/>
      <c r="T171" s="38"/>
      <c r="U171" s="38"/>
      <c r="V171" s="38"/>
      <c r="W171" s="38"/>
      <c r="X171" s="40" t="str">
        <f ca="1">IFERROR(__xludf.DUMMYFUNCTION("""COMPUTED_VALUE"""),"OSDE")</f>
        <v>OSDE</v>
      </c>
      <c r="Y171" s="6" t="str">
        <f ca="1">IFERROR(__xludf.DUMMYFUNCTION("""COMPUTED_VALUE"""),"Si")</f>
        <v>Si</v>
      </c>
      <c r="Z171" s="38" t="str">
        <f ca="1">IFERROR(__xludf.DUMMYFUNCTION("""COMPUTED_VALUE"""),"Acepto")</f>
        <v>Acepto</v>
      </c>
      <c r="AA171" s="38" t="str">
        <f ca="1">IFERROR(__xludf.DUMMYFUNCTION("""COMPUTED_VALUE"""),"Pendiente")</f>
        <v>Pendiente</v>
      </c>
      <c r="AB171" s="38"/>
      <c r="AC171" s="6"/>
      <c r="AD171" s="6"/>
      <c r="AE171" s="6"/>
      <c r="AF171" s="6"/>
    </row>
    <row r="172" spans="1:32" ht="13.2">
      <c r="A172" s="35">
        <f ca="1">IFERROR(__xludf.DUMMYFUNCTION("""COMPUTED_VALUE"""),45535.6062299884)</f>
        <v>45535.6062299884</v>
      </c>
      <c r="B172" s="36" t="str">
        <f ca="1">IFERROR(__xludf.DUMMYFUNCTION("""COMPUTED_VALUE"""),"Helena")</f>
        <v>Helena</v>
      </c>
      <c r="C172" s="36" t="str">
        <f ca="1">IFERROR(__xludf.DUMMYFUNCTION("""COMPUTED_VALUE"""),"Lezana")</f>
        <v>Lezana</v>
      </c>
      <c r="D172" s="36" t="str">
        <f ca="1">IFERROR(__xludf.DUMMYFUNCTION("""COMPUTED_VALUE"""),"Zárate ")</f>
        <v xml:space="preserve">Zárate </v>
      </c>
      <c r="E172" s="38" t="str">
        <f ca="1">IFERROR(__xludf.DUMMYFUNCTION("""COMPUTED_VALUE"""),"ARG")</f>
        <v>ARG</v>
      </c>
      <c r="F172" s="38">
        <f ca="1">IFERROR(__xludf.DUMMYFUNCTION("""COMPUTED_VALUE"""),52977090)</f>
        <v>52977090</v>
      </c>
      <c r="G172" s="37">
        <f ca="1">IFERROR(__xludf.DUMMYFUNCTION("""COMPUTED_VALUE"""),41311)</f>
        <v>41311</v>
      </c>
      <c r="H172" s="38">
        <f ca="1">IFERROR(__xludf.DUMMYFUNCTION("""COMPUTED_VALUE"""),3487291980)</f>
        <v>3487291980</v>
      </c>
      <c r="I172" s="38">
        <f ca="1">IFERROR(__xludf.DUMMYFUNCTION("""COMPUTED_VALUE"""),3487291980)</f>
        <v>3487291980</v>
      </c>
      <c r="J172" s="38" t="str">
        <f ca="1">IFERROR(__xludf.DUMMYFUNCTION("""COMPUTED_VALUE"""),"carinaveronicatizi@gmail.com")</f>
        <v>carinaveronicatizi@gmail.com</v>
      </c>
      <c r="K172" s="38" t="str">
        <f ca="1">IFERROR(__xludf.DUMMYFUNCTION("""COMPUTED_VALUE"""),"Femenino")</f>
        <v>Femenino</v>
      </c>
      <c r="L172" s="38" t="str">
        <f ca="1">IFERROR(__xludf.DUMMYFUNCTION("""COMPUTED_VALUE"""),"CNZ")</f>
        <v>CNZ</v>
      </c>
      <c r="M172" s="38" t="str">
        <f ca="1">IFERROR(__xludf.DUMMYFUNCTION("""COMPUTED_VALUE"""),"Interior (Optimist)")</f>
        <v>Interior (Optimist)</v>
      </c>
      <c r="N172" s="6" t="str">
        <f ca="1">IFERROR(__xludf.DUMMYFUNCTION("""COMPUTED_VALUE"""),"OPTIMIST TIMONELES")</f>
        <v>OPTIMIST TIMONELES</v>
      </c>
      <c r="O172" s="6"/>
      <c r="P172" s="6">
        <f ca="1">IFERROR(__xludf.DUMMYFUNCTION("""COMPUTED_VALUE"""),3457)</f>
        <v>3457</v>
      </c>
      <c r="Q172" s="38" t="str">
        <f ca="1">IFERROR(__xludf.DUMMYFUNCTION("""COMPUTED_VALUE"""),"Rulos Traviesos")</f>
        <v>Rulos Traviesos</v>
      </c>
      <c r="R172" s="38"/>
      <c r="S172" s="38"/>
      <c r="T172" s="38"/>
      <c r="U172" s="38"/>
      <c r="V172" s="38"/>
      <c r="W172" s="38"/>
      <c r="X172" s="40" t="str">
        <f ca="1">IFERROR(__xludf.DUMMYFUNCTION("""COMPUTED_VALUE"""),"OSDE")</f>
        <v>OSDE</v>
      </c>
      <c r="Y172" s="6" t="str">
        <f ca="1">IFERROR(__xludf.DUMMYFUNCTION("""COMPUTED_VALUE"""),"No")</f>
        <v>No</v>
      </c>
      <c r="Z172" s="38" t="str">
        <f ca="1">IFERROR(__xludf.DUMMYFUNCTION("""COMPUTED_VALUE"""),"Acepto")</f>
        <v>Acepto</v>
      </c>
      <c r="AA172" s="38" t="str">
        <f ca="1">IFERROR(__xludf.DUMMYFUNCTION("""COMPUTED_VALUE"""),"Terminado")</f>
        <v>Terminado</v>
      </c>
      <c r="AB172" s="38">
        <f ca="1">IFERROR(__xludf.DUMMYFUNCTION("""COMPUTED_VALUE"""),50000)</f>
        <v>50000</v>
      </c>
      <c r="AC172" s="6">
        <f ca="1">IFERROR(__xludf.DUMMYFUNCTION("""COMPUTED_VALUE"""),205345)</f>
        <v>205345</v>
      </c>
      <c r="AD172" s="6" t="str">
        <f ca="1">IFERROR(__xludf.DUMMYFUNCTION("""COMPUTED_VALUE"""),"TRF 31-08")</f>
        <v>TRF 31-08</v>
      </c>
      <c r="AE172" s="6"/>
      <c r="AF172" s="6"/>
    </row>
    <row r="173" spans="1:32" ht="13.2">
      <c r="A173" s="35">
        <f ca="1">IFERROR(__xludf.DUMMYFUNCTION("""COMPUTED_VALUE"""),45536.8944227777)</f>
        <v>45536.894422777703</v>
      </c>
      <c r="B173" s="36" t="str">
        <f ca="1">IFERROR(__xludf.DUMMYFUNCTION("""COMPUTED_VALUE"""),"Juan Martin ")</f>
        <v xml:space="preserve">Juan Martin </v>
      </c>
      <c r="C173" s="36" t="str">
        <f ca="1">IFERROR(__xludf.DUMMYFUNCTION("""COMPUTED_VALUE"""),"Locatelli")</f>
        <v>Locatelli</v>
      </c>
      <c r="D173" s="36" t="str">
        <f ca="1">IFERROR(__xludf.DUMMYFUNCTION("""COMPUTED_VALUE"""),"Vicente Lopez")</f>
        <v>Vicente Lopez</v>
      </c>
      <c r="E173" s="38" t="str">
        <f ca="1">IFERROR(__xludf.DUMMYFUNCTION("""COMPUTED_VALUE"""),"ARG")</f>
        <v>ARG</v>
      </c>
      <c r="F173" s="38">
        <f ca="1">IFERROR(__xludf.DUMMYFUNCTION("""COMPUTED_VALUE"""),22826013)</f>
        <v>22826013</v>
      </c>
      <c r="G173" s="37">
        <f ca="1">IFERROR(__xludf.DUMMYFUNCTION("""COMPUTED_VALUE"""),26535)</f>
        <v>26535</v>
      </c>
      <c r="H173" s="38" t="str">
        <f ca="1">IFERROR(__xludf.DUMMYFUNCTION("""COMPUTED_VALUE"""),"01154561383")</f>
        <v>01154561383</v>
      </c>
      <c r="I173" s="38" t="str">
        <f ca="1">IFERROR(__xludf.DUMMYFUNCTION("""COMPUTED_VALUE"""),"01150229370")</f>
        <v>01150229370</v>
      </c>
      <c r="J173" s="38" t="str">
        <f ca="1">IFERROR(__xludf.DUMMYFUNCTION("""COMPUTED_VALUE"""),"juanlocatelli@gmail.com")</f>
        <v>juanlocatelli@gmail.com</v>
      </c>
      <c r="K173" s="38" t="str">
        <f ca="1">IFERROR(__xludf.DUMMYFUNCTION("""COMPUTED_VALUE"""),"Masculino")</f>
        <v>Masculino</v>
      </c>
      <c r="L173" s="38" t="str">
        <f ca="1">IFERROR(__xludf.DUMMYFUNCTION("""COMPUTED_VALUE"""),"CNO")</f>
        <v>CNO</v>
      </c>
      <c r="M173" s="38" t="str">
        <f ca="1">IFERROR(__xludf.DUMMYFUNCTION("""COMPUTED_VALUE"""),"Star")</f>
        <v>Star</v>
      </c>
      <c r="N173" s="6" t="str">
        <f ca="1">IFERROR(__xludf.DUMMYFUNCTION("""COMPUTED_VALUE"""),"STAR")</f>
        <v>STAR</v>
      </c>
      <c r="O173" s="6"/>
      <c r="P173" s="6">
        <f ca="1">IFERROR(__xludf.DUMMYFUNCTION("""COMPUTED_VALUE"""),7907)</f>
        <v>7907</v>
      </c>
      <c r="Q173" s="38" t="str">
        <f ca="1">IFERROR(__xludf.DUMMYFUNCTION("""COMPUTED_VALUE"""),"Charly Whisky")</f>
        <v>Charly Whisky</v>
      </c>
      <c r="R173" s="38" t="str">
        <f ca="1">IFERROR(__xludf.DUMMYFUNCTION("""COMPUTED_VALUE"""),"Nasim Iusef")</f>
        <v>Nasim Iusef</v>
      </c>
      <c r="S173" s="38"/>
      <c r="T173" s="38"/>
      <c r="U173" s="38"/>
      <c r="V173" s="38"/>
      <c r="W173" s="38"/>
      <c r="X173" s="40" t="str">
        <f ca="1">IFERROR(__xludf.DUMMYFUNCTION("""COMPUTED_VALUE"""),"OSDE")</f>
        <v>OSDE</v>
      </c>
      <c r="Y173" s="6" t="str">
        <f ca="1">IFERROR(__xludf.DUMMYFUNCTION("""COMPUTED_VALUE"""),"No")</f>
        <v>No</v>
      </c>
      <c r="Z173" s="38" t="str">
        <f ca="1">IFERROR(__xludf.DUMMYFUNCTION("""COMPUTED_VALUE"""),"Acepto")</f>
        <v>Acepto</v>
      </c>
      <c r="AA173" s="38" t="str">
        <f ca="1">IFERROR(__xludf.DUMMYFUNCTION("""COMPUTED_VALUE"""),"Pendiente")</f>
        <v>Pendiente</v>
      </c>
      <c r="AB173" s="38"/>
      <c r="AC173" s="6"/>
      <c r="AD173" s="6"/>
      <c r="AE173" s="6"/>
      <c r="AF173" s="6"/>
    </row>
    <row r="174" spans="1:32" ht="13.2">
      <c r="A174" s="35">
        <f ca="1">IFERROR(__xludf.DUMMYFUNCTION("""COMPUTED_VALUE"""),45533.7795736111)</f>
        <v>45533.7795736111</v>
      </c>
      <c r="B174" s="36" t="str">
        <f ca="1">IFERROR(__xludf.DUMMYFUNCTION("""COMPUTED_VALUE"""),"Valentín ")</f>
        <v xml:space="preserve">Valentín </v>
      </c>
      <c r="C174" s="36" t="str">
        <f ca="1">IFERROR(__xludf.DUMMYFUNCTION("""COMPUTED_VALUE"""),"López Morgan ")</f>
        <v xml:space="preserve">López Morgan </v>
      </c>
      <c r="D174" s="36" t="str">
        <f ca="1">IFERROR(__xludf.DUMMYFUNCTION("""COMPUTED_VALUE"""),"Puerto Madryn")</f>
        <v>Puerto Madryn</v>
      </c>
      <c r="E174" s="38" t="str">
        <f ca="1">IFERROR(__xludf.DUMMYFUNCTION("""COMPUTED_VALUE"""),"ARG")</f>
        <v>ARG</v>
      </c>
      <c r="F174" s="38">
        <f ca="1">IFERROR(__xludf.DUMMYFUNCTION("""COMPUTED_VALUE"""),50217149)</f>
        <v>50217149</v>
      </c>
      <c r="G174" s="37">
        <f ca="1">IFERROR(__xludf.DUMMYFUNCTION("""COMPUTED_VALUE"""),40484)</f>
        <v>40484</v>
      </c>
      <c r="H174" s="38">
        <f ca="1">IFERROR(__xludf.DUMMYFUNCTION("""COMPUTED_VALUE"""),2804977351)</f>
        <v>2804977351</v>
      </c>
      <c r="I174" s="38">
        <f ca="1">IFERROR(__xludf.DUMMYFUNCTION("""COMPUTED_VALUE"""),2804657370)</f>
        <v>2804657370</v>
      </c>
      <c r="J174" s="38" t="str">
        <f ca="1">IFERROR(__xludf.DUMMYFUNCTION("""COMPUTED_VALUE"""),"vmacsen@gmail.com")</f>
        <v>vmacsen@gmail.com</v>
      </c>
      <c r="K174" s="38" t="str">
        <f ca="1">IFERROR(__xludf.DUMMYFUNCTION("""COMPUTED_VALUE"""),"Masculino")</f>
        <v>Masculino</v>
      </c>
      <c r="L174" s="38" t="str">
        <f ca="1">IFERROR(__xludf.DUMMYFUNCTION("""COMPUTED_VALUE"""),"CNAS")</f>
        <v>CNAS</v>
      </c>
      <c r="M174" s="38" t="str">
        <f ca="1">IFERROR(__xludf.DUMMYFUNCTION("""COMPUTED_VALUE"""),"Interior (Optimist)")</f>
        <v>Interior (Optimist)</v>
      </c>
      <c r="N174" s="6" t="str">
        <f ca="1">IFERROR(__xludf.DUMMYFUNCTION("""COMPUTED_VALUE"""),"OPTIMIST TIMONELES")</f>
        <v>OPTIMIST TIMONELES</v>
      </c>
      <c r="O174" s="6"/>
      <c r="P174" s="6">
        <f ca="1">IFERROR(__xludf.DUMMYFUNCTION("""COMPUTED_VALUE"""),2339)</f>
        <v>2339</v>
      </c>
      <c r="Q174" s="38" t="str">
        <f ca="1">IFERROR(__xludf.DUMMYFUNCTION("""COMPUTED_VALUE"""),"Black Dragon")</f>
        <v>Black Dragon</v>
      </c>
      <c r="R174" s="38"/>
      <c r="S174" s="38"/>
      <c r="T174" s="38"/>
      <c r="U174" s="38"/>
      <c r="V174" s="38"/>
      <c r="W174" s="38"/>
      <c r="X174" s="40"/>
      <c r="Y174" s="6" t="str">
        <f ca="1">IFERROR(__xludf.DUMMYFUNCTION("""COMPUTED_VALUE"""),"Si")</f>
        <v>Si</v>
      </c>
      <c r="Z174" s="38" t="str">
        <f ca="1">IFERROR(__xludf.DUMMYFUNCTION("""COMPUTED_VALUE"""),"Acepto")</f>
        <v>Acepto</v>
      </c>
      <c r="AA174" s="38" t="str">
        <f ca="1">IFERROR(__xludf.DUMMYFUNCTION("""COMPUTED_VALUE"""),"Terminado")</f>
        <v>Terminado</v>
      </c>
      <c r="AB174" s="38">
        <f ca="1">IFERROR(__xludf.DUMMYFUNCTION("""COMPUTED_VALUE"""),42500)</f>
        <v>42500</v>
      </c>
      <c r="AC174" s="6">
        <f ca="1">IFERROR(__xludf.DUMMYFUNCTION("""COMPUTED_VALUE"""),205083)</f>
        <v>205083</v>
      </c>
      <c r="AD174" s="6" t="str">
        <f ca="1">IFERROR(__xludf.DUMMYFUNCTION("""COMPUTED_VALUE"""),"TRF 29-08")</f>
        <v>TRF 29-08</v>
      </c>
      <c r="AE174" s="6"/>
      <c r="AF174" s="6"/>
    </row>
    <row r="175" spans="1:32" ht="13.2">
      <c r="A175" s="35">
        <f ca="1">IFERROR(__xludf.DUMMYFUNCTION("""COMPUTED_VALUE"""),45533.5873749189)</f>
        <v>45533.587374918898</v>
      </c>
      <c r="B175" s="36" t="str">
        <f ca="1">IFERROR(__xludf.DUMMYFUNCTION("""COMPUTED_VALUE"""),"Tania")</f>
        <v>Tania</v>
      </c>
      <c r="C175" s="36" t="str">
        <f ca="1">IFERROR(__xludf.DUMMYFUNCTION("""COMPUTED_VALUE"""),"Lopez Obejero")</f>
        <v>Lopez Obejero</v>
      </c>
      <c r="D175" s="36" t="str">
        <f ca="1">IFERROR(__xludf.DUMMYFUNCTION("""COMPUTED_VALUE"""),"Buenos Aires")</f>
        <v>Buenos Aires</v>
      </c>
      <c r="E175" s="38" t="str">
        <f ca="1">IFERROR(__xludf.DUMMYFUNCTION("""COMPUTED_VALUE"""),"ARG")</f>
        <v>ARG</v>
      </c>
      <c r="F175" s="38">
        <f ca="1">IFERROR(__xludf.DUMMYFUNCTION("""COMPUTED_VALUE"""),50320758)</f>
        <v>50320758</v>
      </c>
      <c r="G175" s="37">
        <f ca="1">IFERROR(__xludf.DUMMYFUNCTION("""COMPUTED_VALUE"""),40344)</f>
        <v>40344</v>
      </c>
      <c r="H175" s="38" t="str">
        <f ca="1">IFERROR(__xludf.DUMMYFUNCTION("""COMPUTED_VALUE"""),"5578-7005")</f>
        <v>5578-7005</v>
      </c>
      <c r="I175" s="38" t="str">
        <f ca="1">IFERROR(__xludf.DUMMYFUNCTION("""COMPUTED_VALUE"""),"5307-7201")</f>
        <v>5307-7201</v>
      </c>
      <c r="J175" s="38" t="str">
        <f ca="1">IFERROR(__xludf.DUMMYFUNCTION("""COMPUTED_VALUE"""),"victoria.obejero@startechnology.com.ar")</f>
        <v>victoria.obejero@startechnology.com.ar</v>
      </c>
      <c r="K175" s="38" t="str">
        <f ca="1">IFERROR(__xludf.DUMMYFUNCTION("""COMPUTED_VALUE"""),"Femenino")</f>
        <v>Femenino</v>
      </c>
      <c r="L175" s="38" t="str">
        <f ca="1">IFERROR(__xludf.DUMMYFUNCTION("""COMPUTED_VALUE"""),"CPNLB")</f>
        <v>CPNLB</v>
      </c>
      <c r="M175" s="38" t="str">
        <f ca="1">IFERROR(__xludf.DUMMYFUNCTION("""COMPUTED_VALUE"""),"Femenino")</f>
        <v>Femenino</v>
      </c>
      <c r="N175" s="6" t="str">
        <f ca="1">IFERROR(__xludf.DUMMYFUNCTION("""COMPUTED_VALUE"""),"OPTIMIST TIMONELES")</f>
        <v>OPTIMIST TIMONELES</v>
      </c>
      <c r="O175" s="6"/>
      <c r="P175" s="6">
        <f ca="1">IFERROR(__xludf.DUMMYFUNCTION("""COMPUTED_VALUE"""),3775)</f>
        <v>3775</v>
      </c>
      <c r="Q175" s="38"/>
      <c r="R175" s="38"/>
      <c r="S175" s="38"/>
      <c r="T175" s="38"/>
      <c r="U175" s="38"/>
      <c r="V175" s="38"/>
      <c r="W175" s="38"/>
      <c r="X175" s="40" t="str">
        <f ca="1">IFERROR(__xludf.DUMMYFUNCTION("""COMPUTED_VALUE"""),"GALENO ORO")</f>
        <v>GALENO ORO</v>
      </c>
      <c r="Y175" s="6" t="str">
        <f ca="1">IFERROR(__xludf.DUMMYFUNCTION("""COMPUTED_VALUE"""),"Si")</f>
        <v>Si</v>
      </c>
      <c r="Z175" s="38" t="str">
        <f ca="1">IFERROR(__xludf.DUMMYFUNCTION("""COMPUTED_VALUE"""),"Acepto")</f>
        <v>Acepto</v>
      </c>
      <c r="AA175" s="38" t="str">
        <f ca="1">IFERROR(__xludf.DUMMYFUNCTION("""COMPUTED_VALUE"""),"Terminado")</f>
        <v>Terminado</v>
      </c>
      <c r="AB175" s="38">
        <f ca="1">IFERROR(__xludf.DUMMYFUNCTION("""COMPUTED_VALUE"""),50000)</f>
        <v>50000</v>
      </c>
      <c r="AC175" s="6">
        <f ca="1">IFERROR(__xludf.DUMMYFUNCTION("""COMPUTED_VALUE"""),205079)</f>
        <v>205079</v>
      </c>
      <c r="AD175" s="6" t="str">
        <f ca="1">IFERROR(__xludf.DUMMYFUNCTION("""COMPUTED_VALUE"""),"TRF 29-08")</f>
        <v>TRF 29-08</v>
      </c>
      <c r="AE175" s="6"/>
      <c r="AF175" s="6"/>
    </row>
    <row r="176" spans="1:32" ht="13.2">
      <c r="A176" s="35">
        <f ca="1">IFERROR(__xludf.DUMMYFUNCTION("""COMPUTED_VALUE"""),45530.6371090856)</f>
        <v>45530.637109085597</v>
      </c>
      <c r="B176" s="36" t="str">
        <f ca="1">IFERROR(__xludf.DUMMYFUNCTION("""COMPUTED_VALUE"""),"LISANDRO")</f>
        <v>LISANDRO</v>
      </c>
      <c r="C176" s="36" t="str">
        <f ca="1">IFERROR(__xludf.DUMMYFUNCTION("""COMPUTED_VALUE"""),"LOUREYRO MORGENSTERN")</f>
        <v>LOUREYRO MORGENSTERN</v>
      </c>
      <c r="D176" s="36" t="str">
        <f ca="1">IFERROR(__xludf.DUMMYFUNCTION("""COMPUTED_VALUE"""),"NUÑEZ")</f>
        <v>NUÑEZ</v>
      </c>
      <c r="E176" s="38" t="str">
        <f ca="1">IFERROR(__xludf.DUMMYFUNCTION("""COMPUTED_VALUE"""),"ARG")</f>
        <v>ARG</v>
      </c>
      <c r="F176" s="38">
        <f ca="1">IFERROR(__xludf.DUMMYFUNCTION("""COMPUTED_VALUE"""),51125616)</f>
        <v>51125616</v>
      </c>
      <c r="G176" s="37">
        <f ca="1">IFERROR(__xludf.DUMMYFUNCTION("""COMPUTED_VALUE"""),40658)</f>
        <v>40658</v>
      </c>
      <c r="H176" s="38">
        <f ca="1">IFERROR(__xludf.DUMMYFUNCTION("""COMPUTED_VALUE"""),1552210801)</f>
        <v>1552210801</v>
      </c>
      <c r="I176" s="38">
        <f ca="1">IFERROR(__xludf.DUMMYFUNCTION("""COMPUTED_VALUE"""),1552210801)</f>
        <v>1552210801</v>
      </c>
      <c r="J176" s="38" t="str">
        <f ca="1">IFERROR(__xludf.DUMMYFUNCTION("""COMPUTED_VALUE"""),"laspenelopes2011@gmail.com")</f>
        <v>laspenelopes2011@gmail.com</v>
      </c>
      <c r="K176" s="38" t="str">
        <f ca="1">IFERROR(__xludf.DUMMYFUNCTION("""COMPUTED_VALUE"""),"Masculino")</f>
        <v>Masculino</v>
      </c>
      <c r="L176" s="38" t="str">
        <f ca="1">IFERROR(__xludf.DUMMYFUNCTION("""COMPUTED_VALUE"""),"CVB")</f>
        <v>CVB</v>
      </c>
      <c r="M176" s="38" t="str">
        <f ca="1">IFERROR(__xludf.DUMMYFUNCTION("""COMPUTED_VALUE"""),"OPTIMIST TIMONEL")</f>
        <v>OPTIMIST TIMONEL</v>
      </c>
      <c r="N176" s="6" t="str">
        <f ca="1">IFERROR(__xludf.DUMMYFUNCTION("""COMPUTED_VALUE"""),"OPTIMIST TIMONELES")</f>
        <v>OPTIMIST TIMONELES</v>
      </c>
      <c r="O176" s="6"/>
      <c r="P176" s="6">
        <f ca="1">IFERROR(__xludf.DUMMYFUNCTION("""COMPUTED_VALUE"""),4126)</f>
        <v>4126</v>
      </c>
      <c r="Q176" s="38"/>
      <c r="R176" s="38"/>
      <c r="S176" s="38"/>
      <c r="T176" s="38"/>
      <c r="U176" s="38"/>
      <c r="V176" s="38"/>
      <c r="W176" s="38"/>
      <c r="X176" s="40" t="str">
        <f ca="1">IFERROR(__xludf.DUMMYFUNCTION("""COMPUTED_VALUE"""),"OSDE CREDENCIAL 61758693303")</f>
        <v>OSDE CREDENCIAL 61758693303</v>
      </c>
      <c r="Y176" s="6" t="str">
        <f ca="1">IFERROR(__xludf.DUMMYFUNCTION("""COMPUTED_VALUE"""),"Si")</f>
        <v>Si</v>
      </c>
      <c r="Z176" s="38" t="str">
        <f ca="1">IFERROR(__xludf.DUMMYFUNCTION("""COMPUTED_VALUE"""),"Acepto")</f>
        <v>Acepto</v>
      </c>
      <c r="AA176" s="38" t="str">
        <f ca="1">IFERROR(__xludf.DUMMYFUNCTION("""COMPUTED_VALUE"""),"Terminado")</f>
        <v>Terminado</v>
      </c>
      <c r="AB176" s="38">
        <f ca="1">IFERROR(__xludf.DUMMYFUNCTION("""COMPUTED_VALUE"""),50000)</f>
        <v>50000</v>
      </c>
      <c r="AC176" s="6">
        <f ca="1">IFERROR(__xludf.DUMMYFUNCTION("""COMPUTED_VALUE"""),205071)</f>
        <v>205071</v>
      </c>
      <c r="AD176" s="6" t="str">
        <f ca="1">IFERROR(__xludf.DUMMYFUNCTION("""COMPUTED_VALUE"""),"TRF 28-08")</f>
        <v>TRF 28-08</v>
      </c>
      <c r="AE176" s="6"/>
      <c r="AF176" s="6"/>
    </row>
    <row r="177" spans="1:32" ht="13.2">
      <c r="A177" s="35">
        <f ca="1">IFERROR(__xludf.DUMMYFUNCTION("""COMPUTED_VALUE"""),45530.6397907175)</f>
        <v>45530.639790717498</v>
      </c>
      <c r="B177" s="36" t="str">
        <f ca="1">IFERROR(__xludf.DUMMYFUNCTION("""COMPUTED_VALUE"""),"JOAQUINA")</f>
        <v>JOAQUINA</v>
      </c>
      <c r="C177" s="36" t="str">
        <f ca="1">IFERROR(__xludf.DUMMYFUNCTION("""COMPUTED_VALUE"""),"LOUREYRO MORGENSTERN")</f>
        <v>LOUREYRO MORGENSTERN</v>
      </c>
      <c r="D177" s="36" t="str">
        <f ca="1">IFERROR(__xludf.DUMMYFUNCTION("""COMPUTED_VALUE"""),"NUÑEZ")</f>
        <v>NUÑEZ</v>
      </c>
      <c r="E177" s="38" t="str">
        <f ca="1">IFERROR(__xludf.DUMMYFUNCTION("""COMPUTED_VALUE"""),"ARG")</f>
        <v>ARG</v>
      </c>
      <c r="F177" s="38">
        <f ca="1">IFERROR(__xludf.DUMMYFUNCTION("""COMPUTED_VALUE"""),54383455)</f>
        <v>54383455</v>
      </c>
      <c r="G177" s="37">
        <f ca="1">IFERROR(__xludf.DUMMYFUNCTION("""COMPUTED_VALUE"""),41935)</f>
        <v>41935</v>
      </c>
      <c r="H177" s="38">
        <f ca="1">IFERROR(__xludf.DUMMYFUNCTION("""COMPUTED_VALUE"""),1552210801)</f>
        <v>1552210801</v>
      </c>
      <c r="I177" s="38">
        <f ca="1">IFERROR(__xludf.DUMMYFUNCTION("""COMPUTED_VALUE"""),1552210801)</f>
        <v>1552210801</v>
      </c>
      <c r="J177" s="38" t="str">
        <f ca="1">IFERROR(__xludf.DUMMYFUNCTION("""COMPUTED_VALUE"""),"laspenelopes2011@gmail.com")</f>
        <v>laspenelopes2011@gmail.com</v>
      </c>
      <c r="K177" s="38" t="str">
        <f ca="1">IFERROR(__xludf.DUMMYFUNCTION("""COMPUTED_VALUE"""),"Femenino")</f>
        <v>Femenino</v>
      </c>
      <c r="L177" s="38" t="str">
        <f ca="1">IFERROR(__xludf.DUMMYFUNCTION("""COMPUTED_VALUE"""),"CVB")</f>
        <v>CVB</v>
      </c>
      <c r="M177" s="38" t="str">
        <f ca="1">IFERROR(__xludf.DUMMYFUNCTION("""COMPUTED_VALUE"""),"Femenino")</f>
        <v>Femenino</v>
      </c>
      <c r="N177" s="6" t="str">
        <f ca="1">IFERROR(__xludf.DUMMYFUNCTION("""COMPUTED_VALUE"""),"OPTIMIST PRINCIPIANTES")</f>
        <v>OPTIMIST PRINCIPIANTES</v>
      </c>
      <c r="O177" s="6"/>
      <c r="P177" s="6">
        <f ca="1">IFERROR(__xludf.DUMMYFUNCTION("""COMPUTED_VALUE"""),3431)</f>
        <v>3431</v>
      </c>
      <c r="Q177" s="38" t="str">
        <f ca="1">IFERROR(__xludf.DUMMYFUNCTION("""COMPUTED_VALUE"""),"REMOLINO")</f>
        <v>REMOLINO</v>
      </c>
      <c r="R177" s="38"/>
      <c r="S177" s="38"/>
      <c r="T177" s="38"/>
      <c r="U177" s="38"/>
      <c r="V177" s="38"/>
      <c r="W177" s="38"/>
      <c r="X177" s="40" t="str">
        <f ca="1">IFERROR(__xludf.DUMMYFUNCTION("""COMPUTED_VALUE"""),"OSDE CREDENCIAL 61758693304")</f>
        <v>OSDE CREDENCIAL 61758693304</v>
      </c>
      <c r="Y177" s="6" t="str">
        <f ca="1">IFERROR(__xludf.DUMMYFUNCTION("""COMPUTED_VALUE"""),"Si")</f>
        <v>Si</v>
      </c>
      <c r="Z177" s="38" t="str">
        <f ca="1">IFERROR(__xludf.DUMMYFUNCTION("""COMPUTED_VALUE"""),"Acepto")</f>
        <v>Acepto</v>
      </c>
      <c r="AA177" s="38" t="str">
        <f ca="1">IFERROR(__xludf.DUMMYFUNCTION("""COMPUTED_VALUE"""),"Terminado")</f>
        <v>Terminado</v>
      </c>
      <c r="AB177" s="38">
        <f ca="1">IFERROR(__xludf.DUMMYFUNCTION("""COMPUTED_VALUE"""),50000)</f>
        <v>50000</v>
      </c>
      <c r="AC177" s="6">
        <f ca="1">IFERROR(__xludf.DUMMYFUNCTION("""COMPUTED_VALUE"""),205071)</f>
        <v>205071</v>
      </c>
      <c r="AD177" s="6" t="str">
        <f ca="1">IFERROR(__xludf.DUMMYFUNCTION("""COMPUTED_VALUE"""),"TRF 28-08")</f>
        <v>TRF 28-08</v>
      </c>
      <c r="AE177" s="6"/>
      <c r="AF177" s="6"/>
    </row>
    <row r="178" spans="1:32" ht="13.2">
      <c r="A178" s="35">
        <f ca="1">IFERROR(__xludf.DUMMYFUNCTION("""COMPUTED_VALUE"""),45538.4133412731)</f>
        <v>45538.413341273103</v>
      </c>
      <c r="B178" s="36" t="str">
        <f ca="1">IFERROR(__xludf.DUMMYFUNCTION("""COMPUTED_VALUE"""),"JOSÉ")</f>
        <v>JOSÉ</v>
      </c>
      <c r="C178" s="36" t="str">
        <f ca="1">IFERROR(__xludf.DUMMYFUNCTION("""COMPUTED_VALUE"""),"LOVIGNÉ")</f>
        <v>LOVIGNÉ</v>
      </c>
      <c r="D178" s="36" t="str">
        <f ca="1">IFERROR(__xludf.DUMMYFUNCTION("""COMPUTED_VALUE"""),"ROSARIO")</f>
        <v>ROSARIO</v>
      </c>
      <c r="E178" s="38" t="str">
        <f ca="1">IFERROR(__xludf.DUMMYFUNCTION("""COMPUTED_VALUE"""),"ARG")</f>
        <v>ARG</v>
      </c>
      <c r="F178" s="38">
        <f ca="1">IFERROR(__xludf.DUMMYFUNCTION("""COMPUTED_VALUE"""),17281040)</f>
        <v>17281040</v>
      </c>
      <c r="G178" s="37">
        <f ca="1">IFERROR(__xludf.DUMMYFUNCTION("""COMPUTED_VALUE"""),23947)</f>
        <v>23947</v>
      </c>
      <c r="H178" s="38" t="str">
        <f ca="1">IFERROR(__xludf.DUMMYFUNCTION("""COMPUTED_VALUE"""),"341 6431004")</f>
        <v>341 6431004</v>
      </c>
      <c r="I178" s="38" t="str">
        <f ca="1">IFERROR(__xludf.DUMMYFUNCTION("""COMPUTED_VALUE"""),"341 6844204")</f>
        <v>341 6844204</v>
      </c>
      <c r="J178" s="38" t="str">
        <f ca="1">IFERROR(__xludf.DUMMYFUNCTION("""COMPUTED_VALUE"""),"joselovigne@gmail.com")</f>
        <v>joselovigne@gmail.com</v>
      </c>
      <c r="K178" s="38" t="str">
        <f ca="1">IFERROR(__xludf.DUMMYFUNCTION("""COMPUTED_VALUE"""),"Masculino")</f>
        <v>Masculino</v>
      </c>
      <c r="L178" s="38" t="str">
        <f ca="1">IFERROR(__xludf.DUMMYFUNCTION("""COMPUTED_VALUE"""),"YCR")</f>
        <v>YCR</v>
      </c>
      <c r="M178" s="38" t="str">
        <f ca="1">IFERROR(__xludf.DUMMYFUNCTION("""COMPUTED_VALUE"""),"J70")</f>
        <v>J70</v>
      </c>
      <c r="N178" s="6" t="str">
        <f ca="1">IFERROR(__xludf.DUMMYFUNCTION("""COMPUTED_VALUE"""),"J 70")</f>
        <v>J 70</v>
      </c>
      <c r="O178" s="6">
        <f ca="1">IFERROR(__xludf.DUMMYFUNCTION("""COMPUTED_VALUE"""),40)</f>
        <v>40</v>
      </c>
      <c r="P178" s="6">
        <f ca="1">IFERROR(__xludf.DUMMYFUNCTION("""COMPUTED_VALUE"""),1551)</f>
        <v>1551</v>
      </c>
      <c r="Q178" s="38" t="str">
        <f ca="1">IFERROR(__xludf.DUMMYFUNCTION("""COMPUTED_VALUE"""),"MAERS")</f>
        <v>MAERS</v>
      </c>
      <c r="R178" s="38" t="str">
        <f ca="1">IFERROR(__xludf.DUMMYFUNCTION("""COMPUTED_VALUE"""),"FEDERICO COLELLA")</f>
        <v>FEDERICO COLELLA</v>
      </c>
      <c r="S178" s="38" t="str">
        <f ca="1">IFERROR(__xludf.DUMMYFUNCTION("""COMPUTED_VALUE"""),"DANTE CITTADINI")</f>
        <v>DANTE CITTADINI</v>
      </c>
      <c r="T178" s="38" t="str">
        <f ca="1">IFERROR(__xludf.DUMMYFUNCTION("""COMPUTED_VALUE"""),"SEGUNDO GARCIA")</f>
        <v>SEGUNDO GARCIA</v>
      </c>
      <c r="U178" s="38"/>
      <c r="V178" s="38"/>
      <c r="W178" s="38"/>
      <c r="X178" s="40" t="str">
        <f ca="1">IFERROR(__xludf.DUMMYFUNCTION("""COMPUTED_VALUE"""),"OSDE")</f>
        <v>OSDE</v>
      </c>
      <c r="Y178" s="6" t="str">
        <f ca="1">IFERROR(__xludf.DUMMYFUNCTION("""COMPUTED_VALUE"""),"No")</f>
        <v>No</v>
      </c>
      <c r="Z178" s="38" t="str">
        <f ca="1">IFERROR(__xludf.DUMMYFUNCTION("""COMPUTED_VALUE"""),"Acepto")</f>
        <v>Acepto</v>
      </c>
      <c r="AA178" s="38" t="str">
        <f ca="1">IFERROR(__xludf.DUMMYFUNCTION("""COMPUTED_VALUE"""),"Terminado")</f>
        <v>Terminado</v>
      </c>
      <c r="AB178" s="38">
        <f ca="1">IFERROR(__xludf.DUMMYFUNCTION("""COMPUTED_VALUE"""),68000)</f>
        <v>68000</v>
      </c>
      <c r="AC178" s="6">
        <f ca="1">IFERROR(__xludf.DUMMYFUNCTION("""COMPUTED_VALUE"""),205412)</f>
        <v>205412</v>
      </c>
      <c r="AD178" s="6" t="str">
        <f ca="1">IFERROR(__xludf.DUMMYFUNCTION("""COMPUTED_VALUE"""),"TRF 03-09")</f>
        <v>TRF 03-09</v>
      </c>
      <c r="AE178" s="6"/>
      <c r="AF178" s="6"/>
    </row>
    <row r="179" spans="1:32" ht="13.2">
      <c r="A179" s="35">
        <f ca="1">IFERROR(__xludf.DUMMYFUNCTION("""COMPUTED_VALUE"""),45536.3814568402)</f>
        <v>45536.381456840201</v>
      </c>
      <c r="B179" s="36" t="str">
        <f ca="1">IFERROR(__xludf.DUMMYFUNCTION("""COMPUTED_VALUE"""),"Juan Felipe")</f>
        <v>Juan Felipe</v>
      </c>
      <c r="C179" s="36" t="str">
        <f ca="1">IFERROR(__xludf.DUMMYFUNCTION("""COMPUTED_VALUE"""),"Luis")</f>
        <v>Luis</v>
      </c>
      <c r="D179" s="36" t="str">
        <f ca="1">IFERROR(__xludf.DUMMYFUNCTION("""COMPUTED_VALUE"""),"La Plata ")</f>
        <v xml:space="preserve">La Plata </v>
      </c>
      <c r="E179" s="38" t="str">
        <f ca="1">IFERROR(__xludf.DUMMYFUNCTION("""COMPUTED_VALUE"""),"ARG")</f>
        <v>ARG</v>
      </c>
      <c r="F179" s="38">
        <f ca="1">IFERROR(__xludf.DUMMYFUNCTION("""COMPUTED_VALUE"""),52908766)</f>
        <v>52908766</v>
      </c>
      <c r="G179" s="37">
        <f ca="1">IFERROR(__xludf.DUMMYFUNCTION("""COMPUTED_VALUE"""),41234)</f>
        <v>41234</v>
      </c>
      <c r="H179" s="38">
        <f ca="1">IFERROR(__xludf.DUMMYFUNCTION("""COMPUTED_VALUE"""),2216162390)</f>
        <v>2216162390</v>
      </c>
      <c r="I179" s="38">
        <f ca="1">IFERROR(__xludf.DUMMYFUNCTION("""COMPUTED_VALUE"""),2216162390)</f>
        <v>2216162390</v>
      </c>
      <c r="J179" s="38" t="str">
        <f ca="1">IFERROR(__xludf.DUMMYFUNCTION("""COMPUTED_VALUE"""),"luciagaray1@gmail.com")</f>
        <v>luciagaray1@gmail.com</v>
      </c>
      <c r="K179" s="38" t="str">
        <f ca="1">IFERROR(__xludf.DUMMYFUNCTION("""COMPUTED_VALUE"""),"Masculino")</f>
        <v>Masculino</v>
      </c>
      <c r="L179" s="38" t="str">
        <f ca="1">IFERROR(__xludf.DUMMYFUNCTION("""COMPUTED_VALUE"""),"CRLP ")</f>
        <v xml:space="preserve">CRLP </v>
      </c>
      <c r="M179" s="38"/>
      <c r="N179" s="6" t="str">
        <f ca="1">IFERROR(__xludf.DUMMYFUNCTION("""COMPUTED_VALUE"""),"OPTIMIST TIMONELES")</f>
        <v>OPTIMIST TIMONELES</v>
      </c>
      <c r="O179" s="6"/>
      <c r="P179" s="6">
        <f ca="1">IFERROR(__xludf.DUMMYFUNCTION("""COMPUTED_VALUE"""),3297)</f>
        <v>3297</v>
      </c>
      <c r="Q179" s="38" t="str">
        <f ca="1">IFERROR(__xludf.DUMMYFUNCTION("""COMPUTED_VALUE"""),"Enigma")</f>
        <v>Enigma</v>
      </c>
      <c r="R179" s="38"/>
      <c r="S179" s="38"/>
      <c r="T179" s="38"/>
      <c r="U179" s="38"/>
      <c r="V179" s="38"/>
      <c r="W179" s="38"/>
      <c r="X179" s="40" t="str">
        <f ca="1">IFERROR(__xludf.DUMMYFUNCTION("""COMPUTED_VALUE"""),"B25224153004")</f>
        <v>B25224153004</v>
      </c>
      <c r="Y179" s="6" t="str">
        <f ca="1">IFERROR(__xludf.DUMMYFUNCTION("""COMPUTED_VALUE"""),"Si")</f>
        <v>Si</v>
      </c>
      <c r="Z179" s="38" t="str">
        <f ca="1">IFERROR(__xludf.DUMMYFUNCTION("""COMPUTED_VALUE"""),"Acepto")</f>
        <v>Acepto</v>
      </c>
      <c r="AA179" s="38" t="str">
        <f ca="1">IFERROR(__xludf.DUMMYFUNCTION("""COMPUTED_VALUE"""),"Terminado")</f>
        <v>Terminado</v>
      </c>
      <c r="AB179" s="38">
        <f ca="1">IFERROR(__xludf.DUMMYFUNCTION("""COMPUTED_VALUE"""),70000)</f>
        <v>70000</v>
      </c>
      <c r="AC179" s="6">
        <f ca="1">IFERROR(__xludf.DUMMYFUNCTION("""COMPUTED_VALUE"""),205334)</f>
        <v>205334</v>
      </c>
      <c r="AD179" s="6" t="str">
        <f ca="1">IFERROR(__xludf.DUMMYFUNCTION("""COMPUTED_VALUE"""),"TRF 01-09")</f>
        <v>TRF 01-09</v>
      </c>
      <c r="AE179" s="6"/>
      <c r="AF179" s="6"/>
    </row>
    <row r="180" spans="1:32" ht="13.2">
      <c r="A180" s="35">
        <f ca="1">IFERROR(__xludf.DUMMYFUNCTION("""COMPUTED_VALUE"""),45523.67275103)</f>
        <v>45523.672751029997</v>
      </c>
      <c r="B180" s="36" t="str">
        <f ca="1">IFERROR(__xludf.DUMMYFUNCTION("""COMPUTED_VALUE"""),"CARLOS GERARDO")</f>
        <v>CARLOS GERARDO</v>
      </c>
      <c r="C180" s="36" t="str">
        <f ca="1">IFERROR(__xludf.DUMMYFUNCTION("""COMPUTED_VALUE"""),"LUQUE")</f>
        <v>LUQUE</v>
      </c>
      <c r="D180" s="36" t="str">
        <f ca="1">IFERROR(__xludf.DUMMYFUNCTION("""COMPUTED_VALUE"""),"BAHIA BLANCA")</f>
        <v>BAHIA BLANCA</v>
      </c>
      <c r="E180" s="38" t="str">
        <f ca="1">IFERROR(__xludf.DUMMYFUNCTION("""COMPUTED_VALUE"""),"ARG")</f>
        <v>ARG</v>
      </c>
      <c r="F180" s="38">
        <f ca="1">IFERROR(__xludf.DUMMYFUNCTION("""COMPUTED_VALUE"""),17673812)</f>
        <v>17673812</v>
      </c>
      <c r="G180" s="37">
        <f ca="1">IFERROR(__xludf.DUMMYFUNCTION("""COMPUTED_VALUE"""),24236)</f>
        <v>24236</v>
      </c>
      <c r="H180" s="38">
        <f ca="1">IFERROR(__xludf.DUMMYFUNCTION("""COMPUTED_VALUE"""),2914742269)</f>
        <v>2914742269</v>
      </c>
      <c r="I180" s="38">
        <f ca="1">IFERROR(__xludf.DUMMYFUNCTION("""COMPUTED_VALUE"""),2914295699)</f>
        <v>2914295699</v>
      </c>
      <c r="J180" s="38" t="str">
        <f ca="1">IFERROR(__xludf.DUMMYFUNCTION("""COMPUTED_VALUE"""),"CARLONCHOLUQUE@HOTMAIL.COM")</f>
        <v>CARLONCHOLUQUE@HOTMAIL.COM</v>
      </c>
      <c r="K180" s="38" t="str">
        <f ca="1">IFERROR(__xludf.DUMMYFUNCTION("""COMPUTED_VALUE"""),"Masculino")</f>
        <v>Masculino</v>
      </c>
      <c r="L180" s="38" t="str">
        <f ca="1">IFERROR(__xludf.DUMMYFUNCTION("""COMPUTED_VALUE"""),"CNBB")</f>
        <v>CNBB</v>
      </c>
      <c r="M180" s="38" t="str">
        <f ca="1">IFERROR(__xludf.DUMMYFUNCTION("""COMPUTED_VALUE"""),"MASTER PAMPERO")</f>
        <v>MASTER PAMPERO</v>
      </c>
      <c r="N180" s="6" t="str">
        <f ca="1">IFERROR(__xludf.DUMMYFUNCTION("""COMPUTED_VALUE"""),"PAMPERO")</f>
        <v>PAMPERO</v>
      </c>
      <c r="O180" s="6"/>
      <c r="P180" s="6">
        <f ca="1">IFERROR(__xludf.DUMMYFUNCTION("""COMPUTED_VALUE"""),352)</f>
        <v>352</v>
      </c>
      <c r="Q180" s="38" t="str">
        <f ca="1">IFERROR(__xludf.DUMMYFUNCTION("""COMPUTED_VALUE"""),"LUQUEADO")</f>
        <v>LUQUEADO</v>
      </c>
      <c r="R180" s="38" t="str">
        <f ca="1">IFERROR(__xludf.DUMMYFUNCTION("""COMPUTED_VALUE"""),"LUCRECIA INES DIAZ")</f>
        <v>LUCRECIA INES DIAZ</v>
      </c>
      <c r="S180" s="38"/>
      <c r="T180" s="38"/>
      <c r="U180" s="38"/>
      <c r="V180" s="38"/>
      <c r="W180" s="38"/>
      <c r="X180" s="40" t="str">
        <f ca="1">IFERROR(__xludf.DUMMYFUNCTION("""COMPUTED_VALUE"""),"OSDE")</f>
        <v>OSDE</v>
      </c>
      <c r="Y180" s="6" t="str">
        <f ca="1">IFERROR(__xludf.DUMMYFUNCTION("""COMPUTED_VALUE"""),"Si")</f>
        <v>Si</v>
      </c>
      <c r="Z180" s="38" t="str">
        <f ca="1">IFERROR(__xludf.DUMMYFUNCTION("""COMPUTED_VALUE"""),"Acepto")</f>
        <v>Acepto</v>
      </c>
      <c r="AA180" s="38" t="str">
        <f ca="1">IFERROR(__xludf.DUMMYFUNCTION("""COMPUTED_VALUE"""),"Terminado")</f>
        <v>Terminado</v>
      </c>
      <c r="AB180" s="38">
        <f ca="1">IFERROR(__xludf.DUMMYFUNCTION("""COMPUTED_VALUE"""),60000)</f>
        <v>60000</v>
      </c>
      <c r="AC180" s="6">
        <f ca="1">IFERROR(__xludf.DUMMYFUNCTION("""COMPUTED_VALUE"""),205006)</f>
        <v>205006</v>
      </c>
      <c r="AD180" s="6" t="str">
        <f ca="1">IFERROR(__xludf.DUMMYFUNCTION("""COMPUTED_VALUE"""),"TRF 19-8")</f>
        <v>TRF 19-8</v>
      </c>
      <c r="AE180" s="6"/>
      <c r="AF180" s="6" t="str">
        <f ca="1">IFERROR(__xludf.DUMMYFUNCTION("""COMPUTED_VALUE"""),"Si")</f>
        <v>Si</v>
      </c>
    </row>
    <row r="181" spans="1:32" ht="13.2">
      <c r="A181" s="35">
        <f ca="1">IFERROR(__xludf.DUMMYFUNCTION("""COMPUTED_VALUE"""),45534.7605956365)</f>
        <v>45534.760595636501</v>
      </c>
      <c r="B181" s="36" t="str">
        <f ca="1">IFERROR(__xludf.DUMMYFUNCTION("""COMPUTED_VALUE"""),"Bautista ")</f>
        <v xml:space="preserve">Bautista </v>
      </c>
      <c r="C181" s="36" t="str">
        <f ca="1">IFERROR(__xludf.DUMMYFUNCTION("""COMPUTED_VALUE"""),"Luque ")</f>
        <v xml:space="preserve">Luque </v>
      </c>
      <c r="D181" s="36" t="str">
        <f ca="1">IFERROR(__xludf.DUMMYFUNCTION("""COMPUTED_VALUE"""),"Buenos Aires ")</f>
        <v xml:space="preserve">Buenos Aires </v>
      </c>
      <c r="E181" s="38" t="str">
        <f ca="1">IFERROR(__xludf.DUMMYFUNCTION("""COMPUTED_VALUE"""),"ARG")</f>
        <v>ARG</v>
      </c>
      <c r="F181" s="38">
        <f ca="1">IFERROR(__xludf.DUMMYFUNCTION("""COMPUTED_VALUE"""),50416772)</f>
        <v>50416772</v>
      </c>
      <c r="G181" s="37">
        <f ca="1">IFERROR(__xludf.DUMMYFUNCTION("""COMPUTED_VALUE"""),40364)</f>
        <v>40364</v>
      </c>
      <c r="H181" s="38">
        <f ca="1">IFERROR(__xludf.DUMMYFUNCTION("""COMPUTED_VALUE"""),91161879557)</f>
        <v>91161879557</v>
      </c>
      <c r="I181" s="38">
        <f ca="1">IFERROR(__xludf.DUMMYFUNCTION("""COMPUTED_VALUE"""),91161879557)</f>
        <v>91161879557</v>
      </c>
      <c r="J181" s="38" t="str">
        <f ca="1">IFERROR(__xludf.DUMMYFUNCTION("""COMPUTED_VALUE"""),"Lulipalau@hotmail.com")</f>
        <v>Lulipalau@hotmail.com</v>
      </c>
      <c r="K181" s="38" t="str">
        <f ca="1">IFERROR(__xludf.DUMMYFUNCTION("""COMPUTED_VALUE"""),"Masculino")</f>
        <v>Masculino</v>
      </c>
      <c r="L181" s="38" t="str">
        <f ca="1">IFERROR(__xludf.DUMMYFUNCTION("""COMPUTED_VALUE"""),"YCO")</f>
        <v>YCO</v>
      </c>
      <c r="M181" s="38"/>
      <c r="N181" s="6" t="str">
        <f ca="1">IFERROR(__xludf.DUMMYFUNCTION("""COMPUTED_VALUE"""),"OPTIMIST TIMONELES")</f>
        <v>OPTIMIST TIMONELES</v>
      </c>
      <c r="O181" s="6"/>
      <c r="P181" s="6" t="str">
        <f ca="1">IFERROR(__xludf.DUMMYFUNCTION("""COMPUTED_VALUE"""),"ARG 4011")</f>
        <v>ARG 4011</v>
      </c>
      <c r="Q181" s="38"/>
      <c r="R181" s="38"/>
      <c r="S181" s="38"/>
      <c r="T181" s="38"/>
      <c r="U181" s="38"/>
      <c r="V181" s="38"/>
      <c r="W181" s="38"/>
      <c r="X181" s="40">
        <f ca="1">IFERROR(__xludf.DUMMYFUNCTION("""COMPUTED_VALUE"""),61108063902)</f>
        <v>61108063902</v>
      </c>
      <c r="Y181" s="6" t="str">
        <f ca="1">IFERROR(__xludf.DUMMYFUNCTION("""COMPUTED_VALUE"""),"Si")</f>
        <v>Si</v>
      </c>
      <c r="Z181" s="38" t="str">
        <f ca="1">IFERROR(__xludf.DUMMYFUNCTION("""COMPUTED_VALUE"""),"Acepto")</f>
        <v>Acepto</v>
      </c>
      <c r="AA181" s="38" t="str">
        <f ca="1">IFERROR(__xludf.DUMMYFUNCTION("""COMPUTED_VALUE"""),"Terminado")</f>
        <v>Terminado</v>
      </c>
      <c r="AB181" s="38">
        <f ca="1">IFERROR(__xludf.DUMMYFUNCTION("""COMPUTED_VALUE"""),50000)</f>
        <v>50000</v>
      </c>
      <c r="AC181" s="6"/>
      <c r="AD181" s="6" t="str">
        <f ca="1">IFERROR(__xludf.DUMMYFUNCTION("""COMPUTED_VALUE"""),"AF")</f>
        <v>AF</v>
      </c>
      <c r="AE181" s="6"/>
      <c r="AF181" s="6"/>
    </row>
    <row r="182" spans="1:32" ht="13.2">
      <c r="A182" s="35">
        <f ca="1">IFERROR(__xludf.DUMMYFUNCTION("""COMPUTED_VALUE"""),45534.7620573148)</f>
        <v>45534.762057314801</v>
      </c>
      <c r="B182" s="36" t="str">
        <f ca="1">IFERROR(__xludf.DUMMYFUNCTION("""COMPUTED_VALUE"""),"Delfina ")</f>
        <v xml:space="preserve">Delfina </v>
      </c>
      <c r="C182" s="36" t="str">
        <f ca="1">IFERROR(__xludf.DUMMYFUNCTION("""COMPUTED_VALUE"""),"Luque ")</f>
        <v xml:space="preserve">Luque </v>
      </c>
      <c r="D182" s="36" t="str">
        <f ca="1">IFERROR(__xludf.DUMMYFUNCTION("""COMPUTED_VALUE"""),"Buenos Aires ")</f>
        <v xml:space="preserve">Buenos Aires </v>
      </c>
      <c r="E182" s="38" t="str">
        <f ca="1">IFERROR(__xludf.DUMMYFUNCTION("""COMPUTED_VALUE"""),"ARG")</f>
        <v>ARG</v>
      </c>
      <c r="F182" s="38">
        <f ca="1">IFERROR(__xludf.DUMMYFUNCTION("""COMPUTED_VALUE"""),52768606)</f>
        <v>52768606</v>
      </c>
      <c r="G182" s="37">
        <f ca="1">IFERROR(__xludf.DUMMYFUNCTION("""COMPUTED_VALUE"""),41178)</f>
        <v>41178</v>
      </c>
      <c r="H182" s="38">
        <f ca="1">IFERROR(__xludf.DUMMYFUNCTION("""COMPUTED_VALUE"""),91161879557)</f>
        <v>91161879557</v>
      </c>
      <c r="I182" s="38">
        <f ca="1">IFERROR(__xludf.DUMMYFUNCTION("""COMPUTED_VALUE"""),91161879557)</f>
        <v>91161879557</v>
      </c>
      <c r="J182" s="38" t="str">
        <f ca="1">IFERROR(__xludf.DUMMYFUNCTION("""COMPUTED_VALUE"""),"Lulipalau@hotmail.com")</f>
        <v>Lulipalau@hotmail.com</v>
      </c>
      <c r="K182" s="38" t="str">
        <f ca="1">IFERROR(__xludf.DUMMYFUNCTION("""COMPUTED_VALUE"""),"Femenino")</f>
        <v>Femenino</v>
      </c>
      <c r="L182" s="38" t="str">
        <f ca="1">IFERROR(__xludf.DUMMYFUNCTION("""COMPUTED_VALUE"""),"YCO")</f>
        <v>YCO</v>
      </c>
      <c r="M182" s="38" t="str">
        <f ca="1">IFERROR(__xludf.DUMMYFUNCTION("""COMPUTED_VALUE"""),"Femenino, Sub12")</f>
        <v>Femenino, Sub12</v>
      </c>
      <c r="N182" s="6" t="str">
        <f ca="1">IFERROR(__xludf.DUMMYFUNCTION("""COMPUTED_VALUE"""),"OPTIMIST TIMONELES")</f>
        <v>OPTIMIST TIMONELES</v>
      </c>
      <c r="O182" s="6"/>
      <c r="P182" s="6" t="str">
        <f ca="1">IFERROR(__xludf.DUMMYFUNCTION("""COMPUTED_VALUE"""),"ARG4031")</f>
        <v>ARG4031</v>
      </c>
      <c r="Q182" s="38"/>
      <c r="R182" s="38"/>
      <c r="S182" s="38"/>
      <c r="T182" s="38"/>
      <c r="U182" s="38"/>
      <c r="V182" s="38"/>
      <c r="W182" s="38"/>
      <c r="X182" s="40">
        <f ca="1">IFERROR(__xludf.DUMMYFUNCTION("""COMPUTED_VALUE"""),61108063903)</f>
        <v>61108063903</v>
      </c>
      <c r="Y182" s="6" t="str">
        <f ca="1">IFERROR(__xludf.DUMMYFUNCTION("""COMPUTED_VALUE"""),"Si")</f>
        <v>Si</v>
      </c>
      <c r="Z182" s="38" t="str">
        <f ca="1">IFERROR(__xludf.DUMMYFUNCTION("""COMPUTED_VALUE"""),"Acepto")</f>
        <v>Acepto</v>
      </c>
      <c r="AA182" s="38" t="str">
        <f ca="1">IFERROR(__xludf.DUMMYFUNCTION("""COMPUTED_VALUE"""),"Terminado")</f>
        <v>Terminado</v>
      </c>
      <c r="AB182" s="38">
        <f ca="1">IFERROR(__xludf.DUMMYFUNCTION("""COMPUTED_VALUE"""),50000)</f>
        <v>50000</v>
      </c>
      <c r="AC182" s="6"/>
      <c r="AD182" s="6" t="str">
        <f ca="1">IFERROR(__xludf.DUMMYFUNCTION("""COMPUTED_VALUE"""),"AF")</f>
        <v>AF</v>
      </c>
      <c r="AE182" s="6"/>
      <c r="AF182" s="6"/>
    </row>
    <row r="183" spans="1:32" ht="13.2">
      <c r="A183" s="35">
        <f ca="1">IFERROR(__xludf.DUMMYFUNCTION("""COMPUTED_VALUE"""),45540.6293411458)</f>
        <v>45540.629341145803</v>
      </c>
      <c r="B183" s="36" t="str">
        <f ca="1">IFERROR(__xludf.DUMMYFUNCTION("""COMPUTED_VALUE"""),"Patricio ")</f>
        <v xml:space="preserve">Patricio </v>
      </c>
      <c r="C183" s="36" t="str">
        <f ca="1">IFERROR(__xludf.DUMMYFUNCTION("""COMPUTED_VALUE"""),"Lutteral ")</f>
        <v xml:space="preserve">Lutteral </v>
      </c>
      <c r="D183" s="36" t="str">
        <f ca="1">IFERROR(__xludf.DUMMYFUNCTION("""COMPUTED_VALUE"""),"Buenos aires")</f>
        <v>Buenos aires</v>
      </c>
      <c r="E183" s="38" t="str">
        <f ca="1">IFERROR(__xludf.DUMMYFUNCTION("""COMPUTED_VALUE"""),"ARG")</f>
        <v>ARG</v>
      </c>
      <c r="F183" s="38">
        <f ca="1">IFERROR(__xludf.DUMMYFUNCTION("""COMPUTED_VALUE"""),11953310)</f>
        <v>11953310</v>
      </c>
      <c r="G183" s="37">
        <f ca="1">IFERROR(__xludf.DUMMYFUNCTION("""COMPUTED_VALUE"""),21213)</f>
        <v>21213</v>
      </c>
      <c r="H183" s="38">
        <f ca="1">IFERROR(__xludf.DUMMYFUNCTION("""COMPUTED_VALUE"""),5491157616021)</f>
        <v>5491157616021</v>
      </c>
      <c r="I183" s="38">
        <f ca="1">IFERROR(__xludf.DUMMYFUNCTION("""COMPUTED_VALUE"""),5491130791100)</f>
        <v>5491130791100</v>
      </c>
      <c r="J183" s="38" t="str">
        <f ca="1">IFERROR(__xludf.DUMMYFUNCTION("""COMPUTED_VALUE"""),"lutteral_patricio@yahoo.com.ar")</f>
        <v>lutteral_patricio@yahoo.com.ar</v>
      </c>
      <c r="K183" s="38" t="str">
        <f ca="1">IFERROR(__xludf.DUMMYFUNCTION("""COMPUTED_VALUE"""),"Masculino")</f>
        <v>Masculino</v>
      </c>
      <c r="L183" s="38" t="str">
        <f ca="1">IFERROR(__xludf.DUMMYFUNCTION("""COMPUTED_VALUE"""),"CPNLB")</f>
        <v>CPNLB</v>
      </c>
      <c r="M183" s="38"/>
      <c r="N183" s="6" t="str">
        <f ca="1">IFERROR(__xludf.DUMMYFUNCTION("""COMPUTED_VALUE"""),"PAMPERO")</f>
        <v>PAMPERO</v>
      </c>
      <c r="O183" s="6"/>
      <c r="P183" s="6">
        <f ca="1">IFERROR(__xludf.DUMMYFUNCTION("""COMPUTED_VALUE"""),40)</f>
        <v>40</v>
      </c>
      <c r="Q183" s="38" t="str">
        <f ca="1">IFERROR(__xludf.DUMMYFUNCTION("""COMPUTED_VALUE"""),"TORMENTA")</f>
        <v>TORMENTA</v>
      </c>
      <c r="R183" s="38" t="str">
        <f ca="1">IFERROR(__xludf.DUMMYFUNCTION("""COMPUTED_VALUE"""),"Sebastian Lutteral ")</f>
        <v xml:space="preserve">Sebastian Lutteral </v>
      </c>
      <c r="S183" s="38"/>
      <c r="T183" s="38"/>
      <c r="U183" s="38"/>
      <c r="V183" s="38"/>
      <c r="W183" s="38"/>
      <c r="X183" s="40"/>
      <c r="Y183" s="6" t="str">
        <f ca="1">IFERROR(__xludf.DUMMYFUNCTION("""COMPUTED_VALUE"""),"No")</f>
        <v>No</v>
      </c>
      <c r="Z183" s="38" t="str">
        <f ca="1">IFERROR(__xludf.DUMMYFUNCTION("""COMPUTED_VALUE"""),"Acepto")</f>
        <v>Acepto</v>
      </c>
      <c r="AA183" s="38" t="str">
        <f ca="1">IFERROR(__xludf.DUMMYFUNCTION("""COMPUTED_VALUE"""),"Terminado")</f>
        <v>Terminado</v>
      </c>
      <c r="AB183" s="38">
        <f ca="1">IFERROR(__xludf.DUMMYFUNCTION("""COMPUTED_VALUE"""),70000)</f>
        <v>70000</v>
      </c>
      <c r="AC183" s="6">
        <f ca="1">IFERROR(__xludf.DUMMYFUNCTION("""COMPUTED_VALUE"""),205484)</f>
        <v>205484</v>
      </c>
      <c r="AD183" s="6" t="str">
        <f ca="1">IFERROR(__xludf.DUMMYFUNCTION("""COMPUTED_VALUE"""),"TRF 05-09")</f>
        <v>TRF 05-09</v>
      </c>
      <c r="AE183" s="6"/>
      <c r="AF183" s="6" t="str">
        <f ca="1">IFERROR(__xludf.DUMMYFUNCTION("""COMPUTED_VALUE"""),"SI")</f>
        <v>SI</v>
      </c>
    </row>
    <row r="184" spans="1:32" ht="13.2">
      <c r="A184" s="35">
        <f ca="1">IFERROR(__xludf.DUMMYFUNCTION("""COMPUTED_VALUE"""),45530.6352040972)</f>
        <v>45530.635204097198</v>
      </c>
      <c r="B184" s="36" t="str">
        <f ca="1">IFERROR(__xludf.DUMMYFUNCTION("""COMPUTED_VALUE"""),"Lorenzo Agustín")</f>
        <v>Lorenzo Agustín</v>
      </c>
      <c r="C184" s="36" t="str">
        <f ca="1">IFERROR(__xludf.DUMMYFUNCTION("""COMPUTED_VALUE"""),"Luzuriaga")</f>
        <v>Luzuriaga</v>
      </c>
      <c r="D184" s="36" t="str">
        <f ca="1">IFERROR(__xludf.DUMMYFUNCTION("""COMPUTED_VALUE"""),"CABA")</f>
        <v>CABA</v>
      </c>
      <c r="E184" s="38" t="str">
        <f ca="1">IFERROR(__xludf.DUMMYFUNCTION("""COMPUTED_VALUE"""),"ARG")</f>
        <v>ARG</v>
      </c>
      <c r="F184" s="38">
        <f ca="1">IFERROR(__xludf.DUMMYFUNCTION("""COMPUTED_VALUE"""),53412958)</f>
        <v>53412958</v>
      </c>
      <c r="G184" s="37">
        <f ca="1">IFERROR(__xludf.DUMMYFUNCTION("""COMPUTED_VALUE"""),41501)</f>
        <v>41501</v>
      </c>
      <c r="H184" s="38">
        <f ca="1">IFERROR(__xludf.DUMMYFUNCTION("""COMPUTED_VALUE"""),1155882998)</f>
        <v>1155882998</v>
      </c>
      <c r="I184" s="38">
        <f ca="1">IFERROR(__xludf.DUMMYFUNCTION("""COMPUTED_VALUE"""),1155882998)</f>
        <v>1155882998</v>
      </c>
      <c r="J184" s="38" t="str">
        <f ca="1">IFERROR(__xludf.DUMMYFUNCTION("""COMPUTED_VALUE"""),"matiasluzuriaga@gmail.com")</f>
        <v>matiasluzuriaga@gmail.com</v>
      </c>
      <c r="K184" s="38" t="str">
        <f ca="1">IFERROR(__xludf.DUMMYFUNCTION("""COMPUTED_VALUE"""),"Masculino")</f>
        <v>Masculino</v>
      </c>
      <c r="L184" s="38" t="str">
        <f ca="1">IFERROR(__xludf.DUMMYFUNCTION("""COMPUTED_VALUE"""),"CUBA")</f>
        <v>CUBA</v>
      </c>
      <c r="M184" s="38" t="str">
        <f ca="1">IFERROR(__xludf.DUMMYFUNCTION("""COMPUTED_VALUE"""),"Optimist Principiantes")</f>
        <v>Optimist Principiantes</v>
      </c>
      <c r="N184" s="6" t="str">
        <f ca="1">IFERROR(__xludf.DUMMYFUNCTION("""COMPUTED_VALUE"""),"OPTIMIST PRINCIPIANTES")</f>
        <v>OPTIMIST PRINCIPIANTES</v>
      </c>
      <c r="O184" s="6"/>
      <c r="P184" s="6">
        <f ca="1">IFERROR(__xludf.DUMMYFUNCTION("""COMPUTED_VALUE"""),3749)</f>
        <v>3749</v>
      </c>
      <c r="Q184" s="38" t="str">
        <f ca="1">IFERROR(__xludf.DUMMYFUNCTION("""COMPUTED_VALUE"""),"POLAR")</f>
        <v>POLAR</v>
      </c>
      <c r="R184" s="38" t="str">
        <f ca="1">IFERROR(__xludf.DUMMYFUNCTION("""COMPUTED_VALUE"""),"Lorenzo Agustín Luzuriaga")</f>
        <v>Lorenzo Agustín Luzuriaga</v>
      </c>
      <c r="S184" s="38"/>
      <c r="T184" s="38"/>
      <c r="U184" s="38"/>
      <c r="V184" s="38"/>
      <c r="W184" s="38"/>
      <c r="X184" s="40" t="str">
        <f ca="1">IFERROR(__xludf.DUMMYFUNCTION("""COMPUTED_VALUE"""),"Accord Salud nº 00649274 020")</f>
        <v>Accord Salud nº 00649274 020</v>
      </c>
      <c r="Y184" s="6" t="str">
        <f ca="1">IFERROR(__xludf.DUMMYFUNCTION("""COMPUTED_VALUE"""),"Si")</f>
        <v>Si</v>
      </c>
      <c r="Z184" s="38" t="str">
        <f ca="1">IFERROR(__xludf.DUMMYFUNCTION("""COMPUTED_VALUE"""),"Acepto")</f>
        <v>Acepto</v>
      </c>
      <c r="AA184" s="38" t="str">
        <f ca="1">IFERROR(__xludf.DUMMYFUNCTION("""COMPUTED_VALUE"""),"Terminado")</f>
        <v>Terminado</v>
      </c>
      <c r="AB184" s="38">
        <f ca="1">IFERROR(__xludf.DUMMYFUNCTION("""COMPUTED_VALUE"""),60000)</f>
        <v>60000</v>
      </c>
      <c r="AC184" s="6">
        <f ca="1">IFERROR(__xludf.DUMMYFUNCTION("""COMPUTED_VALUE"""),205511)</f>
        <v>205511</v>
      </c>
      <c r="AD184" s="6" t="str">
        <f ca="1">IFERROR(__xludf.DUMMYFUNCTION("""COMPUTED_VALUE"""),"TRF 05-09")</f>
        <v>TRF 05-09</v>
      </c>
      <c r="AE184" s="6"/>
      <c r="AF184" s="6"/>
    </row>
    <row r="185" spans="1:32" ht="13.2">
      <c r="A185" s="35">
        <f ca="1">IFERROR(__xludf.DUMMYFUNCTION("""COMPUTED_VALUE"""),45538.5119690046)</f>
        <v>45538.511969004598</v>
      </c>
      <c r="B185" s="36" t="str">
        <f ca="1">IFERROR(__xludf.DUMMYFUNCTION("""COMPUTED_VALUE"""),"Fabian")</f>
        <v>Fabian</v>
      </c>
      <c r="C185" s="36" t="str">
        <f ca="1">IFERROR(__xludf.DUMMYFUNCTION("""COMPUTED_VALUE"""),"Mac Gowan")</f>
        <v>Mac Gowan</v>
      </c>
      <c r="D185" s="36" t="str">
        <f ca="1">IFERROR(__xludf.DUMMYFUNCTION("""COMPUTED_VALUE"""),"Buenas aires")</f>
        <v>Buenas aires</v>
      </c>
      <c r="E185" s="38" t="str">
        <f ca="1">IFERROR(__xludf.DUMMYFUNCTION("""COMPUTED_VALUE"""),"ARG")</f>
        <v>ARG</v>
      </c>
      <c r="F185" s="38">
        <f ca="1">IFERROR(__xludf.DUMMYFUNCTION("""COMPUTED_VALUE"""),20606502)</f>
        <v>20606502</v>
      </c>
      <c r="G185" s="37">
        <f ca="1">IFERROR(__xludf.DUMMYFUNCTION("""COMPUTED_VALUE"""),25203)</f>
        <v>25203</v>
      </c>
      <c r="H185" s="38">
        <f ca="1">IFERROR(__xludf.DUMMYFUNCTION("""COMPUTED_VALUE"""),1144285743)</f>
        <v>1144285743</v>
      </c>
      <c r="I185" s="38"/>
      <c r="J185" s="38" t="str">
        <f ca="1">IFERROR(__xludf.DUMMYFUNCTION("""COMPUTED_VALUE"""),"Sarexpress12@gmail.com")</f>
        <v>Sarexpress12@gmail.com</v>
      </c>
      <c r="K185" s="38" t="str">
        <f ca="1">IFERROR(__xludf.DUMMYFUNCTION("""COMPUTED_VALUE"""),"Masculino")</f>
        <v>Masculino</v>
      </c>
      <c r="L185" s="38" t="str">
        <f ca="1">IFERROR(__xludf.DUMMYFUNCTION("""COMPUTED_VALUE"""),"CNSE")</f>
        <v>CNSE</v>
      </c>
      <c r="M185" s="38" t="str">
        <f ca="1">IFERROR(__xludf.DUMMYFUNCTION("""COMPUTED_VALUE"""),"Master")</f>
        <v>Master</v>
      </c>
      <c r="N185" s="6" t="str">
        <f ca="1">IFERROR(__xludf.DUMMYFUNCTION("""COMPUTED_VALUE"""),"STAR")</f>
        <v>STAR</v>
      </c>
      <c r="O185" s="6"/>
      <c r="P185" s="6">
        <f ca="1">IFERROR(__xludf.DUMMYFUNCTION("""COMPUTED_VALUE"""),8008)</f>
        <v>8008</v>
      </c>
      <c r="Q185" s="38" t="str">
        <f ca="1">IFERROR(__xludf.DUMMYFUNCTION("""COMPUTED_VALUE"""),"NTA")</f>
        <v>NTA</v>
      </c>
      <c r="R185" s="38" t="str">
        <f ca="1">IFERROR(__xludf.DUMMYFUNCTION("""COMPUTED_VALUE"""),"Nicolás Rosas")</f>
        <v>Nicolás Rosas</v>
      </c>
      <c r="S185" s="38"/>
      <c r="T185" s="38"/>
      <c r="U185" s="38"/>
      <c r="V185" s="38"/>
      <c r="W185" s="38"/>
      <c r="X185" s="40" t="str">
        <f ca="1">IFERROR(__xludf.DUMMYFUNCTION("""COMPUTED_VALUE"""),"OSDE ")</f>
        <v xml:space="preserve">OSDE </v>
      </c>
      <c r="Y185" s="6" t="str">
        <f ca="1">IFERROR(__xludf.DUMMYFUNCTION("""COMPUTED_VALUE"""),"No")</f>
        <v>No</v>
      </c>
      <c r="Z185" s="38" t="str">
        <f ca="1">IFERROR(__xludf.DUMMYFUNCTION("""COMPUTED_VALUE"""),"Acepto")</f>
        <v>Acepto</v>
      </c>
      <c r="AA185" s="38" t="str">
        <f ca="1">IFERROR(__xludf.DUMMYFUNCTION("""COMPUTED_VALUE"""),"Terminado")</f>
        <v>Terminado</v>
      </c>
      <c r="AB185" s="38">
        <f ca="1">IFERROR(__xludf.DUMMYFUNCTION("""COMPUTED_VALUE"""),60000)</f>
        <v>60000</v>
      </c>
      <c r="AC185" s="6">
        <f ca="1">IFERROR(__xludf.DUMMYFUNCTION("""COMPUTED_VALUE"""),205379)</f>
        <v>205379</v>
      </c>
      <c r="AD185" s="6" t="str">
        <f ca="1">IFERROR(__xludf.DUMMYFUNCTION("""COMPUTED_VALUE"""),"Tarj 03-09")</f>
        <v>Tarj 03-09</v>
      </c>
      <c r="AE185" s="6"/>
      <c r="AF185" s="6" t="str">
        <f ca="1">IFERROR(__xludf.DUMMYFUNCTION("""COMPUTED_VALUE"""),"Si")</f>
        <v>Si</v>
      </c>
    </row>
    <row r="186" spans="1:32" ht="13.2">
      <c r="A186" s="35">
        <f ca="1">IFERROR(__xludf.DUMMYFUNCTION("""COMPUTED_VALUE"""),45535.7001180555)</f>
        <v>45535.700118055502</v>
      </c>
      <c r="B186" s="36" t="str">
        <f ca="1">IFERROR(__xludf.DUMMYFUNCTION("""COMPUTED_VALUE"""),"Evangelina")</f>
        <v>Evangelina</v>
      </c>
      <c r="C186" s="36" t="str">
        <f ca="1">IFERROR(__xludf.DUMMYFUNCTION("""COMPUTED_VALUE"""),"Maeso")</f>
        <v>Maeso</v>
      </c>
      <c r="D186" s="36" t="str">
        <f ca="1">IFERROR(__xludf.DUMMYFUNCTION("""COMPUTED_VALUE"""),"Buenos Aires")</f>
        <v>Buenos Aires</v>
      </c>
      <c r="E186" s="38" t="str">
        <f ca="1">IFERROR(__xludf.DUMMYFUNCTION("""COMPUTED_VALUE"""),"ARG")</f>
        <v>ARG</v>
      </c>
      <c r="F186" s="38">
        <f ca="1">IFERROR(__xludf.DUMMYFUNCTION("""COMPUTED_VALUE"""),51069814)</f>
        <v>51069814</v>
      </c>
      <c r="G186" s="37">
        <f ca="1">IFERROR(__xludf.DUMMYFUNCTION("""COMPUTED_VALUE"""),40635)</f>
        <v>40635</v>
      </c>
      <c r="H186" s="38">
        <f ca="1">IFERROR(__xludf.DUMMYFUNCTION("""COMPUTED_VALUE"""),1131501011)</f>
        <v>1131501011</v>
      </c>
      <c r="I186" s="38">
        <f ca="1">IFERROR(__xludf.DUMMYFUNCTION("""COMPUTED_VALUE"""),1131501011)</f>
        <v>1131501011</v>
      </c>
      <c r="J186" s="38" t="str">
        <f ca="1">IFERROR(__xludf.DUMMYFUNCTION("""COMPUTED_VALUE"""),"Emiliastrunz@hotmail.com")</f>
        <v>Emiliastrunz@hotmail.com</v>
      </c>
      <c r="K186" s="38" t="str">
        <f ca="1">IFERROR(__xludf.DUMMYFUNCTION("""COMPUTED_VALUE"""),"Femenino")</f>
        <v>Femenino</v>
      </c>
      <c r="L186" s="38" t="str">
        <f ca="1">IFERROR(__xludf.DUMMYFUNCTION("""COMPUTED_VALUE"""),"CUBA")</f>
        <v>CUBA</v>
      </c>
      <c r="M186" s="38" t="str">
        <f ca="1">IFERROR(__xludf.DUMMYFUNCTION("""COMPUTED_VALUE"""),"Interior (Optimist)")</f>
        <v>Interior (Optimist)</v>
      </c>
      <c r="N186" s="6" t="str">
        <f ca="1">IFERROR(__xludf.DUMMYFUNCTION("""COMPUTED_VALUE"""),"OPTIMIST PRINCIPIANTES")</f>
        <v>OPTIMIST PRINCIPIANTES</v>
      </c>
      <c r="O186" s="6"/>
      <c r="P186" s="6">
        <f ca="1">IFERROR(__xludf.DUMMYFUNCTION("""COMPUTED_VALUE"""),4091)</f>
        <v>4091</v>
      </c>
      <c r="Q186" s="38"/>
      <c r="R186" s="38"/>
      <c r="S186" s="38"/>
      <c r="T186" s="38"/>
      <c r="U186" s="38"/>
      <c r="V186" s="38"/>
      <c r="W186" s="38"/>
      <c r="X186" s="40">
        <f ca="1">IFERROR(__xludf.DUMMYFUNCTION("""COMPUTED_VALUE"""),61142218103)</f>
        <v>61142218103</v>
      </c>
      <c r="Y186" s="6" t="str">
        <f ca="1">IFERROR(__xludf.DUMMYFUNCTION("""COMPUTED_VALUE"""),"No")</f>
        <v>No</v>
      </c>
      <c r="Z186" s="38" t="str">
        <f ca="1">IFERROR(__xludf.DUMMYFUNCTION("""COMPUTED_VALUE"""),"Acepto")</f>
        <v>Acepto</v>
      </c>
      <c r="AA186" s="38" t="str">
        <f ca="1">IFERROR(__xludf.DUMMYFUNCTION("""COMPUTED_VALUE"""),"Terminado")</f>
        <v>Terminado</v>
      </c>
      <c r="AB186" s="38">
        <f ca="1">IFERROR(__xludf.DUMMYFUNCTION("""COMPUTED_VALUE"""),50000)</f>
        <v>50000</v>
      </c>
      <c r="AC186" s="6">
        <f ca="1">IFERROR(__xludf.DUMMYFUNCTION("""COMPUTED_VALUE"""),205366)</f>
        <v>205366</v>
      </c>
      <c r="AD186" s="6" t="str">
        <f ca="1">IFERROR(__xludf.DUMMYFUNCTION("""COMPUTED_VALUE"""),"TRF 31-08")</f>
        <v>TRF 31-08</v>
      </c>
      <c r="AE186" s="6"/>
      <c r="AF186" s="6"/>
    </row>
    <row r="187" spans="1:32" ht="13.2">
      <c r="A187" s="35">
        <f ca="1">IFERROR(__xludf.DUMMYFUNCTION("""COMPUTED_VALUE"""),45535.9718328125)</f>
        <v>45535.971832812502</v>
      </c>
      <c r="B187" s="36" t="str">
        <f ca="1">IFERROR(__xludf.DUMMYFUNCTION("""COMPUTED_VALUE"""),"Valentina")</f>
        <v>Valentina</v>
      </c>
      <c r="C187" s="36" t="str">
        <f ca="1">IFERROR(__xludf.DUMMYFUNCTION("""COMPUTED_VALUE"""),"Maffei")</f>
        <v>Maffei</v>
      </c>
      <c r="D187" s="36" t="str">
        <f ca="1">IFERROR(__xludf.DUMMYFUNCTION("""COMPUTED_VALUE"""),"CABA")</f>
        <v>CABA</v>
      </c>
      <c r="E187" s="38" t="str">
        <f ca="1">IFERROR(__xludf.DUMMYFUNCTION("""COMPUTED_VALUE"""),"ARG")</f>
        <v>ARG</v>
      </c>
      <c r="F187" s="38">
        <f ca="1">IFERROR(__xludf.DUMMYFUNCTION("""COMPUTED_VALUE"""),50903230)</f>
        <v>50903230</v>
      </c>
      <c r="G187" s="37">
        <f ca="1">IFERROR(__xludf.DUMMYFUNCTION("""COMPUTED_VALUE"""),40545)</f>
        <v>40545</v>
      </c>
      <c r="H187" s="38">
        <f ca="1">IFERROR(__xludf.DUMMYFUNCTION("""COMPUTED_VALUE"""),1156368464)</f>
        <v>1156368464</v>
      </c>
      <c r="I187" s="38">
        <f ca="1">IFERROR(__xludf.DUMMYFUNCTION("""COMPUTED_VALUE"""),1121894757)</f>
        <v>1121894757</v>
      </c>
      <c r="J187" s="38" t="str">
        <f ca="1">IFERROR(__xludf.DUMMYFUNCTION("""COMPUTED_VALUE"""),"dmemergencias@gmail.com")</f>
        <v>dmemergencias@gmail.com</v>
      </c>
      <c r="K187" s="38" t="str">
        <f ca="1">IFERROR(__xludf.DUMMYFUNCTION("""COMPUTED_VALUE"""),"Femenino")</f>
        <v>Femenino</v>
      </c>
      <c r="L187" s="38" t="str">
        <f ca="1">IFERROR(__xludf.DUMMYFUNCTION("""COMPUTED_VALUE"""),"CVB")</f>
        <v>CVB</v>
      </c>
      <c r="M187" s="38" t="str">
        <f ca="1">IFERROR(__xludf.DUMMYFUNCTION("""COMPUTED_VALUE"""),"Femenino")</f>
        <v>Femenino</v>
      </c>
      <c r="N187" s="6" t="str">
        <f ca="1">IFERROR(__xludf.DUMMYFUNCTION("""COMPUTED_VALUE"""),"OPTIMIST TIMONELES")</f>
        <v>OPTIMIST TIMONELES</v>
      </c>
      <c r="O187" s="6"/>
      <c r="P187" s="6">
        <f ca="1">IFERROR(__xludf.DUMMYFUNCTION("""COMPUTED_VALUE"""),3643)</f>
        <v>3643</v>
      </c>
      <c r="Q187" s="38"/>
      <c r="R187" s="38"/>
      <c r="S187" s="38"/>
      <c r="T187" s="38"/>
      <c r="U187" s="38"/>
      <c r="V187" s="38"/>
      <c r="W187" s="38"/>
      <c r="X187" s="40" t="str">
        <f ca="1">IFERROR(__xludf.DUMMYFUNCTION("""COMPUTED_VALUE"""),"MEDICUS")</f>
        <v>MEDICUS</v>
      </c>
      <c r="Y187" s="6" t="str">
        <f ca="1">IFERROR(__xludf.DUMMYFUNCTION("""COMPUTED_VALUE"""),"No")</f>
        <v>No</v>
      </c>
      <c r="Z187" s="38" t="str">
        <f ca="1">IFERROR(__xludf.DUMMYFUNCTION("""COMPUTED_VALUE"""),"Acepto")</f>
        <v>Acepto</v>
      </c>
      <c r="AA187" s="38" t="str">
        <f ca="1">IFERROR(__xludf.DUMMYFUNCTION("""COMPUTED_VALUE"""),"Terminado")</f>
        <v>Terminado</v>
      </c>
      <c r="AB187" s="38">
        <f ca="1">IFERROR(__xludf.DUMMYFUNCTION("""COMPUTED_VALUE"""),50000)</f>
        <v>50000</v>
      </c>
      <c r="AC187" s="6">
        <f ca="1">IFERROR(__xludf.DUMMYFUNCTION("""COMPUTED_VALUE"""),205338)</f>
        <v>205338</v>
      </c>
      <c r="AD187" s="6" t="str">
        <f ca="1">IFERROR(__xludf.DUMMYFUNCTION("""COMPUTED_VALUE"""),"TRF 31-08")</f>
        <v>TRF 31-08</v>
      </c>
      <c r="AE187" s="6"/>
      <c r="AF187" s="6"/>
    </row>
    <row r="188" spans="1:32" ht="13.2">
      <c r="A188" s="35">
        <f ca="1">IFERROR(__xludf.DUMMYFUNCTION("""COMPUTED_VALUE"""),45535.9740820833)</f>
        <v>45535.974082083303</v>
      </c>
      <c r="B188" s="36" t="str">
        <f ca="1">IFERROR(__xludf.DUMMYFUNCTION("""COMPUTED_VALUE"""),"Maria Victoria")</f>
        <v>Maria Victoria</v>
      </c>
      <c r="C188" s="36" t="str">
        <f ca="1">IFERROR(__xludf.DUMMYFUNCTION("""COMPUTED_VALUE"""),"Maffei")</f>
        <v>Maffei</v>
      </c>
      <c r="D188" s="36" t="str">
        <f ca="1">IFERROR(__xludf.DUMMYFUNCTION("""COMPUTED_VALUE"""),"CABA")</f>
        <v>CABA</v>
      </c>
      <c r="E188" s="38" t="str">
        <f ca="1">IFERROR(__xludf.DUMMYFUNCTION("""COMPUTED_VALUE"""),"ARG")</f>
        <v>ARG</v>
      </c>
      <c r="F188" s="38">
        <f ca="1">IFERROR(__xludf.DUMMYFUNCTION("""COMPUTED_VALUE"""),52440150)</f>
        <v>52440150</v>
      </c>
      <c r="G188" s="37">
        <f ca="1">IFERROR(__xludf.DUMMYFUNCTION("""COMPUTED_VALUE"""),41011)</f>
        <v>41011</v>
      </c>
      <c r="H188" s="38">
        <f ca="1">IFERROR(__xludf.DUMMYFUNCTION("""COMPUTED_VALUE"""),1153638464)</f>
        <v>1153638464</v>
      </c>
      <c r="I188" s="38">
        <f ca="1">IFERROR(__xludf.DUMMYFUNCTION("""COMPUTED_VALUE"""),1121894758)</f>
        <v>1121894758</v>
      </c>
      <c r="J188" s="38" t="str">
        <f ca="1">IFERROR(__xludf.DUMMYFUNCTION("""COMPUTED_VALUE"""),"dmemergencias@gmail.com")</f>
        <v>dmemergencias@gmail.com</v>
      </c>
      <c r="K188" s="38" t="str">
        <f ca="1">IFERROR(__xludf.DUMMYFUNCTION("""COMPUTED_VALUE"""),"Femenino")</f>
        <v>Femenino</v>
      </c>
      <c r="L188" s="38" t="str">
        <f ca="1">IFERROR(__xludf.DUMMYFUNCTION("""COMPUTED_VALUE"""),"CVB")</f>
        <v>CVB</v>
      </c>
      <c r="M188" s="38" t="str">
        <f ca="1">IFERROR(__xludf.DUMMYFUNCTION("""COMPUTED_VALUE"""),"Femenino")</f>
        <v>Femenino</v>
      </c>
      <c r="N188" s="6" t="str">
        <f ca="1">IFERROR(__xludf.DUMMYFUNCTION("""COMPUTED_VALUE"""),"OPTIMIST PRINCIPIANTES")</f>
        <v>OPTIMIST PRINCIPIANTES</v>
      </c>
      <c r="O188" s="6"/>
      <c r="P188" s="6">
        <f ca="1">IFERROR(__xludf.DUMMYFUNCTION("""COMPUTED_VALUE"""),3950)</f>
        <v>3950</v>
      </c>
      <c r="Q188" s="38"/>
      <c r="R188" s="38"/>
      <c r="S188" s="38"/>
      <c r="T188" s="38"/>
      <c r="U188" s="38"/>
      <c r="V188" s="38"/>
      <c r="W188" s="38"/>
      <c r="X188" s="40" t="str">
        <f ca="1">IFERROR(__xludf.DUMMYFUNCTION("""COMPUTED_VALUE"""),"MEDICUS")</f>
        <v>MEDICUS</v>
      </c>
      <c r="Y188" s="6" t="str">
        <f ca="1">IFERROR(__xludf.DUMMYFUNCTION("""COMPUTED_VALUE"""),"No")</f>
        <v>No</v>
      </c>
      <c r="Z188" s="38" t="str">
        <f ca="1">IFERROR(__xludf.DUMMYFUNCTION("""COMPUTED_VALUE"""),"Acepto")</f>
        <v>Acepto</v>
      </c>
      <c r="AA188" s="38" t="str">
        <f ca="1">IFERROR(__xludf.DUMMYFUNCTION("""COMPUTED_VALUE"""),"Terminado")</f>
        <v>Terminado</v>
      </c>
      <c r="AB188" s="38">
        <f ca="1">IFERROR(__xludf.DUMMYFUNCTION("""COMPUTED_VALUE"""),50000)</f>
        <v>50000</v>
      </c>
      <c r="AC188" s="6">
        <f ca="1">IFERROR(__xludf.DUMMYFUNCTION("""COMPUTED_VALUE"""),205339)</f>
        <v>205339</v>
      </c>
      <c r="AD188" s="6" t="str">
        <f ca="1">IFERROR(__xludf.DUMMYFUNCTION("""COMPUTED_VALUE"""),"TRF 31-08")</f>
        <v>TRF 31-08</v>
      </c>
      <c r="AE188" s="6"/>
      <c r="AF188" s="6"/>
    </row>
    <row r="189" spans="1:32" ht="13.2">
      <c r="A189" s="35">
        <f ca="1">IFERROR(__xludf.DUMMYFUNCTION("""COMPUTED_VALUE"""),45538.5877211226)</f>
        <v>45538.587721122603</v>
      </c>
      <c r="B189" s="36" t="str">
        <f ca="1">IFERROR(__xludf.DUMMYFUNCTION("""COMPUTED_VALUE"""),"Horacio ")</f>
        <v xml:space="preserve">Horacio </v>
      </c>
      <c r="C189" s="36" t="str">
        <f ca="1">IFERROR(__xludf.DUMMYFUNCTION("""COMPUTED_VALUE"""),"Maffei")</f>
        <v>Maffei</v>
      </c>
      <c r="D189" s="36" t="str">
        <f ca="1">IFERROR(__xludf.DUMMYFUNCTION("""COMPUTED_VALUE"""),"El Palomar")</f>
        <v>El Palomar</v>
      </c>
      <c r="E189" s="38" t="str">
        <f ca="1">IFERROR(__xludf.DUMMYFUNCTION("""COMPUTED_VALUE"""),"ARG")</f>
        <v>ARG</v>
      </c>
      <c r="F189" s="38">
        <f ca="1">IFERROR(__xludf.DUMMYFUNCTION("""COMPUTED_VALUE"""),11684869)</f>
        <v>11684869</v>
      </c>
      <c r="G189" s="37">
        <f ca="1">IFERROR(__xludf.DUMMYFUNCTION("""COMPUTED_VALUE"""),20313)</f>
        <v>20313</v>
      </c>
      <c r="H189" s="38">
        <f ca="1">IFERROR(__xludf.DUMMYFUNCTION("""COMPUTED_VALUE"""),1151631122)</f>
        <v>1151631122</v>
      </c>
      <c r="I189" s="38">
        <f ca="1">IFERROR(__xludf.DUMMYFUNCTION("""COMPUTED_VALUE"""),1166455365)</f>
        <v>1166455365</v>
      </c>
      <c r="J189" s="38" t="str">
        <f ca="1">IFERROR(__xludf.DUMMYFUNCTION("""COMPUTED_VALUE"""),"hamaffei@hotmail.com")</f>
        <v>hamaffei@hotmail.com</v>
      </c>
      <c r="K189" s="38" t="str">
        <f ca="1">IFERROR(__xludf.DUMMYFUNCTION("""COMPUTED_VALUE"""),"Masculino")</f>
        <v>Masculino</v>
      </c>
      <c r="L189" s="38" t="str">
        <f ca="1">IFERROR(__xludf.DUMMYFUNCTION("""COMPUTED_VALUE"""),"CPNLB")</f>
        <v>CPNLB</v>
      </c>
      <c r="M189" s="38"/>
      <c r="N189" s="6" t="str">
        <f ca="1">IFERROR(__xludf.DUMMYFUNCTION("""COMPUTED_VALUE"""),"GRUMETE")</f>
        <v>GRUMETE</v>
      </c>
      <c r="O189" s="6"/>
      <c r="P189" s="6">
        <f ca="1">IFERROR(__xludf.DUMMYFUNCTION("""COMPUTED_VALUE"""),302)</f>
        <v>302</v>
      </c>
      <c r="Q189" s="38" t="str">
        <f ca="1">IFERROR(__xludf.DUMMYFUNCTION("""COMPUTED_VALUE"""),"MI VIEJO")</f>
        <v>MI VIEJO</v>
      </c>
      <c r="R189" s="38" t="str">
        <f ca="1">IFERROR(__xludf.DUMMYFUNCTION("""COMPUTED_VALUE"""),"Fernando Rizzo")</f>
        <v>Fernando Rizzo</v>
      </c>
      <c r="S189" s="38" t="str">
        <f ca="1">IFERROR(__xludf.DUMMYFUNCTION("""COMPUTED_VALUE"""),"Ignacio Stella")</f>
        <v>Ignacio Stella</v>
      </c>
      <c r="T189" s="38"/>
      <c r="U189" s="38"/>
      <c r="V189" s="38"/>
      <c r="W189" s="38"/>
      <c r="X189" s="40"/>
      <c r="Y189" s="6" t="str">
        <f ca="1">IFERROR(__xludf.DUMMYFUNCTION("""COMPUTED_VALUE"""),"No")</f>
        <v>No</v>
      </c>
      <c r="Z189" s="38" t="str">
        <f ca="1">IFERROR(__xludf.DUMMYFUNCTION("""COMPUTED_VALUE"""),"Acepto")</f>
        <v>Acepto</v>
      </c>
      <c r="AA189" s="38" t="str">
        <f ca="1">IFERROR(__xludf.DUMMYFUNCTION("""COMPUTED_VALUE"""),"Terminado")</f>
        <v>Terminado</v>
      </c>
      <c r="AB189" s="38">
        <f ca="1">IFERROR(__xludf.DUMMYFUNCTION("""COMPUTED_VALUE"""),50000)</f>
        <v>50000</v>
      </c>
      <c r="AC189" s="6">
        <f ca="1">IFERROR(__xludf.DUMMYFUNCTION("""COMPUTED_VALUE"""),205507)</f>
        <v>205507</v>
      </c>
      <c r="AD189" s="6" t="str">
        <f ca="1">IFERROR(__xludf.DUMMYFUNCTION("""COMPUTED_VALUE"""),"TRF 05-09")</f>
        <v>TRF 05-09</v>
      </c>
      <c r="AE189" s="6"/>
      <c r="AF189" s="6"/>
    </row>
    <row r="190" spans="1:32" ht="13.2">
      <c r="A190" s="35">
        <f ca="1">IFERROR(__xludf.DUMMYFUNCTION("""COMPUTED_VALUE"""),45538.8087801851)</f>
        <v>45538.8087801851</v>
      </c>
      <c r="B190" s="36" t="str">
        <f ca="1">IFERROR(__xludf.DUMMYFUNCTION("""COMPUTED_VALUE"""),"Constantino")</f>
        <v>Constantino</v>
      </c>
      <c r="C190" s="36" t="str">
        <f ca="1">IFERROR(__xludf.DUMMYFUNCTION("""COMPUTED_VALUE"""),"Maffei")</f>
        <v>Maffei</v>
      </c>
      <c r="D190" s="36" t="str">
        <f ca="1">IFERROR(__xludf.DUMMYFUNCTION("""COMPUTED_VALUE"""),"Buenos Aires")</f>
        <v>Buenos Aires</v>
      </c>
      <c r="E190" s="38" t="str">
        <f ca="1">IFERROR(__xludf.DUMMYFUNCTION("""COMPUTED_VALUE"""),"ARG")</f>
        <v>ARG</v>
      </c>
      <c r="F190" s="38">
        <f ca="1">IFERROR(__xludf.DUMMYFUNCTION("""COMPUTED_VALUE"""),51157369)</f>
        <v>51157369</v>
      </c>
      <c r="G190" s="37">
        <f ca="1">IFERROR(__xludf.DUMMYFUNCTION("""COMPUTED_VALUE"""),40725)</f>
        <v>40725</v>
      </c>
      <c r="H190" s="38">
        <f ca="1">IFERROR(__xludf.DUMMYFUNCTION("""COMPUTED_VALUE"""),1159763843)</f>
        <v>1159763843</v>
      </c>
      <c r="I190" s="38">
        <f ca="1">IFERROR(__xludf.DUMMYFUNCTION("""COMPUTED_VALUE"""),1151261100)</f>
        <v>1151261100</v>
      </c>
      <c r="J190" s="38" t="str">
        <f ca="1">IFERROR(__xludf.DUMMYFUNCTION("""COMPUTED_VALUE"""),"carinafarinelli@hotmail.com")</f>
        <v>carinafarinelli@hotmail.com</v>
      </c>
      <c r="K190" s="38" t="str">
        <f ca="1">IFERROR(__xludf.DUMMYFUNCTION("""COMPUTED_VALUE"""),"Masculino")</f>
        <v>Masculino</v>
      </c>
      <c r="L190" s="38" t="str">
        <f ca="1">IFERROR(__xludf.DUMMYFUNCTION("""COMPUTED_VALUE"""),"CPNLB")</f>
        <v>CPNLB</v>
      </c>
      <c r="M190" s="38"/>
      <c r="N190" s="6" t="str">
        <f ca="1">IFERROR(__xludf.DUMMYFUNCTION("""COMPUTED_VALUE"""),"OPTIMIST TIMONELES")</f>
        <v>OPTIMIST TIMONELES</v>
      </c>
      <c r="O190" s="6"/>
      <c r="P190" s="6">
        <f ca="1">IFERROR(__xludf.DUMMYFUNCTION("""COMPUTED_VALUE"""),4047)</f>
        <v>4047</v>
      </c>
      <c r="Q190" s="38" t="str">
        <f ca="1">IFERROR(__xludf.DUMMYFUNCTION("""COMPUTED_VALUE"""),"Demoledor ")</f>
        <v xml:space="preserve">Demoledor </v>
      </c>
      <c r="R190" s="38"/>
      <c r="S190" s="38"/>
      <c r="T190" s="38"/>
      <c r="U190" s="38"/>
      <c r="V190" s="38"/>
      <c r="W190" s="38"/>
      <c r="X190" s="40" t="str">
        <f ca="1">IFERROR(__xludf.DUMMYFUNCTION("""COMPUTED_VALUE"""),"OSDE 310")</f>
        <v>OSDE 310</v>
      </c>
      <c r="Y190" s="6" t="str">
        <f ca="1">IFERROR(__xludf.DUMMYFUNCTION("""COMPUTED_VALUE"""),"Si")</f>
        <v>Si</v>
      </c>
      <c r="Z190" s="38" t="str">
        <f ca="1">IFERROR(__xludf.DUMMYFUNCTION("""COMPUTED_VALUE"""),"Acepto")</f>
        <v>Acepto</v>
      </c>
      <c r="AA190" s="38" t="str">
        <f ca="1">IFERROR(__xludf.DUMMYFUNCTION("""COMPUTED_VALUE"""),"Pendiente")</f>
        <v>Pendiente</v>
      </c>
      <c r="AB190" s="38"/>
      <c r="AC190" s="6"/>
      <c r="AD190" s="6"/>
      <c r="AE190" s="6"/>
      <c r="AF190" s="6"/>
    </row>
    <row r="191" spans="1:32" ht="13.2">
      <c r="A191" s="35">
        <f ca="1">IFERROR(__xludf.DUMMYFUNCTION("""COMPUTED_VALUE"""),45538.8106862384)</f>
        <v>45538.810686238401</v>
      </c>
      <c r="B191" s="36" t="str">
        <f ca="1">IFERROR(__xludf.DUMMYFUNCTION("""COMPUTED_VALUE"""),"Francesco")</f>
        <v>Francesco</v>
      </c>
      <c r="C191" s="36" t="str">
        <f ca="1">IFERROR(__xludf.DUMMYFUNCTION("""COMPUTED_VALUE"""),"Maffei")</f>
        <v>Maffei</v>
      </c>
      <c r="D191" s="36" t="str">
        <f ca="1">IFERROR(__xludf.DUMMYFUNCTION("""COMPUTED_VALUE"""),"Buenos Aires")</f>
        <v>Buenos Aires</v>
      </c>
      <c r="E191" s="38" t="str">
        <f ca="1">IFERROR(__xludf.DUMMYFUNCTION("""COMPUTED_VALUE"""),"ARG")</f>
        <v>ARG</v>
      </c>
      <c r="F191" s="38">
        <f ca="1">IFERROR(__xludf.DUMMYFUNCTION("""COMPUTED_VALUE"""),54055585)</f>
        <v>54055585</v>
      </c>
      <c r="G191" s="37">
        <f ca="1">IFERROR(__xludf.DUMMYFUNCTION("""COMPUTED_VALUE"""),41801)</f>
        <v>41801</v>
      </c>
      <c r="H191" s="38">
        <f ca="1">IFERROR(__xludf.DUMMYFUNCTION("""COMPUTED_VALUE"""),1159763843)</f>
        <v>1159763843</v>
      </c>
      <c r="I191" s="38">
        <f ca="1">IFERROR(__xludf.DUMMYFUNCTION("""COMPUTED_VALUE"""),1151261100)</f>
        <v>1151261100</v>
      </c>
      <c r="J191" s="38" t="str">
        <f ca="1">IFERROR(__xludf.DUMMYFUNCTION("""COMPUTED_VALUE"""),"carinafarinelli@hotmail.com")</f>
        <v>carinafarinelli@hotmail.com</v>
      </c>
      <c r="K191" s="38" t="str">
        <f ca="1">IFERROR(__xludf.DUMMYFUNCTION("""COMPUTED_VALUE"""),"Masculino")</f>
        <v>Masculino</v>
      </c>
      <c r="L191" s="38" t="str">
        <f ca="1">IFERROR(__xludf.DUMMYFUNCTION("""COMPUTED_VALUE"""),"CPNLB")</f>
        <v>CPNLB</v>
      </c>
      <c r="M191" s="38" t="str">
        <f ca="1">IFERROR(__xludf.DUMMYFUNCTION("""COMPUTED_VALUE"""),"Sub 12")</f>
        <v>Sub 12</v>
      </c>
      <c r="N191" s="6" t="str">
        <f ca="1">IFERROR(__xludf.DUMMYFUNCTION("""COMPUTED_VALUE"""),"OPTIMIST PRINCIPIANTES")</f>
        <v>OPTIMIST PRINCIPIANTES</v>
      </c>
      <c r="O191" s="6"/>
      <c r="P191" s="6">
        <f ca="1">IFERROR(__xludf.DUMMYFUNCTION("""COMPUTED_VALUE"""),3602)</f>
        <v>3602</v>
      </c>
      <c r="Q191" s="38" t="str">
        <f ca="1">IFERROR(__xludf.DUMMYFUNCTION("""COMPUTED_VALUE"""),"Phoenixheart")</f>
        <v>Phoenixheart</v>
      </c>
      <c r="R191" s="38"/>
      <c r="S191" s="38"/>
      <c r="T191" s="38"/>
      <c r="U191" s="38"/>
      <c r="V191" s="38"/>
      <c r="W191" s="38"/>
      <c r="X191" s="40" t="str">
        <f ca="1">IFERROR(__xludf.DUMMYFUNCTION("""COMPUTED_VALUE"""),"OSDE 310")</f>
        <v>OSDE 310</v>
      </c>
      <c r="Y191" s="6" t="str">
        <f ca="1">IFERROR(__xludf.DUMMYFUNCTION("""COMPUTED_VALUE"""),"Si")</f>
        <v>Si</v>
      </c>
      <c r="Z191" s="38" t="str">
        <f ca="1">IFERROR(__xludf.DUMMYFUNCTION("""COMPUTED_VALUE"""),"Acepto")</f>
        <v>Acepto</v>
      </c>
      <c r="AA191" s="38" t="str">
        <f ca="1">IFERROR(__xludf.DUMMYFUNCTION("""COMPUTED_VALUE"""),"Pendiente")</f>
        <v>Pendiente</v>
      </c>
      <c r="AB191" s="38"/>
      <c r="AC191" s="6"/>
      <c r="AD191" s="6"/>
      <c r="AE191" s="6"/>
      <c r="AF191" s="6"/>
    </row>
    <row r="192" spans="1:32" ht="13.2">
      <c r="A192" s="35">
        <f ca="1">IFERROR(__xludf.DUMMYFUNCTION("""COMPUTED_VALUE"""),45538.7409922685)</f>
        <v>45538.740992268496</v>
      </c>
      <c r="B192" s="36" t="str">
        <f ca="1">IFERROR(__xludf.DUMMYFUNCTION("""COMPUTED_VALUE"""),"FEDERICO EDUARDO")</f>
        <v>FEDERICO EDUARDO</v>
      </c>
      <c r="C192" s="36" t="str">
        <f ca="1">IFERROR(__xludf.DUMMYFUNCTION("""COMPUTED_VALUE"""),"MAINERO")</f>
        <v>MAINERO</v>
      </c>
      <c r="D192" s="36" t="str">
        <f ca="1">IFERROR(__xludf.DUMMYFUNCTION("""COMPUTED_VALUE"""),"BUENOS AIRES")</f>
        <v>BUENOS AIRES</v>
      </c>
      <c r="E192" s="38" t="str">
        <f ca="1">IFERROR(__xludf.DUMMYFUNCTION("""COMPUTED_VALUE"""),"ARG")</f>
        <v>ARG</v>
      </c>
      <c r="F192" s="38">
        <f ca="1">IFERROR(__xludf.DUMMYFUNCTION("""COMPUTED_VALUE"""),52448630)</f>
        <v>52448630</v>
      </c>
      <c r="G192" s="37">
        <f ca="1">IFERROR(__xludf.DUMMYFUNCTION("""COMPUTED_VALUE"""),41049)</f>
        <v>41049</v>
      </c>
      <c r="H192" s="38">
        <f ca="1">IFERROR(__xludf.DUMMYFUNCTION("""COMPUTED_VALUE"""),1149924264)</f>
        <v>1149924264</v>
      </c>
      <c r="I192" s="38">
        <f ca="1">IFERROR(__xludf.DUMMYFUNCTION("""COMPUTED_VALUE"""),1161929890)</f>
        <v>1161929890</v>
      </c>
      <c r="J192" s="38" t="str">
        <f ca="1">IFERROR(__xludf.DUMMYFUNCTION("""COMPUTED_VALUE"""),"info@mainerowicht.com.ar")</f>
        <v>info@mainerowicht.com.ar</v>
      </c>
      <c r="K192" s="38" t="str">
        <f ca="1">IFERROR(__xludf.DUMMYFUNCTION("""COMPUTED_VALUE"""),"Masculino")</f>
        <v>Masculino</v>
      </c>
      <c r="L192" s="38" t="str">
        <f ca="1">IFERROR(__xludf.DUMMYFUNCTION("""COMPUTED_VALUE"""),"YCCN")</f>
        <v>YCCN</v>
      </c>
      <c r="M192" s="38"/>
      <c r="N192" s="6" t="str">
        <f ca="1">IFERROR(__xludf.DUMMYFUNCTION("""COMPUTED_VALUE"""),"OPTIMIST TIMONELES")</f>
        <v>OPTIMIST TIMONELES</v>
      </c>
      <c r="O192" s="6"/>
      <c r="P192" s="6">
        <f ca="1">IFERROR(__xludf.DUMMYFUNCTION("""COMPUTED_VALUE"""),3968)</f>
        <v>3968</v>
      </c>
      <c r="Q192" s="38"/>
      <c r="R192" s="38"/>
      <c r="S192" s="38"/>
      <c r="T192" s="38"/>
      <c r="U192" s="38"/>
      <c r="V192" s="38"/>
      <c r="W192" s="38"/>
      <c r="X192" s="40" t="str">
        <f ca="1">IFERROR(__xludf.DUMMYFUNCTION("""COMPUTED_VALUE"""),"OMINT")</f>
        <v>OMINT</v>
      </c>
      <c r="Y192" s="6" t="str">
        <f ca="1">IFERROR(__xludf.DUMMYFUNCTION("""COMPUTED_VALUE"""),"No")</f>
        <v>No</v>
      </c>
      <c r="Z192" s="38" t="str">
        <f ca="1">IFERROR(__xludf.DUMMYFUNCTION("""COMPUTED_VALUE"""),"Acepto")</f>
        <v>Acepto</v>
      </c>
      <c r="AA192" s="38" t="str">
        <f ca="1">IFERROR(__xludf.DUMMYFUNCTION("""COMPUTED_VALUE"""),"Terminado")</f>
        <v>Terminado</v>
      </c>
      <c r="AB192" s="38">
        <f ca="1">IFERROR(__xludf.DUMMYFUNCTION("""COMPUTED_VALUE"""),50000)</f>
        <v>50000</v>
      </c>
      <c r="AC192" s="6">
        <f ca="1">IFERROR(__xludf.DUMMYFUNCTION("""COMPUTED_VALUE"""),205418)</f>
        <v>205418</v>
      </c>
      <c r="AD192" s="6" t="str">
        <f ca="1">IFERROR(__xludf.DUMMYFUNCTION("""COMPUTED_VALUE"""),"TRF 03-09")</f>
        <v>TRF 03-09</v>
      </c>
      <c r="AE192" s="6"/>
      <c r="AF192" s="6"/>
    </row>
    <row r="193" spans="1:32" ht="13.2">
      <c r="A193" s="35">
        <f ca="1">IFERROR(__xludf.DUMMYFUNCTION("""COMPUTED_VALUE"""),45523.6012064467)</f>
        <v>45523.6012064467</v>
      </c>
      <c r="B193" s="36" t="str">
        <f ca="1">IFERROR(__xludf.DUMMYFUNCTION("""COMPUTED_VALUE"""),"David Orlando ")</f>
        <v xml:space="preserve">David Orlando </v>
      </c>
      <c r="C193" s="36" t="str">
        <f ca="1">IFERROR(__xludf.DUMMYFUNCTION("""COMPUTED_VALUE"""),"Mancini ")</f>
        <v xml:space="preserve">Mancini </v>
      </c>
      <c r="D193" s="36" t="str">
        <f ca="1">IFERROR(__xludf.DUMMYFUNCTION("""COMPUTED_VALUE"""),"Viedma")</f>
        <v>Viedma</v>
      </c>
      <c r="E193" s="38" t="str">
        <f ca="1">IFERROR(__xludf.DUMMYFUNCTION("""COMPUTED_VALUE"""),"ARG")</f>
        <v>ARG</v>
      </c>
      <c r="F193" s="38">
        <f ca="1">IFERROR(__xludf.DUMMYFUNCTION("""COMPUTED_VALUE"""),28144761)</f>
        <v>28144761</v>
      </c>
      <c r="G193" s="37">
        <f ca="1">IFERROR(__xludf.DUMMYFUNCTION("""COMPUTED_VALUE"""),29366)</f>
        <v>29366</v>
      </c>
      <c r="H193" s="38">
        <f ca="1">IFERROR(__xludf.DUMMYFUNCTION("""COMPUTED_VALUE"""),2920475364)</f>
        <v>2920475364</v>
      </c>
      <c r="I193" s="38">
        <f ca="1">IFERROR(__xludf.DUMMYFUNCTION("""COMPUTED_VALUE"""),2920521738)</f>
        <v>2920521738</v>
      </c>
      <c r="J193" s="38" t="str">
        <f ca="1">IFERROR(__xludf.DUMMYFUNCTION("""COMPUTED_VALUE"""),"mancinidav8025@gmail.com")</f>
        <v>mancinidav8025@gmail.com</v>
      </c>
      <c r="K193" s="38" t="str">
        <f ca="1">IFERROR(__xludf.DUMMYFUNCTION("""COMPUTED_VALUE"""),"Masculino")</f>
        <v>Masculino</v>
      </c>
      <c r="L193" s="38" t="str">
        <f ca="1">IFERROR(__xludf.DUMMYFUNCTION("""COMPUTED_VALUE"""),"Club náutico La Ribera ")</f>
        <v xml:space="preserve">Club náutico La Ribera </v>
      </c>
      <c r="M193" s="38" t="str">
        <f ca="1">IFERROR(__xludf.DUMMYFUNCTION("""COMPUTED_VALUE"""),"Pampero ")</f>
        <v xml:space="preserve">Pampero </v>
      </c>
      <c r="N193" s="6" t="str">
        <f ca="1">IFERROR(__xludf.DUMMYFUNCTION("""COMPUTED_VALUE"""),"PAMPERO")</f>
        <v>PAMPERO</v>
      </c>
      <c r="O193" s="6"/>
      <c r="P193" s="6">
        <f ca="1">IFERROR(__xludf.DUMMYFUNCTION("""COMPUTED_VALUE"""),2430)</f>
        <v>2430</v>
      </c>
      <c r="Q193" s="38" t="str">
        <f ca="1">IFERROR(__xludf.DUMMYFUNCTION("""COMPUTED_VALUE"""),"Poseidon ")</f>
        <v xml:space="preserve">Poseidon </v>
      </c>
      <c r="R193" s="38" t="str">
        <f ca="1">IFERROR(__xludf.DUMMYFUNCTION("""COMPUTED_VALUE"""),"Mancini David ")</f>
        <v xml:space="preserve">Mancini David </v>
      </c>
      <c r="S193" s="38" t="str">
        <f ca="1">IFERROR(__xludf.DUMMYFUNCTION("""COMPUTED_VALUE"""),"Guevara Federico ")</f>
        <v xml:space="preserve">Guevara Federico </v>
      </c>
      <c r="T193" s="38"/>
      <c r="U193" s="38"/>
      <c r="V193" s="38"/>
      <c r="W193" s="38"/>
      <c r="X193" s="40" t="str">
        <f ca="1">IFERROR(__xludf.DUMMYFUNCTION("""COMPUTED_VALUE"""),"Ipross")</f>
        <v>Ipross</v>
      </c>
      <c r="Y193" s="6" t="str">
        <f ca="1">IFERROR(__xludf.DUMMYFUNCTION("""COMPUTED_VALUE"""),"Si")</f>
        <v>Si</v>
      </c>
      <c r="Z193" s="38" t="str">
        <f ca="1">IFERROR(__xludf.DUMMYFUNCTION("""COMPUTED_VALUE"""),"Acepto")</f>
        <v>Acepto</v>
      </c>
      <c r="AA193" s="38" t="str">
        <f ca="1">IFERROR(__xludf.DUMMYFUNCTION("""COMPUTED_VALUE"""),"Terminado")</f>
        <v>Terminado</v>
      </c>
      <c r="AB193" s="38">
        <f ca="1">IFERROR(__xludf.DUMMYFUNCTION("""COMPUTED_VALUE"""),60000)</f>
        <v>60000</v>
      </c>
      <c r="AC193" s="6">
        <f ca="1">IFERROR(__xludf.DUMMYFUNCTION("""COMPUTED_VALUE"""),205035)</f>
        <v>205035</v>
      </c>
      <c r="AD193" s="6" t="str">
        <f ca="1">IFERROR(__xludf.DUMMYFUNCTION("""COMPUTED_VALUE"""),"TRF 21-08")</f>
        <v>TRF 21-08</v>
      </c>
      <c r="AE193" s="6"/>
      <c r="AF193" s="6" t="str">
        <f ca="1">IFERROR(__xludf.DUMMYFUNCTION("""COMPUTED_VALUE"""),"Si")</f>
        <v>Si</v>
      </c>
    </row>
    <row r="194" spans="1:32" ht="13.2">
      <c r="A194" s="35">
        <f ca="1">IFERROR(__xludf.DUMMYFUNCTION("""COMPUTED_VALUE"""),45533.836279375)</f>
        <v>45533.836279374998</v>
      </c>
      <c r="B194" s="36" t="str">
        <f ca="1">IFERROR(__xludf.DUMMYFUNCTION("""COMPUTED_VALUE"""),"Nicolás María ")</f>
        <v xml:space="preserve">Nicolás María </v>
      </c>
      <c r="C194" s="36" t="str">
        <f ca="1">IFERROR(__xludf.DUMMYFUNCTION("""COMPUTED_VALUE"""),"Marchegiani ")</f>
        <v xml:space="preserve">Marchegiani </v>
      </c>
      <c r="D194" s="36" t="str">
        <f ca="1">IFERROR(__xludf.DUMMYFUNCTION("""COMPUTED_VALUE"""),"Caba")</f>
        <v>Caba</v>
      </c>
      <c r="E194" s="38" t="str">
        <f ca="1">IFERROR(__xludf.DUMMYFUNCTION("""COMPUTED_VALUE"""),"ARG")</f>
        <v>ARG</v>
      </c>
      <c r="F194" s="38">
        <f ca="1">IFERROR(__xludf.DUMMYFUNCTION("""COMPUTED_VALUE"""),52445954)</f>
        <v>52445954</v>
      </c>
      <c r="G194" s="37">
        <f ca="1">IFERROR(__xludf.DUMMYFUNCTION("""COMPUTED_VALUE"""),41017)</f>
        <v>41017</v>
      </c>
      <c r="H194" s="38">
        <f ca="1">IFERROR(__xludf.DUMMYFUNCTION("""COMPUTED_VALUE"""),1131991095)</f>
        <v>1131991095</v>
      </c>
      <c r="I194" s="38" t="str">
        <f ca="1">IFERROR(__xludf.DUMMYFUNCTION("""COMPUTED_VALUE"""),"+54 9 11 5601-3069")</f>
        <v>+54 9 11 5601-3069</v>
      </c>
      <c r="J194" s="38" t="str">
        <f ca="1">IFERROR(__xludf.DUMMYFUNCTION("""COMPUTED_VALUE"""),"emarchegiani@outlook.com")</f>
        <v>emarchegiani@outlook.com</v>
      </c>
      <c r="K194" s="38" t="str">
        <f ca="1">IFERROR(__xludf.DUMMYFUNCTION("""COMPUTED_VALUE"""),"Masculino")</f>
        <v>Masculino</v>
      </c>
      <c r="L194" s="38" t="str">
        <f ca="1">IFERROR(__xludf.DUMMYFUNCTION("""COMPUTED_VALUE"""),"YCA")</f>
        <v>YCA</v>
      </c>
      <c r="M194" s="38"/>
      <c r="N194" s="6" t="str">
        <f ca="1">IFERROR(__xludf.DUMMYFUNCTION("""COMPUTED_VALUE"""),"OPTIMIST PRINCIPIANTES")</f>
        <v>OPTIMIST PRINCIPIANTES</v>
      </c>
      <c r="O194" s="6"/>
      <c r="P194" s="6">
        <f ca="1">IFERROR(__xludf.DUMMYFUNCTION("""COMPUTED_VALUE"""),3820)</f>
        <v>3820</v>
      </c>
      <c r="Q194" s="38" t="str">
        <f ca="1">IFERROR(__xludf.DUMMYFUNCTION("""COMPUTED_VALUE"""),"Veloce")</f>
        <v>Veloce</v>
      </c>
      <c r="R194" s="38"/>
      <c r="S194" s="38"/>
      <c r="T194" s="38"/>
      <c r="U194" s="38"/>
      <c r="V194" s="38"/>
      <c r="W194" s="38"/>
      <c r="X194" s="40" t="str">
        <f ca="1">IFERROR(__xludf.DUMMYFUNCTION("""COMPUTED_VALUE"""),"Plan Médico H.Aleman 530204942503 5 OI")</f>
        <v>Plan Médico H.Aleman 530204942503 5 OI</v>
      </c>
      <c r="Y194" s="6" t="str">
        <f ca="1">IFERROR(__xludf.DUMMYFUNCTION("""COMPUTED_VALUE"""),"No")</f>
        <v>No</v>
      </c>
      <c r="Z194" s="38" t="str">
        <f ca="1">IFERROR(__xludf.DUMMYFUNCTION("""COMPUTED_VALUE"""),"Acepto")</f>
        <v>Acepto</v>
      </c>
      <c r="AA194" s="38" t="str">
        <f ca="1">IFERROR(__xludf.DUMMYFUNCTION("""COMPUTED_VALUE"""),"Pendiente")</f>
        <v>Pendiente</v>
      </c>
      <c r="AB194" s="38"/>
      <c r="AC194" s="6"/>
      <c r="AD194" s="6"/>
      <c r="AE194" s="6"/>
      <c r="AF194" s="6"/>
    </row>
    <row r="195" spans="1:32" ht="13.2">
      <c r="A195" s="35">
        <f ca="1">IFERROR(__xludf.DUMMYFUNCTION("""COMPUTED_VALUE"""),45533.4263124305)</f>
        <v>45533.4263124305</v>
      </c>
      <c r="B195" s="36" t="str">
        <f ca="1">IFERROR(__xludf.DUMMYFUNCTION("""COMPUTED_VALUE"""),"Eugenia")</f>
        <v>Eugenia</v>
      </c>
      <c r="C195" s="36" t="str">
        <f ca="1">IFERROR(__xludf.DUMMYFUNCTION("""COMPUTED_VALUE"""),"Mazzone")</f>
        <v>Mazzone</v>
      </c>
      <c r="D195" s="36" t="str">
        <f ca="1">IFERROR(__xludf.DUMMYFUNCTION("""COMPUTED_VALUE"""),"Quilmes")</f>
        <v>Quilmes</v>
      </c>
      <c r="E195" s="38" t="str">
        <f ca="1">IFERROR(__xludf.DUMMYFUNCTION("""COMPUTED_VALUE"""),"ARG")</f>
        <v>ARG</v>
      </c>
      <c r="F195" s="38">
        <f ca="1">IFERROR(__xludf.DUMMYFUNCTION("""COMPUTED_VALUE"""),49918962)</f>
        <v>49918962</v>
      </c>
      <c r="G195" s="37">
        <f ca="1">IFERROR(__xludf.DUMMYFUNCTION("""COMPUTED_VALUE"""),40119)</f>
        <v>40119</v>
      </c>
      <c r="H195" s="38" t="str">
        <f ca="1">IFERROR(__xludf.DUMMYFUNCTION("""COMPUTED_VALUE"""),"113055 3942")</f>
        <v>113055 3942</v>
      </c>
      <c r="I195" s="38" t="str">
        <f ca="1">IFERROR(__xludf.DUMMYFUNCTION("""COMPUTED_VALUE"""),"113055 3942")</f>
        <v>113055 3942</v>
      </c>
      <c r="J195" s="38" t="str">
        <f ca="1">IFERROR(__xludf.DUMMYFUNCTION("""COMPUTED_VALUE"""),"arianapro@hotmail.com")</f>
        <v>arianapro@hotmail.com</v>
      </c>
      <c r="K195" s="38" t="str">
        <f ca="1">IFERROR(__xludf.DUMMYFUNCTION("""COMPUTED_VALUE"""),"Femenino")</f>
        <v>Femenino</v>
      </c>
      <c r="L195" s="38" t="str">
        <f ca="1">IFERROR(__xludf.DUMMYFUNCTION("""COMPUTED_VALUE"""),"CNQ")</f>
        <v>CNQ</v>
      </c>
      <c r="M195" s="38" t="str">
        <f ca="1">IFERROR(__xludf.DUMMYFUNCTION("""COMPUTED_VALUE"""),"Femenino")</f>
        <v>Femenino</v>
      </c>
      <c r="N195" s="6" t="str">
        <f ca="1">IFERROR(__xludf.DUMMYFUNCTION("""COMPUTED_VALUE"""),"OPTIMIST PRINCIPIANTES")</f>
        <v>OPTIMIST PRINCIPIANTES</v>
      </c>
      <c r="O195" s="6"/>
      <c r="P195" s="6">
        <f ca="1">IFERROR(__xludf.DUMMYFUNCTION("""COMPUTED_VALUE"""),3914)</f>
        <v>3914</v>
      </c>
      <c r="Q195" s="38"/>
      <c r="R195" s="38"/>
      <c r="S195" s="38"/>
      <c r="T195" s="38"/>
      <c r="U195" s="38"/>
      <c r="V195" s="38"/>
      <c r="W195" s="38"/>
      <c r="X195" s="40" t="str">
        <f ca="1">IFERROR(__xludf.DUMMYFUNCTION("""COMPUTED_VALUE"""),"Galeno ")</f>
        <v xml:space="preserve">Galeno </v>
      </c>
      <c r="Y195" s="6" t="str">
        <f ca="1">IFERROR(__xludf.DUMMYFUNCTION("""COMPUTED_VALUE"""),"Si")</f>
        <v>Si</v>
      </c>
      <c r="Z195" s="38" t="str">
        <f ca="1">IFERROR(__xludf.DUMMYFUNCTION("""COMPUTED_VALUE"""),"Acepto")</f>
        <v>Acepto</v>
      </c>
      <c r="AA195" s="38" t="str">
        <f ca="1">IFERROR(__xludf.DUMMYFUNCTION("""COMPUTED_VALUE"""),"Terminado")</f>
        <v>Terminado</v>
      </c>
      <c r="AB195" s="38">
        <f ca="1">IFERROR(__xludf.DUMMYFUNCTION("""COMPUTED_VALUE"""),50000)</f>
        <v>50000</v>
      </c>
      <c r="AC195" s="6">
        <f ca="1">IFERROR(__xludf.DUMMYFUNCTION("""COMPUTED_VALUE"""),205372)</f>
        <v>205372</v>
      </c>
      <c r="AD195" s="6" t="str">
        <f ca="1">IFERROR(__xludf.DUMMYFUNCTION("""COMPUTED_VALUE"""),"TRF 02-09")</f>
        <v>TRF 02-09</v>
      </c>
      <c r="AE195" s="6"/>
      <c r="AF195" s="6"/>
    </row>
    <row r="196" spans="1:32" ht="13.2">
      <c r="A196" s="35">
        <f ca="1">IFERROR(__xludf.DUMMYFUNCTION("""COMPUTED_VALUE"""),45532.5368578819)</f>
        <v>45532.536857881903</v>
      </c>
      <c r="B196" s="36" t="str">
        <f ca="1">IFERROR(__xludf.DUMMYFUNCTION("""COMPUTED_VALUE"""),"Bernarda")</f>
        <v>Bernarda</v>
      </c>
      <c r="C196" s="36" t="str">
        <f ca="1">IFERROR(__xludf.DUMMYFUNCTION("""COMPUTED_VALUE"""),"Mercerat")</f>
        <v>Mercerat</v>
      </c>
      <c r="D196" s="36" t="str">
        <f ca="1">IFERROR(__xludf.DUMMYFUNCTION("""COMPUTED_VALUE"""),"LA Plata")</f>
        <v>LA Plata</v>
      </c>
      <c r="E196" s="38" t="str">
        <f ca="1">IFERROR(__xludf.DUMMYFUNCTION("""COMPUTED_VALUE"""),"ARG")</f>
        <v>ARG</v>
      </c>
      <c r="F196" s="38">
        <f ca="1">IFERROR(__xludf.DUMMYFUNCTION("""COMPUTED_VALUE"""),52725071)</f>
        <v>52725071</v>
      </c>
      <c r="G196" s="37">
        <f ca="1">IFERROR(__xludf.DUMMYFUNCTION("""COMPUTED_VALUE"""),41200)</f>
        <v>41200</v>
      </c>
      <c r="H196" s="38">
        <f ca="1">IFERROR(__xludf.DUMMYFUNCTION("""COMPUTED_VALUE"""),1125860224)</f>
        <v>1125860224</v>
      </c>
      <c r="I196" s="38">
        <f ca="1">IFERROR(__xludf.DUMMYFUNCTION("""COMPUTED_VALUE"""),1125860224)</f>
        <v>1125860224</v>
      </c>
      <c r="J196" s="38" t="str">
        <f ca="1">IFERROR(__xludf.DUMMYFUNCTION("""COMPUTED_VALUE"""),"noeliafmartinez@gmail.com")</f>
        <v>noeliafmartinez@gmail.com</v>
      </c>
      <c r="K196" s="38" t="str">
        <f ca="1">IFERROR(__xludf.DUMMYFUNCTION("""COMPUTED_VALUE"""),"Femenino")</f>
        <v>Femenino</v>
      </c>
      <c r="L196" s="38" t="str">
        <f ca="1">IFERROR(__xludf.DUMMYFUNCTION("""COMPUTED_VALUE"""),"CRLP")</f>
        <v>CRLP</v>
      </c>
      <c r="M196" s="38" t="str">
        <f ca="1">IFERROR(__xludf.DUMMYFUNCTION("""COMPUTED_VALUE"""),"Femenino")</f>
        <v>Femenino</v>
      </c>
      <c r="N196" s="6" t="str">
        <f ca="1">IFERROR(__xludf.DUMMYFUNCTION("""COMPUTED_VALUE"""),"OPTIMIST PRINCIPIANTES")</f>
        <v>OPTIMIST PRINCIPIANTES</v>
      </c>
      <c r="O196" s="6"/>
      <c r="P196" s="6">
        <f ca="1">IFERROR(__xludf.DUMMYFUNCTION("""COMPUTED_VALUE"""),2695)</f>
        <v>2695</v>
      </c>
      <c r="Q196" s="38" t="str">
        <f ca="1">IFERROR(__xludf.DUMMYFUNCTION("""COMPUTED_VALUE"""),"Eternauta")</f>
        <v>Eternauta</v>
      </c>
      <c r="R196" s="38"/>
      <c r="S196" s="38"/>
      <c r="T196" s="38"/>
      <c r="U196" s="38"/>
      <c r="V196" s="38"/>
      <c r="W196" s="38"/>
      <c r="X196" s="40" t="str">
        <f ca="1">IFERROR(__xludf.DUMMYFUNCTION("""COMPUTED_VALUE"""),"IOMA - 2271464756/02")</f>
        <v>IOMA - 2271464756/02</v>
      </c>
      <c r="Y196" s="6" t="str">
        <f ca="1">IFERROR(__xludf.DUMMYFUNCTION("""COMPUTED_VALUE"""),"Si")</f>
        <v>Si</v>
      </c>
      <c r="Z196" s="38" t="str">
        <f ca="1">IFERROR(__xludf.DUMMYFUNCTION("""COMPUTED_VALUE"""),"Acepto")</f>
        <v>Acepto</v>
      </c>
      <c r="AA196" s="38" t="str">
        <f ca="1">IFERROR(__xludf.DUMMYFUNCTION("""COMPUTED_VALUE"""),"Terminado")</f>
        <v>Terminado</v>
      </c>
      <c r="AB196" s="38">
        <f ca="1">IFERROR(__xludf.DUMMYFUNCTION("""COMPUTED_VALUE"""),60000)</f>
        <v>60000</v>
      </c>
      <c r="AC196" s="6">
        <f ca="1">IFERROR(__xludf.DUMMYFUNCTION("""COMPUTED_VALUE"""),205401)</f>
        <v>205401</v>
      </c>
      <c r="AD196" s="6" t="str">
        <f ca="1">IFERROR(__xludf.DUMMYFUNCTION("""COMPUTED_VALUE"""),"TRF02-09")</f>
        <v>TRF02-09</v>
      </c>
      <c r="AE196" s="6"/>
      <c r="AF196" s="6"/>
    </row>
    <row r="197" spans="1:32" ht="13.2">
      <c r="A197" s="35">
        <f ca="1">IFERROR(__xludf.DUMMYFUNCTION("""COMPUTED_VALUE"""),45533.4646309374)</f>
        <v>45533.4646309374</v>
      </c>
      <c r="B197" s="36" t="str">
        <f ca="1">IFERROR(__xludf.DUMMYFUNCTION("""COMPUTED_VALUE"""),"MILO")</f>
        <v>MILO</v>
      </c>
      <c r="C197" s="36" t="str">
        <f ca="1">IFERROR(__xludf.DUMMYFUNCTION("""COMPUTED_VALUE"""),"MESSINA")</f>
        <v>MESSINA</v>
      </c>
      <c r="D197" s="36" t="str">
        <f ca="1">IFERROR(__xludf.DUMMYFUNCTION("""COMPUTED_VALUE"""),"BUENOS AIRES")</f>
        <v>BUENOS AIRES</v>
      </c>
      <c r="E197" s="38" t="str">
        <f ca="1">IFERROR(__xludf.DUMMYFUNCTION("""COMPUTED_VALUE"""),"ARG")</f>
        <v>ARG</v>
      </c>
      <c r="F197" s="38">
        <f ca="1">IFERROR(__xludf.DUMMYFUNCTION("""COMPUTED_VALUE"""),52122807)</f>
        <v>52122807</v>
      </c>
      <c r="G197" s="37">
        <f ca="1">IFERROR(__xludf.DUMMYFUNCTION("""COMPUTED_VALUE"""),-689531)</f>
        <v>-689531</v>
      </c>
      <c r="H197" s="38">
        <f ca="1">IFERROR(__xludf.DUMMYFUNCTION("""COMPUTED_VALUE"""),1162588124)</f>
        <v>1162588124</v>
      </c>
      <c r="I197" s="38">
        <f ca="1">IFERROR(__xludf.DUMMYFUNCTION("""COMPUTED_VALUE"""),1145587913)</f>
        <v>1145587913</v>
      </c>
      <c r="J197" s="38" t="str">
        <f ca="1">IFERROR(__xludf.DUMMYFUNCTION("""COMPUTED_VALUE"""),"CARO_MORE@YAHOO.COM")</f>
        <v>CARO_MORE@YAHOO.COM</v>
      </c>
      <c r="K197" s="38" t="str">
        <f ca="1">IFERROR(__xludf.DUMMYFUNCTION("""COMPUTED_VALUE"""),"Masculino")</f>
        <v>Masculino</v>
      </c>
      <c r="L197" s="38" t="str">
        <f ca="1">IFERROR(__xludf.DUMMYFUNCTION("""COMPUTED_VALUE"""),"CVB")</f>
        <v>CVB</v>
      </c>
      <c r="M197" s="38"/>
      <c r="N197" s="6" t="str">
        <f ca="1">IFERROR(__xludf.DUMMYFUNCTION("""COMPUTED_VALUE"""),"OPTIMIST TIMONELES")</f>
        <v>OPTIMIST TIMONELES</v>
      </c>
      <c r="O197" s="6"/>
      <c r="P197" s="6">
        <f ca="1">IFERROR(__xludf.DUMMYFUNCTION("""COMPUTED_VALUE"""),3565)</f>
        <v>3565</v>
      </c>
      <c r="Q197" s="38" t="str">
        <f ca="1">IFERROR(__xludf.DUMMYFUNCTION("""COMPUTED_VALUE"""),"TITAN")</f>
        <v>TITAN</v>
      </c>
      <c r="R197" s="38"/>
      <c r="S197" s="38"/>
      <c r="T197" s="38"/>
      <c r="U197" s="38"/>
      <c r="V197" s="38"/>
      <c r="W197" s="38"/>
      <c r="X197" s="40" t="str">
        <f ca="1">IFERROR(__xludf.DUMMYFUNCTION("""COMPUTED_VALUE"""),"DOSUBA")</f>
        <v>DOSUBA</v>
      </c>
      <c r="Y197" s="6" t="str">
        <f ca="1">IFERROR(__xludf.DUMMYFUNCTION("""COMPUTED_VALUE"""),"Si")</f>
        <v>Si</v>
      </c>
      <c r="Z197" s="38" t="str">
        <f ca="1">IFERROR(__xludf.DUMMYFUNCTION("""COMPUTED_VALUE"""),"Acepto")</f>
        <v>Acepto</v>
      </c>
      <c r="AA197" s="38" t="str">
        <f ca="1">IFERROR(__xludf.DUMMYFUNCTION("""COMPUTED_VALUE"""),"Terminado")</f>
        <v>Terminado</v>
      </c>
      <c r="AB197" s="38">
        <f ca="1">IFERROR(__xludf.DUMMYFUNCTION("""COMPUTED_VALUE"""),50000)</f>
        <v>50000</v>
      </c>
      <c r="AC197" s="6">
        <f ca="1">IFERROR(__xludf.DUMMYFUNCTION("""COMPUTED_VALUE"""),205073)</f>
        <v>205073</v>
      </c>
      <c r="AD197" s="6" t="str">
        <f ca="1">IFERROR(__xludf.DUMMYFUNCTION("""COMPUTED_VALUE"""),"TRF 29-08")</f>
        <v>TRF 29-08</v>
      </c>
      <c r="AE197" s="6"/>
      <c r="AF197" s="6"/>
    </row>
    <row r="198" spans="1:32" ht="13.2">
      <c r="A198" s="35">
        <f ca="1">IFERROR(__xludf.DUMMYFUNCTION("""COMPUTED_VALUE"""),45537.5205341782)</f>
        <v>45537.520534178198</v>
      </c>
      <c r="B198" s="36" t="str">
        <f ca="1">IFERROR(__xludf.DUMMYFUNCTION("""COMPUTED_VALUE"""),"Irene")</f>
        <v>Irene</v>
      </c>
      <c r="C198" s="36" t="str">
        <f ca="1">IFERROR(__xludf.DUMMYFUNCTION("""COMPUTED_VALUE"""),"Mezzaluna")</f>
        <v>Mezzaluna</v>
      </c>
      <c r="D198" s="36" t="str">
        <f ca="1">IFERROR(__xludf.DUMMYFUNCTION("""COMPUTED_VALUE"""),"Buenos Aires")</f>
        <v>Buenos Aires</v>
      </c>
      <c r="E198" s="38" t="str">
        <f ca="1">IFERROR(__xludf.DUMMYFUNCTION("""COMPUTED_VALUE"""),"ARG")</f>
        <v>ARG</v>
      </c>
      <c r="F198" s="38">
        <f ca="1">IFERROR(__xludf.DUMMYFUNCTION("""COMPUTED_VALUE"""),21707194)</f>
        <v>21707194</v>
      </c>
      <c r="G198" s="37">
        <f ca="1">IFERROR(__xludf.DUMMYFUNCTION("""COMPUTED_VALUE"""),25747)</f>
        <v>25747</v>
      </c>
      <c r="H198" s="38">
        <f ca="1">IFERROR(__xludf.DUMMYFUNCTION("""COMPUTED_VALUE"""),1166455365)</f>
        <v>1166455365</v>
      </c>
      <c r="I198" s="38">
        <f ca="1">IFERROR(__xludf.DUMMYFUNCTION("""COMPUTED_VALUE"""),1151631122)</f>
        <v>1151631122</v>
      </c>
      <c r="J198" s="38" t="str">
        <f ca="1">IFERROR(__xludf.DUMMYFUNCTION("""COMPUTED_VALUE"""),"irene.mezzaluna@gmail.com")</f>
        <v>irene.mezzaluna@gmail.com</v>
      </c>
      <c r="K198" s="38" t="str">
        <f ca="1">IFERROR(__xludf.DUMMYFUNCTION("""COMPUTED_VALUE"""),"Femenino")</f>
        <v>Femenino</v>
      </c>
      <c r="L198" s="38" t="str">
        <f ca="1">IFERROR(__xludf.DUMMYFUNCTION("""COMPUTED_VALUE"""),"CPNLB")</f>
        <v>CPNLB</v>
      </c>
      <c r="M198" s="38" t="str">
        <f ca="1">IFERROR(__xludf.DUMMYFUNCTION("""COMPUTED_VALUE"""),"GRUMETE")</f>
        <v>GRUMETE</v>
      </c>
      <c r="N198" s="6" t="str">
        <f ca="1">IFERROR(__xludf.DUMMYFUNCTION("""COMPUTED_VALUE"""),"GRUMETE")</f>
        <v>GRUMETE</v>
      </c>
      <c r="O198" s="6"/>
      <c r="P198" s="6">
        <f ca="1">IFERROR(__xludf.DUMMYFUNCTION("""COMPUTED_VALUE"""),286)</f>
        <v>286</v>
      </c>
      <c r="Q198" s="38" t="str">
        <f ca="1">IFERROR(__xludf.DUMMYFUNCTION("""COMPUTED_VALUE"""),"CRIOLLO")</f>
        <v>CRIOLLO</v>
      </c>
      <c r="R198" s="38" t="str">
        <f ca="1">IFERROR(__xludf.DUMMYFUNCTION("""COMPUTED_VALUE"""),"Carolina Galucci")</f>
        <v>Carolina Galucci</v>
      </c>
      <c r="S198" s="38" t="str">
        <f ca="1">IFERROR(__xludf.DUMMYFUNCTION("""COMPUTED_VALUE"""),"Claudia Tamayo")</f>
        <v>Claudia Tamayo</v>
      </c>
      <c r="T198" s="38" t="str">
        <f ca="1">IFERROR(__xludf.DUMMYFUNCTION("""COMPUTED_VALUE"""),"Ingrid")</f>
        <v>Ingrid</v>
      </c>
      <c r="U198" s="38"/>
      <c r="V198" s="38"/>
      <c r="W198" s="38"/>
      <c r="X198" s="40"/>
      <c r="Y198" s="6" t="str">
        <f ca="1">IFERROR(__xludf.DUMMYFUNCTION("""COMPUTED_VALUE"""),"No")</f>
        <v>No</v>
      </c>
      <c r="Z198" s="38" t="str">
        <f ca="1">IFERROR(__xludf.DUMMYFUNCTION("""COMPUTED_VALUE"""),"Acepto")</f>
        <v>Acepto</v>
      </c>
      <c r="AA198" s="38" t="str">
        <f ca="1">IFERROR(__xludf.DUMMYFUNCTION("""COMPUTED_VALUE"""),"Terminado")</f>
        <v>Terminado</v>
      </c>
      <c r="AB198" s="38">
        <f ca="1">IFERROR(__xludf.DUMMYFUNCTION("""COMPUTED_VALUE"""),50000)</f>
        <v>50000</v>
      </c>
      <c r="AC198" s="6">
        <f ca="1">IFERROR(__xludf.DUMMYFUNCTION("""COMPUTED_VALUE"""),205505)</f>
        <v>205505</v>
      </c>
      <c r="AD198" s="6" t="str">
        <f ca="1">IFERROR(__xludf.DUMMYFUNCTION("""COMPUTED_VALUE"""),"TRF 05-09")</f>
        <v>TRF 05-09</v>
      </c>
      <c r="AE198" s="6"/>
      <c r="AF198" s="6"/>
    </row>
    <row r="199" spans="1:32" ht="13.2">
      <c r="A199" s="35">
        <f ca="1">IFERROR(__xludf.DUMMYFUNCTION("""COMPUTED_VALUE"""),45535.5904626504)</f>
        <v>45535.590462650398</v>
      </c>
      <c r="B199" s="36" t="str">
        <f ca="1">IFERROR(__xludf.DUMMYFUNCTION("""COMPUTED_VALUE"""),"Juan Francisco ")</f>
        <v xml:space="preserve">Juan Francisco </v>
      </c>
      <c r="C199" s="36" t="str">
        <f ca="1">IFERROR(__xludf.DUMMYFUNCTION("""COMPUTED_VALUE"""),"Mirey")</f>
        <v>Mirey</v>
      </c>
      <c r="D199" s="36" t="str">
        <f ca="1">IFERROR(__xludf.DUMMYFUNCTION("""COMPUTED_VALUE"""),"Zarate")</f>
        <v>Zarate</v>
      </c>
      <c r="E199" s="38" t="str">
        <f ca="1">IFERROR(__xludf.DUMMYFUNCTION("""COMPUTED_VALUE"""),"ARG")</f>
        <v>ARG</v>
      </c>
      <c r="F199" s="38">
        <f ca="1">IFERROR(__xludf.DUMMYFUNCTION("""COMPUTED_VALUE"""),53610165)</f>
        <v>53610165</v>
      </c>
      <c r="G199" s="37">
        <f ca="1">IFERROR(__xludf.DUMMYFUNCTION("""COMPUTED_VALUE"""),41594)</f>
        <v>41594</v>
      </c>
      <c r="H199" s="38" t="str">
        <f ca="1">IFERROR(__xludf.DUMMYFUNCTION("""COMPUTED_VALUE"""),"3487-308488")</f>
        <v>3487-308488</v>
      </c>
      <c r="I199" s="38" t="str">
        <f ca="1">IFERROR(__xludf.DUMMYFUNCTION("""COMPUTED_VALUE"""),"3487-308487")</f>
        <v>3487-308487</v>
      </c>
      <c r="J199" s="38" t="str">
        <f ca="1">IFERROR(__xludf.DUMMYFUNCTION("""COMPUTED_VALUE"""),"marcelomirey@hotmail.com")</f>
        <v>marcelomirey@hotmail.com</v>
      </c>
      <c r="K199" s="38" t="str">
        <f ca="1">IFERROR(__xludf.DUMMYFUNCTION("""COMPUTED_VALUE"""),"Masculino")</f>
        <v>Masculino</v>
      </c>
      <c r="L199" s="38" t="str">
        <f ca="1">IFERROR(__xludf.DUMMYFUNCTION("""COMPUTED_VALUE"""),"CNZ")</f>
        <v>CNZ</v>
      </c>
      <c r="M199" s="38"/>
      <c r="N199" s="6" t="str">
        <f ca="1">IFERROR(__xludf.DUMMYFUNCTION("""COMPUTED_VALUE"""),"OPTIMIST PRINCIPIANTES")</f>
        <v>OPTIMIST PRINCIPIANTES</v>
      </c>
      <c r="O199" s="6"/>
      <c r="P199" s="6">
        <f ca="1">IFERROR(__xludf.DUMMYFUNCTION("""COMPUTED_VALUE"""),3538)</f>
        <v>3538</v>
      </c>
      <c r="Q199" s="38" t="str">
        <f ca="1">IFERROR(__xludf.DUMMYFUNCTION("""COMPUTED_VALUE"""),"Infinito")</f>
        <v>Infinito</v>
      </c>
      <c r="R199" s="38"/>
      <c r="S199" s="38"/>
      <c r="T199" s="38"/>
      <c r="U199" s="38"/>
      <c r="V199" s="38"/>
      <c r="W199" s="38"/>
      <c r="X199" s="40" t="str">
        <f ca="1">IFERROR(__xludf.DUMMYFUNCTION("""COMPUTED_VALUE"""),"COMEI 050863-03-7 ")</f>
        <v xml:space="preserve">COMEI 050863-03-7 </v>
      </c>
      <c r="Y199" s="6" t="str">
        <f ca="1">IFERROR(__xludf.DUMMYFUNCTION("""COMPUTED_VALUE"""),"Si")</f>
        <v>Si</v>
      </c>
      <c r="Z199" s="38" t="str">
        <f ca="1">IFERROR(__xludf.DUMMYFUNCTION("""COMPUTED_VALUE"""),"Acepto")</f>
        <v>Acepto</v>
      </c>
      <c r="AA199" s="38" t="str">
        <f ca="1">IFERROR(__xludf.DUMMYFUNCTION("""COMPUTED_VALUE"""),"Terminado")</f>
        <v>Terminado</v>
      </c>
      <c r="AB199" s="38">
        <f ca="1">IFERROR(__xludf.DUMMYFUNCTION("""COMPUTED_VALUE"""),50000)</f>
        <v>50000</v>
      </c>
      <c r="AC199" s="6">
        <f ca="1">IFERROR(__xludf.DUMMYFUNCTION("""COMPUTED_VALUE"""),205151)</f>
        <v>205151</v>
      </c>
      <c r="AD199" s="6" t="str">
        <f ca="1">IFERROR(__xludf.DUMMYFUNCTION("""COMPUTED_VALUE"""),"TRF 31-08")</f>
        <v>TRF 31-08</v>
      </c>
      <c r="AE199" s="6"/>
      <c r="AF199" s="6"/>
    </row>
    <row r="200" spans="1:32" ht="13.2">
      <c r="A200" s="35">
        <f ca="1">IFERROR(__xludf.DUMMYFUNCTION("""COMPUTED_VALUE"""),45535.5924189699)</f>
        <v>45535.5924189699</v>
      </c>
      <c r="B200" s="36" t="str">
        <f ca="1">IFERROR(__xludf.DUMMYFUNCTION("""COMPUTED_VALUE"""),"Josefina")</f>
        <v>Josefina</v>
      </c>
      <c r="C200" s="36" t="str">
        <f ca="1">IFERROR(__xludf.DUMMYFUNCTION("""COMPUTED_VALUE"""),"Mirey")</f>
        <v>Mirey</v>
      </c>
      <c r="D200" s="36" t="str">
        <f ca="1">IFERROR(__xludf.DUMMYFUNCTION("""COMPUTED_VALUE"""),"Zarate")</f>
        <v>Zarate</v>
      </c>
      <c r="E200" s="38" t="str">
        <f ca="1">IFERROR(__xludf.DUMMYFUNCTION("""COMPUTED_VALUE"""),"ARG")</f>
        <v>ARG</v>
      </c>
      <c r="F200" s="38">
        <f ca="1">IFERROR(__xludf.DUMMYFUNCTION("""COMPUTED_VALUE"""),51167440)</f>
        <v>51167440</v>
      </c>
      <c r="G200" s="37">
        <f ca="1">IFERROR(__xludf.DUMMYFUNCTION("""COMPUTED_VALUE"""),40773)</f>
        <v>40773</v>
      </c>
      <c r="H200" s="38" t="str">
        <f ca="1">IFERROR(__xludf.DUMMYFUNCTION("""COMPUTED_VALUE"""),"3487-308488")</f>
        <v>3487-308488</v>
      </c>
      <c r="I200" s="38" t="str">
        <f ca="1">IFERROR(__xludf.DUMMYFUNCTION("""COMPUTED_VALUE"""),"3487-308487")</f>
        <v>3487-308487</v>
      </c>
      <c r="J200" s="38" t="str">
        <f ca="1">IFERROR(__xludf.DUMMYFUNCTION("""COMPUTED_VALUE"""),"marcelomirey@hotmail.com")</f>
        <v>marcelomirey@hotmail.com</v>
      </c>
      <c r="K200" s="38" t="str">
        <f ca="1">IFERROR(__xludf.DUMMYFUNCTION("""COMPUTED_VALUE"""),"Femenino")</f>
        <v>Femenino</v>
      </c>
      <c r="L200" s="38" t="str">
        <f ca="1">IFERROR(__xludf.DUMMYFUNCTION("""COMPUTED_VALUE"""),"CNZ")</f>
        <v>CNZ</v>
      </c>
      <c r="M200" s="38" t="str">
        <f ca="1">IFERROR(__xludf.DUMMYFUNCTION("""COMPUTED_VALUE"""),"Femenino")</f>
        <v>Femenino</v>
      </c>
      <c r="N200" s="6" t="str">
        <f ca="1">IFERROR(__xludf.DUMMYFUNCTION("""COMPUTED_VALUE"""),"OPTIMIST TIMONELES")</f>
        <v>OPTIMIST TIMONELES</v>
      </c>
      <c r="O200" s="6"/>
      <c r="P200" s="6">
        <f ca="1">IFERROR(__xludf.DUMMYFUNCTION("""COMPUTED_VALUE"""),3538)</f>
        <v>3538</v>
      </c>
      <c r="Q200" s="38"/>
      <c r="R200" s="38"/>
      <c r="S200" s="38"/>
      <c r="T200" s="38"/>
      <c r="U200" s="38"/>
      <c r="V200" s="38"/>
      <c r="W200" s="38"/>
      <c r="X200" s="40" t="str">
        <f ca="1">IFERROR(__xludf.DUMMYFUNCTION("""COMPUTED_VALUE"""),"COMEI 050863-02-0 ")</f>
        <v xml:space="preserve">COMEI 050863-02-0 </v>
      </c>
      <c r="Y200" s="6" t="str">
        <f ca="1">IFERROR(__xludf.DUMMYFUNCTION("""COMPUTED_VALUE"""),"Si")</f>
        <v>Si</v>
      </c>
      <c r="Z200" s="38" t="str">
        <f ca="1">IFERROR(__xludf.DUMMYFUNCTION("""COMPUTED_VALUE"""),"Acepto")</f>
        <v>Acepto</v>
      </c>
      <c r="AA200" s="38" t="str">
        <f ca="1">IFERROR(__xludf.DUMMYFUNCTION("""COMPUTED_VALUE"""),"Terminado")</f>
        <v>Terminado</v>
      </c>
      <c r="AB200" s="38">
        <f ca="1">IFERROR(__xludf.DUMMYFUNCTION("""COMPUTED_VALUE"""),50000)</f>
        <v>50000</v>
      </c>
      <c r="AC200" s="6">
        <f ca="1">IFERROR(__xludf.DUMMYFUNCTION("""COMPUTED_VALUE"""),205152)</f>
        <v>205152</v>
      </c>
      <c r="AD200" s="6" t="str">
        <f ca="1">IFERROR(__xludf.DUMMYFUNCTION("""COMPUTED_VALUE"""),"TRF 31-08")</f>
        <v>TRF 31-08</v>
      </c>
      <c r="AE200" s="6"/>
      <c r="AF200" s="6"/>
    </row>
    <row r="201" spans="1:32" ht="13.2">
      <c r="A201" s="35">
        <f ca="1">IFERROR(__xludf.DUMMYFUNCTION("""COMPUTED_VALUE"""),45531.2794275231)</f>
        <v>45531.279427523099</v>
      </c>
      <c r="B201" s="36" t="str">
        <f ca="1">IFERROR(__xludf.DUMMYFUNCTION("""COMPUTED_VALUE"""),"Josefina")</f>
        <v>Josefina</v>
      </c>
      <c r="C201" s="36" t="str">
        <f ca="1">IFERROR(__xludf.DUMMYFUNCTION("""COMPUTED_VALUE"""),"Molinari")</f>
        <v>Molinari</v>
      </c>
      <c r="D201" s="36" t="str">
        <f ca="1">IFERROR(__xludf.DUMMYFUNCTION("""COMPUTED_VALUE"""),"CABA")</f>
        <v>CABA</v>
      </c>
      <c r="E201" s="38" t="str">
        <f ca="1">IFERROR(__xludf.DUMMYFUNCTION("""COMPUTED_VALUE"""),"ARG")</f>
        <v>ARG</v>
      </c>
      <c r="F201" s="38">
        <f ca="1">IFERROR(__xludf.DUMMYFUNCTION("""COMPUTED_VALUE"""),50156147)</f>
        <v>50156147</v>
      </c>
      <c r="G201" s="37">
        <f ca="1">IFERROR(__xludf.DUMMYFUNCTION("""COMPUTED_VALUE"""),40227)</f>
        <v>40227</v>
      </c>
      <c r="H201" s="38" t="str">
        <f ca="1">IFERROR(__xludf.DUMMYFUNCTION("""COMPUTED_VALUE"""),"15-6852-6245")</f>
        <v>15-6852-6245</v>
      </c>
      <c r="I201" s="38" t="str">
        <f ca="1">IFERROR(__xludf.DUMMYFUNCTION("""COMPUTED_VALUE"""),"15-6852-6235")</f>
        <v>15-6852-6235</v>
      </c>
      <c r="J201" s="38" t="str">
        <f ca="1">IFERROR(__xludf.DUMMYFUNCTION("""COMPUTED_VALUE"""),"molinaricv@gmail.com")</f>
        <v>molinaricv@gmail.com</v>
      </c>
      <c r="K201" s="38" t="str">
        <f ca="1">IFERROR(__xludf.DUMMYFUNCTION("""COMPUTED_VALUE"""),"Femenino")</f>
        <v>Femenino</v>
      </c>
      <c r="L201" s="38" t="str">
        <f ca="1">IFERROR(__xludf.DUMMYFUNCTION("""COMPUTED_VALUE"""),"CVB")</f>
        <v>CVB</v>
      </c>
      <c r="M201" s="38" t="str">
        <f ca="1">IFERROR(__xludf.DUMMYFUNCTION("""COMPUTED_VALUE"""),"Femenino")</f>
        <v>Femenino</v>
      </c>
      <c r="N201" s="6" t="str">
        <f ca="1">IFERROR(__xludf.DUMMYFUNCTION("""COMPUTED_VALUE"""),"OPTIMIST TIMONELES")</f>
        <v>OPTIMIST TIMONELES</v>
      </c>
      <c r="O201" s="6"/>
      <c r="P201" s="6">
        <f ca="1">IFERROR(__xludf.DUMMYFUNCTION("""COMPUTED_VALUE"""),3991)</f>
        <v>3991</v>
      </c>
      <c r="Q201" s="38"/>
      <c r="R201" s="38"/>
      <c r="S201" s="38"/>
      <c r="T201" s="38"/>
      <c r="U201" s="38"/>
      <c r="V201" s="38"/>
      <c r="W201" s="38"/>
      <c r="X201" s="40"/>
      <c r="Y201" s="6" t="str">
        <f ca="1">IFERROR(__xludf.DUMMYFUNCTION("""COMPUTED_VALUE"""),"Si")</f>
        <v>Si</v>
      </c>
      <c r="Z201" s="38" t="str">
        <f ca="1">IFERROR(__xludf.DUMMYFUNCTION("""COMPUTED_VALUE"""),"Acepto")</f>
        <v>Acepto</v>
      </c>
      <c r="AA201" s="38" t="str">
        <f ca="1">IFERROR(__xludf.DUMMYFUNCTION("""COMPUTED_VALUE"""),"Terminado")</f>
        <v>Terminado</v>
      </c>
      <c r="AB201" s="38">
        <f ca="1">IFERROR(__xludf.DUMMYFUNCTION("""COMPUTED_VALUE"""),50000)</f>
        <v>50000</v>
      </c>
      <c r="AC201" s="6">
        <f ca="1">IFERROR(__xludf.DUMMYFUNCTION("""COMPUTED_VALUE"""),205107)</f>
        <v>205107</v>
      </c>
      <c r="AD201" s="6" t="str">
        <f ca="1">IFERROR(__xludf.DUMMYFUNCTION("""COMPUTED_VALUE"""),"TRF 30-08")</f>
        <v>TRF 30-08</v>
      </c>
      <c r="AE201" s="6"/>
      <c r="AF201" s="6"/>
    </row>
    <row r="202" spans="1:32" ht="13.2">
      <c r="A202" s="35">
        <f ca="1">IFERROR(__xludf.DUMMYFUNCTION("""COMPUTED_VALUE"""),45531.2803364004)</f>
        <v>45531.280336400399</v>
      </c>
      <c r="B202" s="36" t="str">
        <f ca="1">IFERROR(__xludf.DUMMYFUNCTION("""COMPUTED_VALUE"""),"Tomas")</f>
        <v>Tomas</v>
      </c>
      <c r="C202" s="36" t="str">
        <f ca="1">IFERROR(__xludf.DUMMYFUNCTION("""COMPUTED_VALUE"""),"Molinari")</f>
        <v>Molinari</v>
      </c>
      <c r="D202" s="36" t="str">
        <f ca="1">IFERROR(__xludf.DUMMYFUNCTION("""COMPUTED_VALUE"""),"CABA")</f>
        <v>CABA</v>
      </c>
      <c r="E202" s="38" t="str">
        <f ca="1">IFERROR(__xludf.DUMMYFUNCTION("""COMPUTED_VALUE"""),"ARG")</f>
        <v>ARG</v>
      </c>
      <c r="F202" s="38">
        <f ca="1">IFERROR(__xludf.DUMMYFUNCTION("""COMPUTED_VALUE"""),52440028)</f>
        <v>52440028</v>
      </c>
      <c r="G202" s="37">
        <f ca="1">IFERROR(__xludf.DUMMYFUNCTION("""COMPUTED_VALUE"""),41010)</f>
        <v>41010</v>
      </c>
      <c r="H202" s="38" t="str">
        <f ca="1">IFERROR(__xludf.DUMMYFUNCTION("""COMPUTED_VALUE"""),"15-6852-6245")</f>
        <v>15-6852-6245</v>
      </c>
      <c r="I202" s="38" t="str">
        <f ca="1">IFERROR(__xludf.DUMMYFUNCTION("""COMPUTED_VALUE"""),"15-6852-6235")</f>
        <v>15-6852-6235</v>
      </c>
      <c r="J202" s="38" t="str">
        <f ca="1">IFERROR(__xludf.DUMMYFUNCTION("""COMPUTED_VALUE"""),"molinaricv@gmail.com")</f>
        <v>molinaricv@gmail.com</v>
      </c>
      <c r="K202" s="38" t="str">
        <f ca="1">IFERROR(__xludf.DUMMYFUNCTION("""COMPUTED_VALUE"""),"Masculino")</f>
        <v>Masculino</v>
      </c>
      <c r="L202" s="38" t="str">
        <f ca="1">IFERROR(__xludf.DUMMYFUNCTION("""COMPUTED_VALUE"""),"CVB")</f>
        <v>CVB</v>
      </c>
      <c r="M202" s="38"/>
      <c r="N202" s="6" t="str">
        <f ca="1">IFERROR(__xludf.DUMMYFUNCTION("""COMPUTED_VALUE"""),"OPTIMIST TIMONELES")</f>
        <v>OPTIMIST TIMONELES</v>
      </c>
      <c r="O202" s="6"/>
      <c r="P202" s="6">
        <f ca="1">IFERROR(__xludf.DUMMYFUNCTION("""COMPUTED_VALUE"""),4165)</f>
        <v>4165</v>
      </c>
      <c r="Q202" s="38"/>
      <c r="R202" s="38"/>
      <c r="S202" s="38"/>
      <c r="T202" s="38"/>
      <c r="U202" s="38"/>
      <c r="V202" s="38"/>
      <c r="W202" s="38"/>
      <c r="X202" s="40"/>
      <c r="Y202" s="6" t="str">
        <f ca="1">IFERROR(__xludf.DUMMYFUNCTION("""COMPUTED_VALUE"""),"Si")</f>
        <v>Si</v>
      </c>
      <c r="Z202" s="38" t="str">
        <f ca="1">IFERROR(__xludf.DUMMYFUNCTION("""COMPUTED_VALUE"""),"Acepto")</f>
        <v>Acepto</v>
      </c>
      <c r="AA202" s="38" t="str">
        <f ca="1">IFERROR(__xludf.DUMMYFUNCTION("""COMPUTED_VALUE"""),"Terminado")</f>
        <v>Terminado</v>
      </c>
      <c r="AB202" s="38">
        <f ca="1">IFERROR(__xludf.DUMMYFUNCTION("""COMPUTED_VALUE"""),50000)</f>
        <v>50000</v>
      </c>
      <c r="AC202" s="6">
        <f ca="1">IFERROR(__xludf.DUMMYFUNCTION("""COMPUTED_VALUE"""),205107)</f>
        <v>205107</v>
      </c>
      <c r="AD202" s="6" t="str">
        <f ca="1">IFERROR(__xludf.DUMMYFUNCTION("""COMPUTED_VALUE"""),"TRF 30-08")</f>
        <v>TRF 30-08</v>
      </c>
      <c r="AE202" s="6"/>
      <c r="AF202" s="6"/>
    </row>
    <row r="203" spans="1:32" ht="13.2">
      <c r="A203" s="35">
        <f ca="1">IFERROR(__xludf.DUMMYFUNCTION("""COMPUTED_VALUE"""),45539.7851049189)</f>
        <v>45539.785104918898</v>
      </c>
      <c r="B203" s="36" t="str">
        <f ca="1">IFERROR(__xludf.DUMMYFUNCTION("""COMPUTED_VALUE"""),"Emilio")</f>
        <v>Emilio</v>
      </c>
      <c r="C203" s="36" t="str">
        <f ca="1">IFERROR(__xludf.DUMMYFUNCTION("""COMPUTED_VALUE"""),"Monch")</f>
        <v>Monch</v>
      </c>
      <c r="D203" s="36" t="str">
        <f ca="1">IFERROR(__xludf.DUMMYFUNCTION("""COMPUTED_VALUE"""),"Buenos aires")</f>
        <v>Buenos aires</v>
      </c>
      <c r="E203" s="38" t="str">
        <f ca="1">IFERROR(__xludf.DUMMYFUNCTION("""COMPUTED_VALUE"""),"ARG")</f>
        <v>ARG</v>
      </c>
      <c r="F203" s="38">
        <f ca="1">IFERROR(__xludf.DUMMYFUNCTION("""COMPUTED_VALUE"""),29951477)</f>
        <v>29951477</v>
      </c>
      <c r="G203" s="37">
        <f ca="1">IFERROR(__xludf.DUMMYFUNCTION("""COMPUTED_VALUE"""),30284)</f>
        <v>30284</v>
      </c>
      <c r="H203" s="38">
        <f ca="1">IFERROR(__xludf.DUMMYFUNCTION("""COMPUTED_VALUE"""),1150598750)</f>
        <v>1150598750</v>
      </c>
      <c r="I203" s="38">
        <f ca="1">IFERROR(__xludf.DUMMYFUNCTION("""COMPUTED_VALUE"""),1150598750)</f>
        <v>1150598750</v>
      </c>
      <c r="J203" s="38" t="str">
        <f ca="1">IFERROR(__xludf.DUMMYFUNCTION("""COMPUTED_VALUE"""),"Emonch290@gmail.com ")</f>
        <v xml:space="preserve">Emonch290@gmail.com </v>
      </c>
      <c r="K203" s="38" t="str">
        <f ca="1">IFERROR(__xludf.DUMMYFUNCTION("""COMPUTED_VALUE"""),"Masculino")</f>
        <v>Masculino</v>
      </c>
      <c r="L203" s="38" t="str">
        <f ca="1">IFERROR(__xludf.DUMMYFUNCTION("""COMPUTED_VALUE"""),"Cuba")</f>
        <v>Cuba</v>
      </c>
      <c r="M203" s="38" t="str">
        <f ca="1">IFERROR(__xludf.DUMMYFUNCTION("""COMPUTED_VALUE"""),"Grumete")</f>
        <v>Grumete</v>
      </c>
      <c r="N203" s="6" t="str">
        <f ca="1">IFERROR(__xludf.DUMMYFUNCTION("""COMPUTED_VALUE"""),"GRUMETE")</f>
        <v>GRUMETE</v>
      </c>
      <c r="O203" s="6"/>
      <c r="P203" s="6">
        <f ca="1">IFERROR(__xludf.DUMMYFUNCTION("""COMPUTED_VALUE"""),274)</f>
        <v>274</v>
      </c>
      <c r="Q203" s="38" t="str">
        <f ca="1">IFERROR(__xludf.DUMMYFUNCTION("""COMPUTED_VALUE"""),"BANANA")</f>
        <v>BANANA</v>
      </c>
      <c r="R203" s="38" t="str">
        <f ca="1">IFERROR(__xludf.DUMMYFUNCTION("""COMPUTED_VALUE"""),"Jorge Samitier")</f>
        <v>Jorge Samitier</v>
      </c>
      <c r="S203" s="38" t="str">
        <f ca="1">IFERROR(__xludf.DUMMYFUNCTION("""COMPUTED_VALUE"""),"Pablo Noceti")</f>
        <v>Pablo Noceti</v>
      </c>
      <c r="T203" s="38"/>
      <c r="U203" s="38"/>
      <c r="V203" s="38"/>
      <c r="W203" s="38"/>
      <c r="X203" s="40" t="str">
        <f ca="1">IFERROR(__xludf.DUMMYFUNCTION("""COMPUTED_VALUE"""),"Poder judicial")</f>
        <v>Poder judicial</v>
      </c>
      <c r="Y203" s="6" t="str">
        <f ca="1">IFERROR(__xludf.DUMMYFUNCTION("""COMPUTED_VALUE"""),"No")</f>
        <v>No</v>
      </c>
      <c r="Z203" s="38" t="str">
        <f ca="1">IFERROR(__xludf.DUMMYFUNCTION("""COMPUTED_VALUE"""),"Acepto")</f>
        <v>Acepto</v>
      </c>
      <c r="AA203" s="38" t="str">
        <f ca="1">IFERROR(__xludf.DUMMYFUNCTION("""COMPUTED_VALUE"""),"Terminado")</f>
        <v>Terminado</v>
      </c>
      <c r="AB203" s="38">
        <f ca="1">IFERROR(__xludf.DUMMYFUNCTION("""COMPUTED_VALUE"""),50000)</f>
        <v>50000</v>
      </c>
      <c r="AC203" s="6">
        <f ca="1">IFERROR(__xludf.DUMMYFUNCTION("""COMPUTED_VALUE"""),205533)</f>
        <v>205533</v>
      </c>
      <c r="AD203" s="6" t="str">
        <f ca="1">IFERROR(__xludf.DUMMYFUNCTION("""COMPUTED_VALUE"""),"TRF 06-09")</f>
        <v>TRF 06-09</v>
      </c>
      <c r="AE203" s="6"/>
      <c r="AF203" s="6"/>
    </row>
    <row r="204" spans="1:32" ht="13.2">
      <c r="A204" s="35">
        <f ca="1">IFERROR(__xludf.DUMMYFUNCTION("""COMPUTED_VALUE"""),45540.6582370833)</f>
        <v>45540.658237083298</v>
      </c>
      <c r="B204" s="36" t="str">
        <f ca="1">IFERROR(__xludf.DUMMYFUNCTION("""COMPUTED_VALUE"""),"Emilio")</f>
        <v>Emilio</v>
      </c>
      <c r="C204" s="36" t="str">
        <f ca="1">IFERROR(__xludf.DUMMYFUNCTION("""COMPUTED_VALUE"""),"MÖnch ")</f>
        <v xml:space="preserve">MÖnch </v>
      </c>
      <c r="D204" s="36" t="str">
        <f ca="1">IFERROR(__xludf.DUMMYFUNCTION("""COMPUTED_VALUE"""),"Caba")</f>
        <v>Caba</v>
      </c>
      <c r="E204" s="38" t="str">
        <f ca="1">IFERROR(__xludf.DUMMYFUNCTION("""COMPUTED_VALUE"""),"ARG")</f>
        <v>ARG</v>
      </c>
      <c r="F204" s="38">
        <f ca="1">IFERROR(__xludf.DUMMYFUNCTION("""COMPUTED_VALUE"""),29951477)</f>
        <v>29951477</v>
      </c>
      <c r="G204" s="37">
        <f ca="1">IFERROR(__xludf.DUMMYFUNCTION("""COMPUTED_VALUE"""),30284)</f>
        <v>30284</v>
      </c>
      <c r="H204" s="38">
        <f ca="1">IFERROR(__xludf.DUMMYFUNCTION("""COMPUTED_VALUE"""),1150598750)</f>
        <v>1150598750</v>
      </c>
      <c r="I204" s="38">
        <f ca="1">IFERROR(__xludf.DUMMYFUNCTION("""COMPUTED_VALUE"""),1150598750)</f>
        <v>1150598750</v>
      </c>
      <c r="J204" s="38" t="str">
        <f ca="1">IFERROR(__xludf.DUMMYFUNCTION("""COMPUTED_VALUE"""),"Emonch290@gmail.com ")</f>
        <v xml:space="preserve">Emonch290@gmail.com </v>
      </c>
      <c r="K204" s="38" t="str">
        <f ca="1">IFERROR(__xludf.DUMMYFUNCTION("""COMPUTED_VALUE"""),"Masculino")</f>
        <v>Masculino</v>
      </c>
      <c r="L204" s="38" t="str">
        <f ca="1">IFERROR(__xludf.DUMMYFUNCTION("""COMPUTED_VALUE"""),"Cuba")</f>
        <v>Cuba</v>
      </c>
      <c r="M204" s="38" t="str">
        <f ca="1">IFERROR(__xludf.DUMMYFUNCTION("""COMPUTED_VALUE"""),"Grumete")</f>
        <v>Grumete</v>
      </c>
      <c r="N204" s="6" t="str">
        <f ca="1">IFERROR(__xludf.DUMMYFUNCTION("""COMPUTED_VALUE"""),"GRUMETE")</f>
        <v>GRUMETE</v>
      </c>
      <c r="O204" s="6"/>
      <c r="P204" s="6">
        <f ca="1">IFERROR(__xludf.DUMMYFUNCTION("""COMPUTED_VALUE"""),274)</f>
        <v>274</v>
      </c>
      <c r="Q204" s="38" t="str">
        <f ca="1">IFERROR(__xludf.DUMMYFUNCTION("""COMPUTED_VALUE"""),"BANANA")</f>
        <v>BANANA</v>
      </c>
      <c r="R204" s="38" t="str">
        <f ca="1">IFERROR(__xludf.DUMMYFUNCTION("""COMPUTED_VALUE"""),"Jorge Samitier")</f>
        <v>Jorge Samitier</v>
      </c>
      <c r="S204" s="38" t="str">
        <f ca="1">IFERROR(__xludf.DUMMYFUNCTION("""COMPUTED_VALUE"""),"Pablo Noceti")</f>
        <v>Pablo Noceti</v>
      </c>
      <c r="T204" s="38"/>
      <c r="U204" s="38"/>
      <c r="V204" s="38"/>
      <c r="W204" s="38"/>
      <c r="X204" s="40" t="str">
        <f ca="1">IFERROR(__xludf.DUMMYFUNCTION("""COMPUTED_VALUE"""),"Poder judicial")</f>
        <v>Poder judicial</v>
      </c>
      <c r="Y204" s="6" t="str">
        <f ca="1">IFERROR(__xludf.DUMMYFUNCTION("""COMPUTED_VALUE"""),"No")</f>
        <v>No</v>
      </c>
      <c r="Z204" s="38" t="str">
        <f ca="1">IFERROR(__xludf.DUMMYFUNCTION("""COMPUTED_VALUE"""),"Acepto")</f>
        <v>Acepto</v>
      </c>
      <c r="AA204" s="38" t="str">
        <f ca="1">IFERROR(__xludf.DUMMYFUNCTION("""COMPUTED_VALUE"""),"Repetido")</f>
        <v>Repetido</v>
      </c>
      <c r="AB204" s="38"/>
      <c r="AC204" s="6"/>
      <c r="AD204" s="6"/>
      <c r="AE204" s="6"/>
      <c r="AF204" s="6"/>
    </row>
    <row r="205" spans="1:32" ht="13.2">
      <c r="A205" s="35">
        <f ca="1">IFERROR(__xludf.DUMMYFUNCTION("""COMPUTED_VALUE"""),45536.5217134953)</f>
        <v>45536.521713495298</v>
      </c>
      <c r="B205" s="36" t="str">
        <f ca="1">IFERROR(__xludf.DUMMYFUNCTION("""COMPUTED_VALUE"""),"Erich")</f>
        <v>Erich</v>
      </c>
      <c r="C205" s="36" t="str">
        <f ca="1">IFERROR(__xludf.DUMMYFUNCTION("""COMPUTED_VALUE"""),"Mones")</f>
        <v>Mones</v>
      </c>
      <c r="D205" s="36" t="str">
        <f ca="1">IFERROR(__xludf.DUMMYFUNCTION("""COMPUTED_VALUE"""),"Buenos Aires")</f>
        <v>Buenos Aires</v>
      </c>
      <c r="E205" s="38" t="str">
        <f ca="1">IFERROR(__xludf.DUMMYFUNCTION("""COMPUTED_VALUE"""),"ARG")</f>
        <v>ARG</v>
      </c>
      <c r="F205" s="38">
        <f ca="1">IFERROR(__xludf.DUMMYFUNCTION("""COMPUTED_VALUE"""),25096975)</f>
        <v>25096975</v>
      </c>
      <c r="G205" s="37">
        <f ca="1">IFERROR(__xludf.DUMMYFUNCTION("""COMPUTED_VALUE"""),27746)</f>
        <v>27746</v>
      </c>
      <c r="H205" s="38">
        <f ca="1">IFERROR(__xludf.DUMMYFUNCTION("""COMPUTED_VALUE"""),13057933880)</f>
        <v>13057933880</v>
      </c>
      <c r="I205" s="38">
        <f ca="1">IFERROR(__xludf.DUMMYFUNCTION("""COMPUTED_VALUE"""),1171632121)</f>
        <v>1171632121</v>
      </c>
      <c r="J205" s="38" t="str">
        <f ca="1">IFERROR(__xludf.DUMMYFUNCTION("""COMPUTED_VALUE"""),"Mones1050@gmail.com")</f>
        <v>Mones1050@gmail.com</v>
      </c>
      <c r="K205" s="38" t="str">
        <f ca="1">IFERROR(__xludf.DUMMYFUNCTION("""COMPUTED_VALUE"""),"Masculino")</f>
        <v>Masculino</v>
      </c>
      <c r="L205" s="38" t="str">
        <f ca="1">IFERROR(__xludf.DUMMYFUNCTION("""COMPUTED_VALUE"""),"CNO")</f>
        <v>CNO</v>
      </c>
      <c r="M205" s="38"/>
      <c r="N205" s="6" t="str">
        <f ca="1">IFERROR(__xludf.DUMMYFUNCTION("""COMPUTED_VALUE"""),"STAR")</f>
        <v>STAR</v>
      </c>
      <c r="O205" s="6"/>
      <c r="P205" s="6">
        <f ca="1">IFERROR(__xludf.DUMMYFUNCTION("""COMPUTED_VALUE"""),8285)</f>
        <v>8285</v>
      </c>
      <c r="Q205" s="38"/>
      <c r="R205" s="38" t="str">
        <f ca="1">IFERROR(__xludf.DUMMYFUNCTION("""COMPUTED_VALUE"""),"Julian Gasari")</f>
        <v>Julian Gasari</v>
      </c>
      <c r="S205" s="38"/>
      <c r="T205" s="38"/>
      <c r="U205" s="38"/>
      <c r="V205" s="38"/>
      <c r="W205" s="38"/>
      <c r="X205" s="40" t="str">
        <f ca="1">IFERROR(__xludf.DUMMYFUNCTION("""COMPUTED_VALUE"""),"Swiss Medical")</f>
        <v>Swiss Medical</v>
      </c>
      <c r="Y205" s="6" t="str">
        <f ca="1">IFERROR(__xludf.DUMMYFUNCTION("""COMPUTED_VALUE"""),"No")</f>
        <v>No</v>
      </c>
      <c r="Z205" s="38" t="str">
        <f ca="1">IFERROR(__xludf.DUMMYFUNCTION("""COMPUTED_VALUE"""),"Acepto")</f>
        <v>Acepto</v>
      </c>
      <c r="AA205" s="38" t="str">
        <f ca="1">IFERROR(__xludf.DUMMYFUNCTION("""COMPUTED_VALUE"""),"Terminado")</f>
        <v>Terminado</v>
      </c>
      <c r="AB205" s="38">
        <f ca="1">IFERROR(__xludf.DUMMYFUNCTION("""COMPUTED_VALUE"""),60000)</f>
        <v>60000</v>
      </c>
      <c r="AC205" s="6">
        <f ca="1">IFERROR(__xludf.DUMMYFUNCTION("""COMPUTED_VALUE"""),205414)</f>
        <v>205414</v>
      </c>
      <c r="AD205" s="6" t="str">
        <f ca="1">IFERROR(__xludf.DUMMYFUNCTION("""COMPUTED_VALUE"""),"TRF 02-09")</f>
        <v>TRF 02-09</v>
      </c>
      <c r="AE205" s="6"/>
      <c r="AF205" s="6"/>
    </row>
    <row r="206" spans="1:32" ht="13.2">
      <c r="A206" s="35">
        <f ca="1">IFERROR(__xludf.DUMMYFUNCTION("""COMPUTED_VALUE"""),45536.5266219676)</f>
        <v>45536.526621967598</v>
      </c>
      <c r="B206" s="36" t="str">
        <f ca="1">IFERROR(__xludf.DUMMYFUNCTION("""COMPUTED_VALUE"""),"Rafael")</f>
        <v>Rafael</v>
      </c>
      <c r="C206" s="36" t="str">
        <f ca="1">IFERROR(__xludf.DUMMYFUNCTION("""COMPUTED_VALUE"""),"Mones")</f>
        <v>Mones</v>
      </c>
      <c r="D206" s="36" t="str">
        <f ca="1">IFERROR(__xludf.DUMMYFUNCTION("""COMPUTED_VALUE"""),"Buenos Aires")</f>
        <v>Buenos Aires</v>
      </c>
      <c r="E206" s="38" t="str">
        <f ca="1">IFERROR(__xludf.DUMMYFUNCTION("""COMPUTED_VALUE"""),"ARG")</f>
        <v>ARG</v>
      </c>
      <c r="F206" s="38">
        <f ca="1">IFERROR(__xludf.DUMMYFUNCTION("""COMPUTED_VALUE"""),51723975)</f>
        <v>51723975</v>
      </c>
      <c r="G206" s="37">
        <f ca="1">IFERROR(__xludf.DUMMYFUNCTION("""COMPUTED_VALUE"""),41808)</f>
        <v>41808</v>
      </c>
      <c r="H206" s="38">
        <f ca="1">IFERROR(__xludf.DUMMYFUNCTION("""COMPUTED_VALUE"""),13057933880)</f>
        <v>13057933880</v>
      </c>
      <c r="I206" s="38">
        <f ca="1">IFERROR(__xludf.DUMMYFUNCTION("""COMPUTED_VALUE"""),1171632121)</f>
        <v>1171632121</v>
      </c>
      <c r="J206" s="38" t="str">
        <f ca="1">IFERROR(__xludf.DUMMYFUNCTION("""COMPUTED_VALUE"""),"Mones1050@gmail.com")</f>
        <v>Mones1050@gmail.com</v>
      </c>
      <c r="K206" s="38" t="str">
        <f ca="1">IFERROR(__xludf.DUMMYFUNCTION("""COMPUTED_VALUE"""),"Masculino")</f>
        <v>Masculino</v>
      </c>
      <c r="L206" s="38" t="str">
        <f ca="1">IFERROR(__xludf.DUMMYFUNCTION("""COMPUTED_VALUE"""),"YCA")</f>
        <v>YCA</v>
      </c>
      <c r="M206" s="38"/>
      <c r="N206" s="6" t="str">
        <f ca="1">IFERROR(__xludf.DUMMYFUNCTION("""COMPUTED_VALUE"""),"OPTIMIST PRINCIPIANTES")</f>
        <v>OPTIMIST PRINCIPIANTES</v>
      </c>
      <c r="O206" s="6"/>
      <c r="P206" s="6">
        <f ca="1">IFERROR(__xludf.DUMMYFUNCTION("""COMPUTED_VALUE"""),4118)</f>
        <v>4118</v>
      </c>
      <c r="Q206" s="38"/>
      <c r="R206" s="38"/>
      <c r="S206" s="38"/>
      <c r="T206" s="38"/>
      <c r="U206" s="38"/>
      <c r="V206" s="38"/>
      <c r="W206" s="38"/>
      <c r="X206" s="40" t="str">
        <f ca="1">IFERROR(__xludf.DUMMYFUNCTION("""COMPUTED_VALUE"""),"Swiss Medical")</f>
        <v>Swiss Medical</v>
      </c>
      <c r="Y206" s="6" t="str">
        <f ca="1">IFERROR(__xludf.DUMMYFUNCTION("""COMPUTED_VALUE"""),"No")</f>
        <v>No</v>
      </c>
      <c r="Z206" s="38" t="str">
        <f ca="1">IFERROR(__xludf.DUMMYFUNCTION("""COMPUTED_VALUE"""),"Acepto")</f>
        <v>Acepto</v>
      </c>
      <c r="AA206" s="38" t="str">
        <f ca="1">IFERROR(__xludf.DUMMYFUNCTION("""COMPUTED_VALUE"""),"Terminado")</f>
        <v>Terminado</v>
      </c>
      <c r="AB206" s="38">
        <f ca="1">IFERROR(__xludf.DUMMYFUNCTION("""COMPUTED_VALUE"""),50000)</f>
        <v>50000</v>
      </c>
      <c r="AC206" s="6">
        <f ca="1">IFERROR(__xludf.DUMMYFUNCTION("""COMPUTED_VALUE"""),205385)</f>
        <v>205385</v>
      </c>
      <c r="AD206" s="6" t="str">
        <f ca="1">IFERROR(__xludf.DUMMYFUNCTION("""COMPUTED_VALUE"""),"TRF 02-09")</f>
        <v>TRF 02-09</v>
      </c>
      <c r="AE206" s="6"/>
      <c r="AF206" s="6"/>
    </row>
    <row r="207" spans="1:32" ht="13.2">
      <c r="A207" s="35">
        <f ca="1">IFERROR(__xludf.DUMMYFUNCTION("""COMPUTED_VALUE"""),45519.7225788194)</f>
        <v>45519.722578819397</v>
      </c>
      <c r="B207" s="36" t="str">
        <f ca="1">IFERROR(__xludf.DUMMYFUNCTION("""COMPUTED_VALUE"""),"Luciano")</f>
        <v>Luciano</v>
      </c>
      <c r="C207" s="36" t="str">
        <f ca="1">IFERROR(__xludf.DUMMYFUNCTION("""COMPUTED_VALUE"""),"Montero")</f>
        <v>Montero</v>
      </c>
      <c r="D207" s="36" t="str">
        <f ca="1">IFERROR(__xludf.DUMMYFUNCTION("""COMPUTED_VALUE"""),"Buenos aires")</f>
        <v>Buenos aires</v>
      </c>
      <c r="E207" s="38" t="str">
        <f ca="1">IFERROR(__xludf.DUMMYFUNCTION("""COMPUTED_VALUE"""),"ARG")</f>
        <v>ARG</v>
      </c>
      <c r="F207" s="38">
        <f ca="1">IFERROR(__xludf.DUMMYFUNCTION("""COMPUTED_VALUE"""),32936598)</f>
        <v>32936598</v>
      </c>
      <c r="G207" s="37">
        <f ca="1">IFERROR(__xludf.DUMMYFUNCTION("""COMPUTED_VALUE"""),32053)</f>
        <v>32053</v>
      </c>
      <c r="H207" s="38">
        <f ca="1">IFERROR(__xludf.DUMMYFUNCTION("""COMPUTED_VALUE"""),1168034974)</f>
        <v>1168034974</v>
      </c>
      <c r="I207" s="38"/>
      <c r="J207" s="38" t="str">
        <f ca="1">IFERROR(__xludf.DUMMYFUNCTION("""COMPUTED_VALUE"""),"lmontero136@gmail.com")</f>
        <v>lmontero136@gmail.com</v>
      </c>
      <c r="K207" s="38" t="str">
        <f ca="1">IFERROR(__xludf.DUMMYFUNCTION("""COMPUTED_VALUE"""),"Masculino")</f>
        <v>Masculino</v>
      </c>
      <c r="L207" s="38" t="str">
        <f ca="1">IFERROR(__xludf.DUMMYFUNCTION("""COMPUTED_VALUE"""),"CUBA")</f>
        <v>CUBA</v>
      </c>
      <c r="M207" s="38" t="str">
        <f ca="1">IFERROR(__xludf.DUMMYFUNCTION("""COMPUTED_VALUE"""),"Wingfoil")</f>
        <v>Wingfoil</v>
      </c>
      <c r="N207" s="6" t="str">
        <f ca="1">IFERROR(__xludf.DUMMYFUNCTION("""COMPUTED_VALUE"""),"WING FOIL")</f>
        <v>WING FOIL</v>
      </c>
      <c r="O207" s="6"/>
      <c r="P207" s="6" t="str">
        <f ca="1">IFERROR(__xludf.DUMMYFUNCTION("""COMPUTED_VALUE"""),"Número pechera 77")</f>
        <v>Número pechera 77</v>
      </c>
      <c r="Q207" s="38"/>
      <c r="R207" s="38"/>
      <c r="S207" s="38"/>
      <c r="T207" s="38"/>
      <c r="U207" s="38"/>
      <c r="V207" s="38"/>
      <c r="W207" s="38"/>
      <c r="X207" s="40"/>
      <c r="Y207" s="6" t="str">
        <f ca="1">IFERROR(__xludf.DUMMYFUNCTION("""COMPUTED_VALUE"""),"No")</f>
        <v>No</v>
      </c>
      <c r="Z207" s="38" t="str">
        <f ca="1">IFERROR(__xludf.DUMMYFUNCTION("""COMPUTED_VALUE"""),"Acepto")</f>
        <v>Acepto</v>
      </c>
      <c r="AA207" s="38" t="str">
        <f ca="1">IFERROR(__xludf.DUMMYFUNCTION("""COMPUTED_VALUE"""),"Pendiente")</f>
        <v>Pendiente</v>
      </c>
      <c r="AB207" s="38"/>
      <c r="AC207" s="6"/>
      <c r="AD207" s="6"/>
      <c r="AE207" s="6"/>
      <c r="AF207" s="6"/>
    </row>
    <row r="208" spans="1:32" ht="13.2">
      <c r="A208" s="35">
        <f ca="1">IFERROR(__xludf.DUMMYFUNCTION("""COMPUTED_VALUE"""),45535.8503857291)</f>
        <v>45535.8503857291</v>
      </c>
      <c r="B208" s="36" t="str">
        <f ca="1">IFERROR(__xludf.DUMMYFUNCTION("""COMPUTED_VALUE"""),"Carlota")</f>
        <v>Carlota</v>
      </c>
      <c r="C208" s="36" t="str">
        <f ca="1">IFERROR(__xludf.DUMMYFUNCTION("""COMPUTED_VALUE"""),"Moreno Cantillana")</f>
        <v>Moreno Cantillana</v>
      </c>
      <c r="D208" s="36" t="str">
        <f ca="1">IFERROR(__xludf.DUMMYFUNCTION("""COMPUTED_VALUE"""),"Buenos Aires")</f>
        <v>Buenos Aires</v>
      </c>
      <c r="E208" s="38" t="str">
        <f ca="1">IFERROR(__xludf.DUMMYFUNCTION("""COMPUTED_VALUE"""),"ARG")</f>
        <v>ARG</v>
      </c>
      <c r="F208" s="38">
        <f ca="1">IFERROR(__xludf.DUMMYFUNCTION("""COMPUTED_VALUE"""),95632462)</f>
        <v>95632462</v>
      </c>
      <c r="G208" s="37">
        <f ca="1">IFERROR(__xludf.DUMMYFUNCTION("""COMPUTED_VALUE"""),41462)</f>
        <v>41462</v>
      </c>
      <c r="H208" s="38">
        <f ca="1">IFERROR(__xludf.DUMMYFUNCTION("""COMPUTED_VALUE"""),1163559460)</f>
        <v>1163559460</v>
      </c>
      <c r="I208" s="38">
        <f ca="1">IFERROR(__xludf.DUMMYFUNCTION("""COMPUTED_VALUE"""),1139075016)</f>
        <v>1139075016</v>
      </c>
      <c r="J208" s="38" t="str">
        <f ca="1">IFERROR(__xludf.DUMMYFUNCTION("""COMPUTED_VALUE"""),"barbaracantillana@gmail.com")</f>
        <v>barbaracantillana@gmail.com</v>
      </c>
      <c r="K208" s="38" t="str">
        <f ca="1">IFERROR(__xludf.DUMMYFUNCTION("""COMPUTED_VALUE"""),"Femenino")</f>
        <v>Femenino</v>
      </c>
      <c r="L208" s="38" t="str">
        <f ca="1">IFERROR(__xludf.DUMMYFUNCTION("""COMPUTED_VALUE"""),"YCCN")</f>
        <v>YCCN</v>
      </c>
      <c r="M208" s="38" t="str">
        <f ca="1">IFERROR(__xludf.DUMMYFUNCTION("""COMPUTED_VALUE"""),"Femenino, Interior (Optimist)")</f>
        <v>Femenino, Interior (Optimist)</v>
      </c>
      <c r="N208" s="6" t="str">
        <f ca="1">IFERROR(__xludf.DUMMYFUNCTION("""COMPUTED_VALUE"""),"OPTIMIST PRINCIPIANTES")</f>
        <v>OPTIMIST PRINCIPIANTES</v>
      </c>
      <c r="O208" s="6"/>
      <c r="P208" s="6">
        <f ca="1">IFERROR(__xludf.DUMMYFUNCTION("""COMPUTED_VALUE"""),4090)</f>
        <v>4090</v>
      </c>
      <c r="Q208" s="38" t="str">
        <f ca="1">IFERROR(__xludf.DUMMYFUNCTION("""COMPUTED_VALUE"""),"Bala")</f>
        <v>Bala</v>
      </c>
      <c r="R208" s="38"/>
      <c r="S208" s="38"/>
      <c r="T208" s="38"/>
      <c r="U208" s="38"/>
      <c r="V208" s="38"/>
      <c r="W208" s="38"/>
      <c r="X208" s="40">
        <f ca="1">IFERROR(__xludf.DUMMYFUNCTION("""COMPUTED_VALUE"""),62792242104)</f>
        <v>62792242104</v>
      </c>
      <c r="Y208" s="6" t="str">
        <f ca="1">IFERROR(__xludf.DUMMYFUNCTION("""COMPUTED_VALUE"""),"Si")</f>
        <v>Si</v>
      </c>
      <c r="Z208" s="38" t="str">
        <f ca="1">IFERROR(__xludf.DUMMYFUNCTION("""COMPUTED_VALUE"""),"Acepto")</f>
        <v>Acepto</v>
      </c>
      <c r="AA208" s="38" t="str">
        <f ca="1">IFERROR(__xludf.DUMMYFUNCTION("""COMPUTED_VALUE"""),"Terminado")</f>
        <v>Terminado</v>
      </c>
      <c r="AB208" s="38">
        <f ca="1">IFERROR(__xludf.DUMMYFUNCTION("""COMPUTED_VALUE"""),60000)</f>
        <v>60000</v>
      </c>
      <c r="AC208" s="6">
        <f ca="1">IFERROR(__xludf.DUMMYFUNCTION("""COMPUTED_VALUE"""),205356)</f>
        <v>205356</v>
      </c>
      <c r="AD208" s="6" t="str">
        <f ca="1">IFERROR(__xludf.DUMMYFUNCTION("""COMPUTED_VALUE"""),"TRF 02-09")</f>
        <v>TRF 02-09</v>
      </c>
      <c r="AE208" s="6"/>
      <c r="AF208" s="6"/>
    </row>
    <row r="209" spans="1:32" ht="13.2">
      <c r="A209" s="35">
        <f ca="1">IFERROR(__xludf.DUMMYFUNCTION("""COMPUTED_VALUE"""),45537.5403152546)</f>
        <v>45537.540315254599</v>
      </c>
      <c r="B209" s="36" t="str">
        <f ca="1">IFERROR(__xludf.DUMMYFUNCTION("""COMPUTED_VALUE"""),"Michelle ")</f>
        <v xml:space="preserve">Michelle </v>
      </c>
      <c r="C209" s="36" t="str">
        <f ca="1">IFERROR(__xludf.DUMMYFUNCTION("""COMPUTED_VALUE"""),"Moriceau")</f>
        <v>Moriceau</v>
      </c>
      <c r="D209" s="36" t="str">
        <f ca="1">IFERROR(__xludf.DUMMYFUNCTION("""COMPUTED_VALUE"""),"Olivos ")</f>
        <v xml:space="preserve">Olivos </v>
      </c>
      <c r="E209" s="38" t="str">
        <f ca="1">IFERROR(__xludf.DUMMYFUNCTION("""COMPUTED_VALUE"""),"ARG")</f>
        <v>ARG</v>
      </c>
      <c r="F209" s="38">
        <f ca="1">IFERROR(__xludf.DUMMYFUNCTION("""COMPUTED_VALUE"""),54300994)</f>
        <v>54300994</v>
      </c>
      <c r="G209" s="37">
        <f ca="1">IFERROR(__xludf.DUMMYFUNCTION("""COMPUTED_VALUE"""),41915)</f>
        <v>41915</v>
      </c>
      <c r="H209" s="38">
        <f ca="1">IFERROR(__xludf.DUMMYFUNCTION("""COMPUTED_VALUE"""),1156454666)</f>
        <v>1156454666</v>
      </c>
      <c r="I209" s="38">
        <f ca="1">IFERROR(__xludf.DUMMYFUNCTION("""COMPUTED_VALUE"""),1156454666)</f>
        <v>1156454666</v>
      </c>
      <c r="J209" s="38" t="str">
        <f ca="1">IFERROR(__xludf.DUMMYFUNCTION("""COMPUTED_VALUE"""),"karengreniuk@gmail.com")</f>
        <v>karengreniuk@gmail.com</v>
      </c>
      <c r="K209" s="38" t="str">
        <f ca="1">IFERROR(__xludf.DUMMYFUNCTION("""COMPUTED_VALUE"""),"Femenino")</f>
        <v>Femenino</v>
      </c>
      <c r="L209" s="38" t="str">
        <f ca="1">IFERROR(__xludf.DUMMYFUNCTION("""COMPUTED_VALUE"""),"YCA")</f>
        <v>YCA</v>
      </c>
      <c r="M209" s="38" t="str">
        <f ca="1">IFERROR(__xludf.DUMMYFUNCTION("""COMPUTED_VALUE"""),"Femenino")</f>
        <v>Femenino</v>
      </c>
      <c r="N209" s="6" t="str">
        <f ca="1">IFERROR(__xludf.DUMMYFUNCTION("""COMPUTED_VALUE"""),"OPTIMIST PRINCIPIANTES")</f>
        <v>OPTIMIST PRINCIPIANTES</v>
      </c>
      <c r="O209" s="6"/>
      <c r="P209" s="6">
        <f ca="1">IFERROR(__xludf.DUMMYFUNCTION("""COMPUTED_VALUE"""),3523)</f>
        <v>3523</v>
      </c>
      <c r="Q209" s="38" t="str">
        <f ca="1">IFERROR(__xludf.DUMMYFUNCTION("""COMPUTED_VALUE"""),"Michirena")</f>
        <v>Michirena</v>
      </c>
      <c r="R209" s="38"/>
      <c r="S209" s="38"/>
      <c r="T209" s="38"/>
      <c r="U209" s="38"/>
      <c r="V209" s="38"/>
      <c r="W209" s="38"/>
      <c r="X209" s="40" t="str">
        <f ca="1">IFERROR(__xludf.DUMMYFUNCTION("""COMPUTED_VALUE"""),"Medicus MC 14730220000")</f>
        <v>Medicus MC 14730220000</v>
      </c>
      <c r="Y209" s="6" t="str">
        <f ca="1">IFERROR(__xludf.DUMMYFUNCTION("""COMPUTED_VALUE"""),"No")</f>
        <v>No</v>
      </c>
      <c r="Z209" s="38" t="str">
        <f ca="1">IFERROR(__xludf.DUMMYFUNCTION("""COMPUTED_VALUE"""),"Acepto")</f>
        <v>Acepto</v>
      </c>
      <c r="AA209" s="38" t="str">
        <f ca="1">IFERROR(__xludf.DUMMYFUNCTION("""COMPUTED_VALUE"""),"Pendiente")</f>
        <v>Pendiente</v>
      </c>
      <c r="AB209" s="38"/>
      <c r="AC209" s="6"/>
      <c r="AD209" s="6"/>
      <c r="AE209" s="6"/>
      <c r="AF209" s="6"/>
    </row>
    <row r="210" spans="1:32" ht="13.2">
      <c r="A210" s="35">
        <f ca="1">IFERROR(__xludf.DUMMYFUNCTION("""COMPUTED_VALUE"""),45518.9343561226)</f>
        <v>45518.934356122598</v>
      </c>
      <c r="B210" s="36" t="str">
        <f ca="1">IFERROR(__xludf.DUMMYFUNCTION("""COMPUTED_VALUE"""),"Ruben")</f>
        <v>Ruben</v>
      </c>
      <c r="C210" s="36" t="str">
        <f ca="1">IFERROR(__xludf.DUMMYFUNCTION("""COMPUTED_VALUE"""),"Moscatelli")</f>
        <v>Moscatelli</v>
      </c>
      <c r="D210" s="36" t="str">
        <f ca="1">IFERROR(__xludf.DUMMYFUNCTION("""COMPUTED_VALUE"""),"Buenos Aires")</f>
        <v>Buenos Aires</v>
      </c>
      <c r="E210" s="38" t="str">
        <f ca="1">IFERROR(__xludf.DUMMYFUNCTION("""COMPUTED_VALUE"""),"ARG")</f>
        <v>ARG</v>
      </c>
      <c r="F210" s="38">
        <f ca="1">IFERROR(__xludf.DUMMYFUNCTION("""COMPUTED_VALUE"""),10933157)</f>
        <v>10933157</v>
      </c>
      <c r="G210" s="37">
        <f ca="1">IFERROR(__xludf.DUMMYFUNCTION("""COMPUTED_VALUE"""),19635)</f>
        <v>19635</v>
      </c>
      <c r="H210" s="38" t="str">
        <f ca="1">IFERROR(__xludf.DUMMYFUNCTION("""COMPUTED_VALUE"""),"11 2327 5650")</f>
        <v>11 2327 5650</v>
      </c>
      <c r="I210" s="38" t="str">
        <f ca="1">IFERROR(__xludf.DUMMYFUNCTION("""COMPUTED_VALUE"""),"11 5490 3901")</f>
        <v>11 5490 3901</v>
      </c>
      <c r="J210" s="38" t="str">
        <f ca="1">IFERROR(__xludf.DUMMYFUNCTION("""COMPUTED_VALUE"""),"moscatelli_r@hotmail.com")</f>
        <v>moscatelli_r@hotmail.com</v>
      </c>
      <c r="K210" s="38" t="str">
        <f ca="1">IFERROR(__xludf.DUMMYFUNCTION("""COMPUTED_VALUE"""),"Masculino")</f>
        <v>Masculino</v>
      </c>
      <c r="L210" s="38" t="str">
        <f ca="1">IFERROR(__xludf.DUMMYFUNCTION("""COMPUTED_VALUE"""),"CPCNB")</f>
        <v>CPCNB</v>
      </c>
      <c r="M210" s="38" t="str">
        <f ca="1">IFERROR(__xludf.DUMMYFUNCTION("""COMPUTED_VALUE"""),"Master (ILCA)")</f>
        <v>Master (ILCA)</v>
      </c>
      <c r="N210" s="6" t="str">
        <f ca="1">IFERROR(__xludf.DUMMYFUNCTION("""COMPUTED_VALUE"""),"PAMPERO")</f>
        <v>PAMPERO</v>
      </c>
      <c r="O210" s="6"/>
      <c r="P210" s="6" t="str">
        <f ca="1">IFERROR(__xludf.DUMMYFUNCTION("""COMPUTED_VALUE"""),"ARG 3716")</f>
        <v>ARG 3716</v>
      </c>
      <c r="Q210" s="38" t="str">
        <f ca="1">IFERROR(__xludf.DUMMYFUNCTION("""COMPUTED_VALUE"""),"Silver Star II")</f>
        <v>Silver Star II</v>
      </c>
      <c r="R210" s="38" t="str">
        <f ca="1">IFERROR(__xludf.DUMMYFUNCTION("""COMPUTED_VALUE"""),"Mariana Seminara")</f>
        <v>Mariana Seminara</v>
      </c>
      <c r="S210" s="38"/>
      <c r="T210" s="38"/>
      <c r="U210" s="38"/>
      <c r="V210" s="38"/>
      <c r="W210" s="38"/>
      <c r="X210" s="40" t="str">
        <f ca="1">IFERROR(__xludf.DUMMYFUNCTION("""COMPUTED_VALUE"""),"Medicus 06024195008")</f>
        <v>Medicus 06024195008</v>
      </c>
      <c r="Y210" s="6" t="str">
        <f ca="1">IFERROR(__xludf.DUMMYFUNCTION("""COMPUTED_VALUE"""),"Si")</f>
        <v>Si</v>
      </c>
      <c r="Z210" s="38" t="str">
        <f ca="1">IFERROR(__xludf.DUMMYFUNCTION("""COMPUTED_VALUE"""),"Acepto")</f>
        <v>Acepto</v>
      </c>
      <c r="AA210" s="38" t="str">
        <f ca="1">IFERROR(__xludf.DUMMYFUNCTION("""COMPUTED_VALUE"""),"Terminado")</f>
        <v>Terminado</v>
      </c>
      <c r="AB210" s="38">
        <f ca="1">IFERROR(__xludf.DUMMYFUNCTION("""COMPUTED_VALUE"""),60000)</f>
        <v>60000</v>
      </c>
      <c r="AC210" s="6">
        <f ca="1">IFERROR(__xludf.DUMMYFUNCTION("""COMPUTED_VALUE"""),204951)</f>
        <v>204951</v>
      </c>
      <c r="AD210" s="6" t="str">
        <f ca="1">IFERROR(__xludf.DUMMYFUNCTION("""COMPUTED_VALUE"""),"TRF 14-8")</f>
        <v>TRF 14-8</v>
      </c>
      <c r="AE210" s="6"/>
      <c r="AF210" s="6" t="str">
        <f ca="1">IFERROR(__xludf.DUMMYFUNCTION("""COMPUTED_VALUE"""),"Si")</f>
        <v>Si</v>
      </c>
    </row>
    <row r="211" spans="1:32" ht="13.2">
      <c r="A211" s="35">
        <f ca="1">IFERROR(__xludf.DUMMYFUNCTION("""COMPUTED_VALUE"""),45535.6265690046)</f>
        <v>45535.626569004598</v>
      </c>
      <c r="B211" s="36" t="str">
        <f ca="1">IFERROR(__xludf.DUMMYFUNCTION("""COMPUTED_VALUE"""),"Martín ")</f>
        <v xml:space="preserve">Martín </v>
      </c>
      <c r="C211" s="36" t="str">
        <f ca="1">IFERROR(__xludf.DUMMYFUNCTION("""COMPUTED_VALUE"""),"Mul")</f>
        <v>Mul</v>
      </c>
      <c r="D211" s="36" t="str">
        <f ca="1">IFERROR(__xludf.DUMMYFUNCTION("""COMPUTED_VALUE"""),"Zarate")</f>
        <v>Zarate</v>
      </c>
      <c r="E211" s="38" t="str">
        <f ca="1">IFERROR(__xludf.DUMMYFUNCTION("""COMPUTED_VALUE"""),"ARG")</f>
        <v>ARG</v>
      </c>
      <c r="F211" s="38">
        <f ca="1">IFERROR(__xludf.DUMMYFUNCTION("""COMPUTED_VALUE"""),53417016)</f>
        <v>53417016</v>
      </c>
      <c r="G211" s="37">
        <f ca="1">IFERROR(__xludf.DUMMYFUNCTION("""COMPUTED_VALUE"""),41536)</f>
        <v>41536</v>
      </c>
      <c r="H211" s="38">
        <f ca="1">IFERROR(__xludf.DUMMYFUNCTION("""COMPUTED_VALUE"""),3487330394)</f>
        <v>3487330394</v>
      </c>
      <c r="I211" s="38"/>
      <c r="J211" s="38" t="str">
        <f ca="1">IFERROR(__xludf.DUMMYFUNCTION("""COMPUTED_VALUE"""),"Malala_18g@hotmail.com")</f>
        <v>Malala_18g@hotmail.com</v>
      </c>
      <c r="K211" s="38" t="str">
        <f ca="1">IFERROR(__xludf.DUMMYFUNCTION("""COMPUTED_VALUE"""),"Masculino")</f>
        <v>Masculino</v>
      </c>
      <c r="L211" s="38" t="str">
        <f ca="1">IFERROR(__xludf.DUMMYFUNCTION("""COMPUTED_VALUE"""),"CNZ")</f>
        <v>CNZ</v>
      </c>
      <c r="M211" s="38" t="str">
        <f ca="1">IFERROR(__xludf.DUMMYFUNCTION("""COMPUTED_VALUE"""),"Interior (Optimist)")</f>
        <v>Interior (Optimist)</v>
      </c>
      <c r="N211" s="6" t="str">
        <f ca="1">IFERROR(__xludf.DUMMYFUNCTION("""COMPUTED_VALUE"""),"OPTIMIST PRINCIPIANTES")</f>
        <v>OPTIMIST PRINCIPIANTES</v>
      </c>
      <c r="O211" s="6"/>
      <c r="P211" s="6">
        <f ca="1">IFERROR(__xludf.DUMMYFUNCTION("""COMPUTED_VALUE"""),2865)</f>
        <v>2865</v>
      </c>
      <c r="Q211" s="38" t="str">
        <f ca="1">IFERROR(__xludf.DUMMYFUNCTION("""COMPUTED_VALUE"""),"Rayo")</f>
        <v>Rayo</v>
      </c>
      <c r="R211" s="38"/>
      <c r="S211" s="38"/>
      <c r="T211" s="38"/>
      <c r="U211" s="38"/>
      <c r="V211" s="38"/>
      <c r="W211" s="38"/>
      <c r="X211" s="40" t="str">
        <f ca="1">IFERROR(__xludf.DUMMYFUNCTION("""COMPUTED_VALUE"""),"Osdipp")</f>
        <v>Osdipp</v>
      </c>
      <c r="Y211" s="6" t="str">
        <f ca="1">IFERROR(__xludf.DUMMYFUNCTION("""COMPUTED_VALUE"""),"Si")</f>
        <v>Si</v>
      </c>
      <c r="Z211" s="38" t="str">
        <f ca="1">IFERROR(__xludf.DUMMYFUNCTION("""COMPUTED_VALUE"""),"Acepto")</f>
        <v>Acepto</v>
      </c>
      <c r="AA211" s="38" t="str">
        <f ca="1">IFERROR(__xludf.DUMMYFUNCTION("""COMPUTED_VALUE"""),"Terminado")</f>
        <v>Terminado</v>
      </c>
      <c r="AB211" s="38">
        <f ca="1">IFERROR(__xludf.DUMMYFUNCTION("""COMPUTED_VALUE"""),50000)</f>
        <v>50000</v>
      </c>
      <c r="AC211" s="6">
        <f ca="1">IFERROR(__xludf.DUMMYFUNCTION("""COMPUTED_VALUE"""),205357)</f>
        <v>205357</v>
      </c>
      <c r="AD211" s="6" t="str">
        <f ca="1">IFERROR(__xludf.DUMMYFUNCTION("""COMPUTED_VALUE"""),"TRF 31-08")</f>
        <v>TRF 31-08</v>
      </c>
      <c r="AE211" s="6"/>
      <c r="AF211" s="6"/>
    </row>
    <row r="212" spans="1:32" ht="13.2">
      <c r="A212" s="35">
        <f ca="1">IFERROR(__xludf.DUMMYFUNCTION("""COMPUTED_VALUE"""),45535.516484155)</f>
        <v>45535.516484154999</v>
      </c>
      <c r="B212" s="36" t="str">
        <f ca="1">IFERROR(__xludf.DUMMYFUNCTION("""COMPUTED_VALUE"""),"Olivia ")</f>
        <v xml:space="preserve">Olivia </v>
      </c>
      <c r="C212" s="36" t="str">
        <f ca="1">IFERROR(__xludf.DUMMYFUNCTION("""COMPUTED_VALUE"""),"MUSSEL")</f>
        <v>MUSSEL</v>
      </c>
      <c r="D212" s="36" t="str">
        <f ca="1">IFERROR(__xludf.DUMMYFUNCTION("""COMPUTED_VALUE"""),"CABA")</f>
        <v>CABA</v>
      </c>
      <c r="E212" s="38" t="str">
        <f ca="1">IFERROR(__xludf.DUMMYFUNCTION("""COMPUTED_VALUE"""),"ARG")</f>
        <v>ARG</v>
      </c>
      <c r="F212" s="38">
        <f ca="1">IFERROR(__xludf.DUMMYFUNCTION("""COMPUTED_VALUE"""),51269548)</f>
        <v>51269548</v>
      </c>
      <c r="G212" s="37">
        <f ca="1">IFERROR(__xludf.DUMMYFUNCTION("""COMPUTED_VALUE"""),40733)</f>
        <v>40733</v>
      </c>
      <c r="H212" s="38">
        <f ca="1">IFERROR(__xludf.DUMMYFUNCTION("""COMPUTED_VALUE"""),1158303299)</f>
        <v>1158303299</v>
      </c>
      <c r="I212" s="38" t="str">
        <f ca="1">IFERROR(__xludf.DUMMYFUNCTION("""COMPUTED_VALUE"""),"01134640808")</f>
        <v>01134640808</v>
      </c>
      <c r="J212" s="38" t="str">
        <f ca="1">IFERROR(__xludf.DUMMYFUNCTION("""COMPUTED_VALUE"""),"mpakrause@gmail.com")</f>
        <v>mpakrause@gmail.com</v>
      </c>
      <c r="K212" s="38" t="str">
        <f ca="1">IFERROR(__xludf.DUMMYFUNCTION("""COMPUTED_VALUE"""),"Femenino")</f>
        <v>Femenino</v>
      </c>
      <c r="L212" s="38" t="str">
        <f ca="1">IFERROR(__xludf.DUMMYFUNCTION("""COMPUTED_VALUE"""),"CUBA")</f>
        <v>CUBA</v>
      </c>
      <c r="M212" s="38" t="str">
        <f ca="1">IFERROR(__xludf.DUMMYFUNCTION("""COMPUTED_VALUE"""),"Femenino, Interior (Optimist)")</f>
        <v>Femenino, Interior (Optimist)</v>
      </c>
      <c r="N212" s="6" t="str">
        <f ca="1">IFERROR(__xludf.DUMMYFUNCTION("""COMPUTED_VALUE"""),"OPTIMIST PRINCIPIANTES")</f>
        <v>OPTIMIST PRINCIPIANTES</v>
      </c>
      <c r="O212" s="6"/>
      <c r="P212" s="6" t="str">
        <f ca="1">IFERROR(__xludf.DUMMYFUNCTION("""COMPUTED_VALUE"""),"ARG 4132")</f>
        <v>ARG 4132</v>
      </c>
      <c r="Q212" s="38"/>
      <c r="R212" s="38"/>
      <c r="S212" s="38"/>
      <c r="T212" s="38"/>
      <c r="U212" s="38"/>
      <c r="V212" s="38"/>
      <c r="W212" s="38"/>
      <c r="X212" s="40" t="str">
        <f ca="1">IFERROR(__xludf.DUMMYFUNCTION("""COMPUTED_VALUE"""),"Swis Medical Docthos ")</f>
        <v xml:space="preserve">Swis Medical Docthos </v>
      </c>
      <c r="Y212" s="6" t="str">
        <f ca="1">IFERROR(__xludf.DUMMYFUNCTION("""COMPUTED_VALUE"""),"No")</f>
        <v>No</v>
      </c>
      <c r="Z212" s="38" t="str">
        <f ca="1">IFERROR(__xludf.DUMMYFUNCTION("""COMPUTED_VALUE"""),"Acepto")</f>
        <v>Acepto</v>
      </c>
      <c r="AA212" s="38" t="str">
        <f ca="1">IFERROR(__xludf.DUMMYFUNCTION("""COMPUTED_VALUE"""),"Terminado")</f>
        <v>Terminado</v>
      </c>
      <c r="AB212" s="38">
        <f ca="1">IFERROR(__xludf.DUMMYFUNCTION("""COMPUTED_VALUE"""),60000)</f>
        <v>60000</v>
      </c>
      <c r="AC212" s="6">
        <f ca="1">IFERROR(__xludf.DUMMYFUNCTION("""COMPUTED_VALUE"""),205169)</f>
        <v>205169</v>
      </c>
      <c r="AD212" s="6" t="str">
        <f ca="1">IFERROR(__xludf.DUMMYFUNCTION("""COMPUTED_VALUE"""),"TRF 31-08")</f>
        <v>TRF 31-08</v>
      </c>
      <c r="AE212" s="6"/>
      <c r="AF212" s="6"/>
    </row>
    <row r="213" spans="1:32" ht="13.2">
      <c r="A213" s="35">
        <f ca="1">IFERROR(__xludf.DUMMYFUNCTION("""COMPUTED_VALUE"""),45536.5402672569)</f>
        <v>45536.540267256903</v>
      </c>
      <c r="B213" s="36" t="str">
        <f ca="1">IFERROR(__xludf.DUMMYFUNCTION("""COMPUTED_VALUE"""),"Enzo ")</f>
        <v xml:space="preserve">Enzo </v>
      </c>
      <c r="C213" s="36" t="str">
        <f ca="1">IFERROR(__xludf.DUMMYFUNCTION("""COMPUTED_VALUE"""),"Musumeci ")</f>
        <v xml:space="preserve">Musumeci </v>
      </c>
      <c r="D213" s="36" t="str">
        <f ca="1">IFERROR(__xludf.DUMMYFUNCTION("""COMPUTED_VALUE"""),"Soldini")</f>
        <v>Soldini</v>
      </c>
      <c r="E213" s="38" t="str">
        <f ca="1">IFERROR(__xludf.DUMMYFUNCTION("""COMPUTED_VALUE"""),"ARG")</f>
        <v>ARG</v>
      </c>
      <c r="F213" s="38">
        <f ca="1">IFERROR(__xludf.DUMMYFUNCTION("""COMPUTED_VALUE"""),51012774)</f>
        <v>51012774</v>
      </c>
      <c r="G213" s="37">
        <f ca="1">IFERROR(__xludf.DUMMYFUNCTION("""COMPUTED_VALUE"""),40586)</f>
        <v>40586</v>
      </c>
      <c r="H213" s="38">
        <f ca="1">IFERROR(__xludf.DUMMYFUNCTION("""COMPUTED_VALUE"""),3416198000)</f>
        <v>3416198000</v>
      </c>
      <c r="I213" s="38"/>
      <c r="J213" s="38" t="str">
        <f ca="1">IFERROR(__xludf.DUMMYFUNCTION("""COMPUTED_VALUE"""),"Melisaalvarez1979@gmail.com")</f>
        <v>Melisaalvarez1979@gmail.com</v>
      </c>
      <c r="K213" s="38" t="str">
        <f ca="1">IFERROR(__xludf.DUMMYFUNCTION("""COMPUTED_VALUE"""),"Masculino")</f>
        <v>Masculino</v>
      </c>
      <c r="L213" s="38" t="str">
        <f ca="1">IFERROR(__xludf.DUMMYFUNCTION("""COMPUTED_VALUE"""),"Crr")</f>
        <v>Crr</v>
      </c>
      <c r="M213" s="38" t="str">
        <f ca="1">IFERROR(__xludf.DUMMYFUNCTION("""COMPUTED_VALUE"""),"Interior (Optimist)")</f>
        <v>Interior (Optimist)</v>
      </c>
      <c r="N213" s="6" t="str">
        <f ca="1">IFERROR(__xludf.DUMMYFUNCTION("""COMPUTED_VALUE"""),"OPTIMIST TIMONELES")</f>
        <v>OPTIMIST TIMONELES</v>
      </c>
      <c r="O213" s="6"/>
      <c r="P213" s="6">
        <f ca="1">IFERROR(__xludf.DUMMYFUNCTION("""COMPUTED_VALUE"""),4018)</f>
        <v>4018</v>
      </c>
      <c r="Q213" s="38"/>
      <c r="R213" s="38"/>
      <c r="S213" s="38"/>
      <c r="T213" s="38"/>
      <c r="U213" s="38"/>
      <c r="V213" s="38"/>
      <c r="W213" s="38"/>
      <c r="X213" s="40"/>
      <c r="Y213" s="6" t="str">
        <f ca="1">IFERROR(__xludf.DUMMYFUNCTION("""COMPUTED_VALUE"""),"No")</f>
        <v>No</v>
      </c>
      <c r="Z213" s="38" t="str">
        <f ca="1">IFERROR(__xludf.DUMMYFUNCTION("""COMPUTED_VALUE"""),"Acepto")</f>
        <v>Acepto</v>
      </c>
      <c r="AA213" s="38" t="str">
        <f ca="1">IFERROR(__xludf.DUMMYFUNCTION("""COMPUTED_VALUE"""),"Terminado")</f>
        <v>Terminado</v>
      </c>
      <c r="AB213" s="38">
        <f ca="1">IFERROR(__xludf.DUMMYFUNCTION("""COMPUTED_VALUE"""),42500)</f>
        <v>42500</v>
      </c>
      <c r="AC213" s="6">
        <f ca="1">IFERROR(__xludf.DUMMYFUNCTION("""COMPUTED_VALUE"""),205386)</f>
        <v>205386</v>
      </c>
      <c r="AD213" s="6" t="str">
        <f ca="1">IFERROR(__xludf.DUMMYFUNCTION("""COMPUTED_VALUE"""),"TRF 02-09")</f>
        <v>TRF 02-09</v>
      </c>
      <c r="AE213" s="6"/>
      <c r="AF213" s="6"/>
    </row>
    <row r="214" spans="1:32" ht="13.2">
      <c r="A214" s="35">
        <f ca="1">IFERROR(__xludf.DUMMYFUNCTION("""COMPUTED_VALUE"""),45538.8724060069)</f>
        <v>45538.8724060069</v>
      </c>
      <c r="B214" s="36" t="str">
        <f ca="1">IFERROR(__xludf.DUMMYFUNCTION("""COMPUTED_VALUE"""),"Ambar")</f>
        <v>Ambar</v>
      </c>
      <c r="C214" s="36" t="str">
        <f ca="1">IFERROR(__xludf.DUMMYFUNCTION("""COMPUTED_VALUE"""),"Muzzio")</f>
        <v>Muzzio</v>
      </c>
      <c r="D214" s="36" t="str">
        <f ca="1">IFERROR(__xludf.DUMMYFUNCTION("""COMPUTED_VALUE"""),"Beccar")</f>
        <v>Beccar</v>
      </c>
      <c r="E214" s="38" t="str">
        <f ca="1">IFERROR(__xludf.DUMMYFUNCTION("""COMPUTED_VALUE"""),"ARG")</f>
        <v>ARG</v>
      </c>
      <c r="F214" s="38">
        <f ca="1">IFERROR(__xludf.DUMMYFUNCTION("""COMPUTED_VALUE"""),52159528)</f>
        <v>52159528</v>
      </c>
      <c r="G214" s="37">
        <f ca="1">IFERROR(__xludf.DUMMYFUNCTION("""COMPUTED_VALUE"""),40948)</f>
        <v>40948</v>
      </c>
      <c r="H214" s="38">
        <f ca="1">IFERROR(__xludf.DUMMYFUNCTION("""COMPUTED_VALUE"""),1133240918)</f>
        <v>1133240918</v>
      </c>
      <c r="I214" s="38">
        <f ca="1">IFERROR(__xludf.DUMMYFUNCTION("""COMPUTED_VALUE"""),113324093)</f>
        <v>113324093</v>
      </c>
      <c r="J214" s="38" t="str">
        <f ca="1">IFERROR(__xludf.DUMMYFUNCTION("""COMPUTED_VALUE"""),"gustavo.muzzio@gmail.com")</f>
        <v>gustavo.muzzio@gmail.com</v>
      </c>
      <c r="K214" s="38" t="str">
        <f ca="1">IFERROR(__xludf.DUMMYFUNCTION("""COMPUTED_VALUE"""),"Femenino")</f>
        <v>Femenino</v>
      </c>
      <c r="L214" s="38" t="str">
        <f ca="1">IFERROR(__xludf.DUMMYFUNCTION("""COMPUTED_VALUE"""),"CPNLB")</f>
        <v>CPNLB</v>
      </c>
      <c r="M214" s="38" t="str">
        <f ca="1">IFERROR(__xludf.DUMMYFUNCTION("""COMPUTED_VALUE"""),"Femenino")</f>
        <v>Femenino</v>
      </c>
      <c r="N214" s="6" t="str">
        <f ca="1">IFERROR(__xludf.DUMMYFUNCTION("""COMPUTED_VALUE"""),"OPTIMIST TIMONELES")</f>
        <v>OPTIMIST TIMONELES</v>
      </c>
      <c r="O214" s="6"/>
      <c r="P214" s="6" t="str">
        <f ca="1">IFERROR(__xludf.DUMMYFUNCTION("""COMPUTED_VALUE"""),"USA22851")</f>
        <v>USA22851</v>
      </c>
      <c r="Q214" s="38"/>
      <c r="R214" s="38"/>
      <c r="S214" s="38"/>
      <c r="T214" s="38"/>
      <c r="U214" s="38"/>
      <c r="V214" s="38"/>
      <c r="W214" s="38"/>
      <c r="X214" s="40" t="str">
        <f ca="1">IFERROR(__xludf.DUMMYFUNCTION("""COMPUTED_VALUE"""),"TV SALUD")</f>
        <v>TV SALUD</v>
      </c>
      <c r="Y214" s="6" t="str">
        <f ca="1">IFERROR(__xludf.DUMMYFUNCTION("""COMPUTED_VALUE"""),"Si")</f>
        <v>Si</v>
      </c>
      <c r="Z214" s="38" t="str">
        <f ca="1">IFERROR(__xludf.DUMMYFUNCTION("""COMPUTED_VALUE"""),"Acepto")</f>
        <v>Acepto</v>
      </c>
      <c r="AA214" s="38" t="str">
        <f ca="1">IFERROR(__xludf.DUMMYFUNCTION("""COMPUTED_VALUE"""),"Terminado")</f>
        <v>Terminado</v>
      </c>
      <c r="AB214" s="38">
        <f ca="1">IFERROR(__xludf.DUMMYFUNCTION("""COMPUTED_VALUE"""),50000)</f>
        <v>50000</v>
      </c>
      <c r="AC214" s="6">
        <f ca="1">IFERROR(__xludf.DUMMYFUNCTION("""COMPUTED_VALUE"""),205429)</f>
        <v>205429</v>
      </c>
      <c r="AD214" s="6" t="str">
        <f ca="1">IFERROR(__xludf.DUMMYFUNCTION("""COMPUTED_VALUE"""),"TRF 03-09")</f>
        <v>TRF 03-09</v>
      </c>
      <c r="AE214" s="6"/>
      <c r="AF214" s="6"/>
    </row>
    <row r="215" spans="1:32" ht="13.2">
      <c r="A215" s="35">
        <f ca="1">IFERROR(__xludf.DUMMYFUNCTION("""COMPUTED_VALUE"""),45537.7381342245)</f>
        <v>45537.738134224499</v>
      </c>
      <c r="B215" s="36" t="str">
        <f ca="1">IFERROR(__xludf.DUMMYFUNCTION("""COMPUTED_VALUE"""),"Francisco ")</f>
        <v xml:space="preserve">Francisco </v>
      </c>
      <c r="C215" s="36" t="str">
        <f ca="1">IFERROR(__xludf.DUMMYFUNCTION("""COMPUTED_VALUE"""),"Neira")</f>
        <v>Neira</v>
      </c>
      <c r="D215" s="36" t="str">
        <f ca="1">IFERROR(__xludf.DUMMYFUNCTION("""COMPUTED_VALUE"""),"Montevideo")</f>
        <v>Montevideo</v>
      </c>
      <c r="E215" s="38" t="str">
        <f ca="1">IFERROR(__xludf.DUMMYFUNCTION("""COMPUTED_VALUE"""),"URU")</f>
        <v>URU</v>
      </c>
      <c r="F215" s="38">
        <f ca="1">IFERROR(__xludf.DUMMYFUNCTION("""COMPUTED_VALUE"""),59600158)</f>
        <v>59600158</v>
      </c>
      <c r="G215" s="37">
        <f ca="1">IFERROR(__xludf.DUMMYFUNCTION("""COMPUTED_VALUE"""),41033)</f>
        <v>41033</v>
      </c>
      <c r="H215" s="38">
        <f ca="1">IFERROR(__xludf.DUMMYFUNCTION("""COMPUTED_VALUE"""),59899546638)</f>
        <v>59899546638</v>
      </c>
      <c r="I215" s="38">
        <f ca="1">IFERROR(__xludf.DUMMYFUNCTION("""COMPUTED_VALUE"""),59899546638)</f>
        <v>59899546638</v>
      </c>
      <c r="J215" s="38" t="str">
        <f ca="1">IFERROR(__xludf.DUMMYFUNCTION("""COMPUTED_VALUE"""),"carolina.meikle@gmail.com")</f>
        <v>carolina.meikle@gmail.com</v>
      </c>
      <c r="K215" s="38" t="str">
        <f ca="1">IFERROR(__xludf.DUMMYFUNCTION("""COMPUTED_VALUE"""),"Masculino")</f>
        <v>Masculino</v>
      </c>
      <c r="L215" s="38" t="str">
        <f ca="1">IFERROR(__xludf.DUMMYFUNCTION("""COMPUTED_VALUE"""),"NYC")</f>
        <v>NYC</v>
      </c>
      <c r="M215" s="38" t="str">
        <f ca="1">IFERROR(__xludf.DUMMYFUNCTION("""COMPUTED_VALUE"""),"Interior (Optimist)")</f>
        <v>Interior (Optimist)</v>
      </c>
      <c r="N215" s="6" t="str">
        <f ca="1">IFERROR(__xludf.DUMMYFUNCTION("""COMPUTED_VALUE"""),"OPTIMIST PRINCIPIANTES")</f>
        <v>OPTIMIST PRINCIPIANTES</v>
      </c>
      <c r="O215" s="6"/>
      <c r="P215" s="6">
        <f ca="1">IFERROR(__xludf.DUMMYFUNCTION("""COMPUTED_VALUE"""),433)</f>
        <v>433</v>
      </c>
      <c r="Q215" s="38"/>
      <c r="R215" s="38"/>
      <c r="S215" s="38"/>
      <c r="T215" s="38"/>
      <c r="U215" s="38"/>
      <c r="V215" s="38"/>
      <c r="W215" s="38"/>
      <c r="X215" s="40"/>
      <c r="Y215" s="6" t="str">
        <f ca="1">IFERROR(__xludf.DUMMYFUNCTION("""COMPUTED_VALUE"""),"Si")</f>
        <v>Si</v>
      </c>
      <c r="Z215" s="38" t="str">
        <f ca="1">IFERROR(__xludf.DUMMYFUNCTION("""COMPUTED_VALUE"""),"Acepto")</f>
        <v>Acepto</v>
      </c>
      <c r="AA215" s="38" t="str">
        <f ca="1">IFERROR(__xludf.DUMMYFUNCTION("""COMPUTED_VALUE"""),"Terminado")</f>
        <v>Terminado</v>
      </c>
      <c r="AB215" s="38">
        <f ca="1">IFERROR(__xludf.DUMMYFUNCTION("""COMPUTED_VALUE"""),42500)</f>
        <v>42500</v>
      </c>
      <c r="AC215" s="6">
        <f ca="1">IFERROR(__xludf.DUMMYFUNCTION("""COMPUTED_VALUE"""),205391)</f>
        <v>205391</v>
      </c>
      <c r="AD215" s="6" t="str">
        <f ca="1">IFERROR(__xludf.DUMMYFUNCTION("""COMPUTED_VALUE"""),"TRF 02-09")</f>
        <v>TRF 02-09</v>
      </c>
      <c r="AE215" s="6"/>
      <c r="AF215" s="6"/>
    </row>
    <row r="216" spans="1:32" ht="13.2">
      <c r="A216" s="35">
        <f ca="1">IFERROR(__xludf.DUMMYFUNCTION("""COMPUTED_VALUE"""),45538.4782519444)</f>
        <v>45538.478251944398</v>
      </c>
      <c r="B216" s="36" t="str">
        <f ca="1">IFERROR(__xludf.DUMMYFUNCTION("""COMPUTED_VALUE"""),"Romeo")</f>
        <v>Romeo</v>
      </c>
      <c r="C216" s="36" t="str">
        <f ca="1">IFERROR(__xludf.DUMMYFUNCTION("""COMPUTED_VALUE"""),"Nieva Orellana")</f>
        <v>Nieva Orellana</v>
      </c>
      <c r="D216" s="36" t="str">
        <f ca="1">IFERROR(__xludf.DUMMYFUNCTION("""COMPUTED_VALUE"""),"San Isidro")</f>
        <v>San Isidro</v>
      </c>
      <c r="E216" s="38" t="str">
        <f ca="1">IFERROR(__xludf.DUMMYFUNCTION("""COMPUTED_VALUE"""),"ARG")</f>
        <v>ARG</v>
      </c>
      <c r="F216" s="38">
        <f ca="1">IFERROR(__xludf.DUMMYFUNCTION("""COMPUTED_VALUE"""),53825401)</f>
        <v>53825401</v>
      </c>
      <c r="G216" s="37">
        <f ca="1">IFERROR(__xludf.DUMMYFUNCTION("""COMPUTED_VALUE"""),41687)</f>
        <v>41687</v>
      </c>
      <c r="H216" s="38" t="str">
        <f ca="1">IFERROR(__xludf.DUMMYFUNCTION("""COMPUTED_VALUE"""),"+54 9 11 3394-3846")</f>
        <v>+54 9 11 3394-3846</v>
      </c>
      <c r="I216" s="38"/>
      <c r="J216" s="38" t="str">
        <f ca="1">IFERROR(__xludf.DUMMYFUNCTION("""COMPUTED_VALUE"""),"ignacio.varisco@gmail.com")</f>
        <v>ignacio.varisco@gmail.com</v>
      </c>
      <c r="K216" s="38" t="str">
        <f ca="1">IFERROR(__xludf.DUMMYFUNCTION("""COMPUTED_VALUE"""),"Masculino")</f>
        <v>Masculino</v>
      </c>
      <c r="L216" s="38" t="str">
        <f ca="1">IFERROR(__xludf.DUMMYFUNCTION("""COMPUTED_VALUE"""),"CPNLB- CBRIO")</f>
        <v>CPNLB- CBRIO</v>
      </c>
      <c r="M216" s="38"/>
      <c r="N216" s="6" t="str">
        <f ca="1">IFERROR(__xludf.DUMMYFUNCTION("""COMPUTED_VALUE"""),"OPTIMIST PRINCIPIANTES")</f>
        <v>OPTIMIST PRINCIPIANTES</v>
      </c>
      <c r="O216" s="6"/>
      <c r="P216" s="6" t="str">
        <f ca="1">IFERROR(__xludf.DUMMYFUNCTION("""COMPUTED_VALUE"""),"USA 23061")</f>
        <v>USA 23061</v>
      </c>
      <c r="Q216" s="38" t="str">
        <f ca="1">IFERROR(__xludf.DUMMYFUNCTION("""COMPUTED_VALUE"""),"Freddie")</f>
        <v>Freddie</v>
      </c>
      <c r="R216" s="38"/>
      <c r="S216" s="38"/>
      <c r="T216" s="38"/>
      <c r="U216" s="38"/>
      <c r="V216" s="38"/>
      <c r="W216" s="38"/>
      <c r="X216" s="40"/>
      <c r="Y216" s="6" t="str">
        <f ca="1">IFERROR(__xludf.DUMMYFUNCTION("""COMPUTED_VALUE"""),"Si")</f>
        <v>Si</v>
      </c>
      <c r="Z216" s="38" t="str">
        <f ca="1">IFERROR(__xludf.DUMMYFUNCTION("""COMPUTED_VALUE"""),"Acepto")</f>
        <v>Acepto</v>
      </c>
      <c r="AA216" s="38" t="str">
        <f ca="1">IFERROR(__xludf.DUMMYFUNCTION("""COMPUTED_VALUE"""),"Pendiente")</f>
        <v>Pendiente</v>
      </c>
      <c r="AB216" s="38"/>
      <c r="AC216" s="6"/>
      <c r="AD216" s="6"/>
      <c r="AE216" s="6"/>
      <c r="AF216" s="6"/>
    </row>
    <row r="217" spans="1:32" ht="13.2">
      <c r="A217" s="35">
        <f ca="1">IFERROR(__xludf.DUMMYFUNCTION("""COMPUTED_VALUE"""),45535.5938040277)</f>
        <v>45535.593804027703</v>
      </c>
      <c r="B217" s="36" t="str">
        <f ca="1">IFERROR(__xludf.DUMMYFUNCTION("""COMPUTED_VALUE"""),"Santiago ")</f>
        <v xml:space="preserve">Santiago </v>
      </c>
      <c r="C217" s="36" t="str">
        <f ca="1">IFERROR(__xludf.DUMMYFUNCTION("""COMPUTED_VALUE"""),"Nieva Quinteros")</f>
        <v>Nieva Quinteros</v>
      </c>
      <c r="D217" s="36" t="str">
        <f ca="1">IFERROR(__xludf.DUMMYFUNCTION("""COMPUTED_VALUE"""),"Zarate")</f>
        <v>Zarate</v>
      </c>
      <c r="E217" s="38" t="str">
        <f ca="1">IFERROR(__xludf.DUMMYFUNCTION("""COMPUTED_VALUE"""),"ARG")</f>
        <v>ARG</v>
      </c>
      <c r="F217" s="38">
        <f ca="1">IFERROR(__xludf.DUMMYFUNCTION("""COMPUTED_VALUE"""),52099166)</f>
        <v>52099166</v>
      </c>
      <c r="G217" s="37">
        <f ca="1">IFERROR(__xludf.DUMMYFUNCTION("""COMPUTED_VALUE"""),40939)</f>
        <v>40939</v>
      </c>
      <c r="H217" s="38">
        <f ca="1">IFERROR(__xludf.DUMMYFUNCTION("""COMPUTED_VALUE"""),3515144974)</f>
        <v>3515144974</v>
      </c>
      <c r="I217" s="38">
        <f ca="1">IFERROR(__xludf.DUMMYFUNCTION("""COMPUTED_VALUE"""),3487538295)</f>
        <v>3487538295</v>
      </c>
      <c r="J217" s="38" t="str">
        <f ca="1">IFERROR(__xludf.DUMMYFUNCTION("""COMPUTED_VALUE"""),"Gustavonieva26@gmail.com")</f>
        <v>Gustavonieva26@gmail.com</v>
      </c>
      <c r="K217" s="38" t="str">
        <f ca="1">IFERROR(__xludf.DUMMYFUNCTION("""COMPUTED_VALUE"""),"Masculino")</f>
        <v>Masculino</v>
      </c>
      <c r="L217" s="38" t="str">
        <f ca="1">IFERROR(__xludf.DUMMYFUNCTION("""COMPUTED_VALUE"""),"CNZ")</f>
        <v>CNZ</v>
      </c>
      <c r="M217" s="38"/>
      <c r="N217" s="6" t="str">
        <f ca="1">IFERROR(__xludf.DUMMYFUNCTION("""COMPUTED_VALUE"""),"OPTIMIST TIMONELES")</f>
        <v>OPTIMIST TIMONELES</v>
      </c>
      <c r="O217" s="6"/>
      <c r="P217" s="6">
        <f ca="1">IFERROR(__xludf.DUMMYFUNCTION("""COMPUTED_VALUE"""),3951)</f>
        <v>3951</v>
      </c>
      <c r="Q217" s="38"/>
      <c r="R217" s="38"/>
      <c r="S217" s="38"/>
      <c r="T217" s="38"/>
      <c r="U217" s="38"/>
      <c r="V217" s="38"/>
      <c r="W217" s="38"/>
      <c r="X217" s="40" t="str">
        <f ca="1">IFERROR(__xludf.DUMMYFUNCTION("""COMPUTED_VALUE"""),"Swis Medical")</f>
        <v>Swis Medical</v>
      </c>
      <c r="Y217" s="6" t="str">
        <f ca="1">IFERROR(__xludf.DUMMYFUNCTION("""COMPUTED_VALUE"""),"Si")</f>
        <v>Si</v>
      </c>
      <c r="Z217" s="38" t="str">
        <f ca="1">IFERROR(__xludf.DUMMYFUNCTION("""COMPUTED_VALUE"""),"Acepto")</f>
        <v>Acepto</v>
      </c>
      <c r="AA217" s="38" t="str">
        <f ca="1">IFERROR(__xludf.DUMMYFUNCTION("""COMPUTED_VALUE"""),"Terminado")</f>
        <v>Terminado</v>
      </c>
      <c r="AB217" s="38">
        <f ca="1">IFERROR(__xludf.DUMMYFUNCTION("""COMPUTED_VALUE"""),50000)</f>
        <v>50000</v>
      </c>
      <c r="AC217" s="6">
        <f ca="1">IFERROR(__xludf.DUMMYFUNCTION("""COMPUTED_VALUE"""),205163)</f>
        <v>205163</v>
      </c>
      <c r="AD217" s="6" t="str">
        <f ca="1">IFERROR(__xludf.DUMMYFUNCTION("""COMPUTED_VALUE"""),"TRF 31-08")</f>
        <v>TRF 31-08</v>
      </c>
      <c r="AE217" s="6"/>
      <c r="AF217" s="6"/>
    </row>
    <row r="218" spans="1:32" ht="13.2">
      <c r="A218" s="35">
        <f ca="1">IFERROR(__xludf.DUMMYFUNCTION("""COMPUTED_VALUE"""),45516.4382283101)</f>
        <v>45516.4382283101</v>
      </c>
      <c r="B218" s="36" t="str">
        <f ca="1">IFERROR(__xludf.DUMMYFUNCTION("""COMPUTED_VALUE"""),"Gustavo ")</f>
        <v xml:space="preserve">Gustavo </v>
      </c>
      <c r="C218" s="36" t="str">
        <f ca="1">IFERROR(__xludf.DUMMYFUNCTION("""COMPUTED_VALUE"""),"Novella ")</f>
        <v xml:space="preserve">Novella </v>
      </c>
      <c r="D218" s="36" t="str">
        <f ca="1">IFERROR(__xludf.DUMMYFUNCTION("""COMPUTED_VALUE"""),"Chascomus ")</f>
        <v xml:space="preserve">Chascomus </v>
      </c>
      <c r="E218" s="38" t="str">
        <f ca="1">IFERROR(__xludf.DUMMYFUNCTION("""COMPUTED_VALUE"""),"ARG")</f>
        <v>ARG</v>
      </c>
      <c r="F218" s="38">
        <f ca="1">IFERROR(__xludf.DUMMYFUNCTION("""COMPUTED_VALUE"""),23920796)</f>
        <v>23920796</v>
      </c>
      <c r="G218" s="37">
        <f ca="1">IFERROR(__xludf.DUMMYFUNCTION("""COMPUTED_VALUE"""),27319)</f>
        <v>27319</v>
      </c>
      <c r="H218" s="38">
        <f ca="1">IFERROR(__xludf.DUMMYFUNCTION("""COMPUTED_VALUE"""),1149928591)</f>
        <v>1149928591</v>
      </c>
      <c r="I218" s="38">
        <f ca="1">IFERROR(__xludf.DUMMYFUNCTION("""COMPUTED_VALUE"""),2241685797)</f>
        <v>2241685797</v>
      </c>
      <c r="J218" s="38" t="str">
        <f ca="1">IFERROR(__xludf.DUMMYFUNCTION("""COMPUTED_VALUE"""),"novellacampos74@gmail.com")</f>
        <v>novellacampos74@gmail.com</v>
      </c>
      <c r="K218" s="38" t="str">
        <f ca="1">IFERROR(__xludf.DUMMYFUNCTION("""COMPUTED_VALUE"""),"Masculino")</f>
        <v>Masculino</v>
      </c>
      <c r="L218" s="38" t="str">
        <f ca="1">IFERROR(__xludf.DUMMYFUNCTION("""COMPUTED_VALUE"""),"CRCH ")</f>
        <v xml:space="preserve">CRCH </v>
      </c>
      <c r="M218" s="38"/>
      <c r="N218" s="6" t="str">
        <f ca="1">IFERROR(__xludf.DUMMYFUNCTION("""COMPUTED_VALUE"""),"PAMPERO")</f>
        <v>PAMPERO</v>
      </c>
      <c r="O218" s="6" t="str">
        <f ca="1">IFERROR(__xludf.DUMMYFUNCTION("""COMPUTED_VALUE"""),"-")</f>
        <v>-</v>
      </c>
      <c r="P218" s="6">
        <f ca="1">IFERROR(__xludf.DUMMYFUNCTION("""COMPUTED_VALUE"""),762)</f>
        <v>762</v>
      </c>
      <c r="Q218" s="38" t="str">
        <f ca="1">IFERROR(__xludf.DUMMYFUNCTION("""COMPUTED_VALUE"""),"Dory")</f>
        <v>Dory</v>
      </c>
      <c r="R218" s="38" t="str">
        <f ca="1">IFERROR(__xludf.DUMMYFUNCTION("""COMPUTED_VALUE"""),"Mateo Sanchez Viamonte ")</f>
        <v xml:space="preserve">Mateo Sanchez Viamonte </v>
      </c>
      <c r="S218" s="38"/>
      <c r="T218" s="38"/>
      <c r="U218" s="38"/>
      <c r="V218" s="38"/>
      <c r="W218" s="38"/>
      <c r="X218" s="40" t="str">
        <f ca="1">IFERROR(__xludf.DUMMYFUNCTION("""COMPUTED_VALUE"""),"Osde")</f>
        <v>Osde</v>
      </c>
      <c r="Y218" s="6" t="str">
        <f ca="1">IFERROR(__xludf.DUMMYFUNCTION("""COMPUTED_VALUE"""),"Si")</f>
        <v>Si</v>
      </c>
      <c r="Z218" s="38" t="str">
        <f ca="1">IFERROR(__xludf.DUMMYFUNCTION("""COMPUTED_VALUE"""),"Acepto")</f>
        <v>Acepto</v>
      </c>
      <c r="AA218" s="38" t="str">
        <f ca="1">IFERROR(__xludf.DUMMYFUNCTION("""COMPUTED_VALUE"""),"Terminado")</f>
        <v>Terminado</v>
      </c>
      <c r="AB218" s="38">
        <f ca="1">IFERROR(__xludf.DUMMYFUNCTION("""COMPUTED_VALUE"""),60000)</f>
        <v>60000</v>
      </c>
      <c r="AC218" s="6">
        <f ca="1">IFERROR(__xludf.DUMMYFUNCTION("""COMPUTED_VALUE"""),205023)</f>
        <v>205023</v>
      </c>
      <c r="AD218" s="6" t="str">
        <f ca="1">IFERROR(__xludf.DUMMYFUNCTION("""COMPUTED_VALUE"""),"TRF 21-08")</f>
        <v>TRF 21-08</v>
      </c>
      <c r="AE218" s="6"/>
      <c r="AF218" s="6" t="str">
        <f ca="1">IFERROR(__xludf.DUMMYFUNCTION("""COMPUTED_VALUE"""),"Si")</f>
        <v>Si</v>
      </c>
    </row>
    <row r="219" spans="1:32" ht="13.2">
      <c r="A219" s="35">
        <f ca="1">IFERROR(__xludf.DUMMYFUNCTION("""COMPUTED_VALUE"""),45535.877351331)</f>
        <v>45535.877351331001</v>
      </c>
      <c r="B219" s="36" t="str">
        <f ca="1">IFERROR(__xludf.DUMMYFUNCTION("""COMPUTED_VALUE"""),"Ignacio")</f>
        <v>Ignacio</v>
      </c>
      <c r="C219" s="36" t="str">
        <f ca="1">IFERROR(__xludf.DUMMYFUNCTION("""COMPUTED_VALUE"""),"Ojeda Lois")</f>
        <v>Ojeda Lois</v>
      </c>
      <c r="D219" s="36" t="str">
        <f ca="1">IFERROR(__xludf.DUMMYFUNCTION("""COMPUTED_VALUE"""),"Ciudad Autonoma de Buenos Aires")</f>
        <v>Ciudad Autonoma de Buenos Aires</v>
      </c>
      <c r="E219" s="38" t="str">
        <f ca="1">IFERROR(__xludf.DUMMYFUNCTION("""COMPUTED_VALUE"""),"ARG")</f>
        <v>ARG</v>
      </c>
      <c r="F219" s="38">
        <f ca="1">IFERROR(__xludf.DUMMYFUNCTION("""COMPUTED_VALUE"""),52697921)</f>
        <v>52697921</v>
      </c>
      <c r="G219" s="37">
        <f ca="1">IFERROR(__xludf.DUMMYFUNCTION("""COMPUTED_VALUE"""),41152)</f>
        <v>41152</v>
      </c>
      <c r="H219" s="38">
        <f ca="1">IFERROR(__xludf.DUMMYFUNCTION("""COMPUTED_VALUE"""),1156244452)</f>
        <v>1156244452</v>
      </c>
      <c r="I219" s="38">
        <f ca="1">IFERROR(__xludf.DUMMYFUNCTION("""COMPUTED_VALUE"""),1156244452)</f>
        <v>1156244452</v>
      </c>
      <c r="J219" s="38" t="str">
        <f ca="1">IFERROR(__xludf.DUMMYFUNCTION("""COMPUTED_VALUE"""),"ojeda.diego@gmail.com")</f>
        <v>ojeda.diego@gmail.com</v>
      </c>
      <c r="K219" s="38" t="str">
        <f ca="1">IFERROR(__xludf.DUMMYFUNCTION("""COMPUTED_VALUE"""),"Masculino")</f>
        <v>Masculino</v>
      </c>
      <c r="L219" s="38" t="str">
        <f ca="1">IFERROR(__xludf.DUMMYFUNCTION("""COMPUTED_VALUE"""),"YCCN")</f>
        <v>YCCN</v>
      </c>
      <c r="M219" s="38" t="str">
        <f ca="1">IFERROR(__xludf.DUMMYFUNCTION("""COMPUTED_VALUE"""),"Interior (Optimist)")</f>
        <v>Interior (Optimist)</v>
      </c>
      <c r="N219" s="6" t="str">
        <f ca="1">IFERROR(__xludf.DUMMYFUNCTION("""COMPUTED_VALUE"""),"OPTIMIST PRINCIPIANTES")</f>
        <v>OPTIMIST PRINCIPIANTES</v>
      </c>
      <c r="O219" s="6"/>
      <c r="P219" s="6">
        <f ca="1">IFERROR(__xludf.DUMMYFUNCTION("""COMPUTED_VALUE"""),4076)</f>
        <v>4076</v>
      </c>
      <c r="Q219" s="38" t="str">
        <f ca="1">IFERROR(__xludf.DUMMYFUNCTION("""COMPUTED_VALUE"""),"Camorrerito")</f>
        <v>Camorrerito</v>
      </c>
      <c r="R219" s="38"/>
      <c r="S219" s="38"/>
      <c r="T219" s="38"/>
      <c r="U219" s="38"/>
      <c r="V219" s="38"/>
      <c r="W219" s="38"/>
      <c r="X219" s="40" t="str">
        <f ca="1">IFERROR(__xludf.DUMMYFUNCTION("""COMPUTED_VALUE"""),"OSDE410 60907365503")</f>
        <v>OSDE410 60907365503</v>
      </c>
      <c r="Y219" s="6" t="str">
        <f ca="1">IFERROR(__xludf.DUMMYFUNCTION("""COMPUTED_VALUE"""),"No")</f>
        <v>No</v>
      </c>
      <c r="Z219" s="38" t="str">
        <f ca="1">IFERROR(__xludf.DUMMYFUNCTION("""COMPUTED_VALUE"""),"Acepto")</f>
        <v>Acepto</v>
      </c>
      <c r="AA219" s="38" t="str">
        <f ca="1">IFERROR(__xludf.DUMMYFUNCTION("""COMPUTED_VALUE"""),"Terminado")</f>
        <v>Terminado</v>
      </c>
      <c r="AB219" s="38">
        <f ca="1">IFERROR(__xludf.DUMMYFUNCTION("""COMPUTED_VALUE"""),60000)</f>
        <v>60000</v>
      </c>
      <c r="AC219" s="6">
        <f ca="1">IFERROR(__xludf.DUMMYFUNCTION("""COMPUTED_VALUE"""),205343)</f>
        <v>205343</v>
      </c>
      <c r="AD219" s="6" t="str">
        <f ca="1">IFERROR(__xludf.DUMMYFUNCTION("""COMPUTED_VALUE"""),"TRF 31-08")</f>
        <v>TRF 31-08</v>
      </c>
      <c r="AE219" s="6"/>
      <c r="AF219" s="6"/>
    </row>
    <row r="220" spans="1:32" ht="13.2">
      <c r="A220" s="35">
        <f ca="1">IFERROR(__xludf.DUMMYFUNCTION("""COMPUTED_VALUE"""),45534.932602905)</f>
        <v>45534.932602904999</v>
      </c>
      <c r="B220" s="36" t="str">
        <f ca="1">IFERROR(__xludf.DUMMYFUNCTION("""COMPUTED_VALUE"""),"Carola")</f>
        <v>Carola</v>
      </c>
      <c r="C220" s="36" t="str">
        <f ca="1">IFERROR(__xludf.DUMMYFUNCTION("""COMPUTED_VALUE"""),"Orella")</f>
        <v>Orella</v>
      </c>
      <c r="D220" s="36" t="str">
        <f ca="1">IFERROR(__xludf.DUMMYFUNCTION("""COMPUTED_VALUE"""),"San Isidro")</f>
        <v>San Isidro</v>
      </c>
      <c r="E220" s="38" t="str">
        <f ca="1">IFERROR(__xludf.DUMMYFUNCTION("""COMPUTED_VALUE"""),"ARG")</f>
        <v>ARG</v>
      </c>
      <c r="F220" s="38">
        <f ca="1">IFERROR(__xludf.DUMMYFUNCTION("""COMPUTED_VALUE"""),50103590)</f>
        <v>50103590</v>
      </c>
      <c r="G220" s="37">
        <f ca="1">IFERROR(__xludf.DUMMYFUNCTION("""COMPUTED_VALUE"""),40247)</f>
        <v>40247</v>
      </c>
      <c r="H220" s="38">
        <f ca="1">IFERROR(__xludf.DUMMYFUNCTION("""COMPUTED_VALUE"""),1140285075)</f>
        <v>1140285075</v>
      </c>
      <c r="I220" s="38">
        <f ca="1">IFERROR(__xludf.DUMMYFUNCTION("""COMPUTED_VALUE"""),1140793918)</f>
        <v>1140793918</v>
      </c>
      <c r="J220" s="38" t="str">
        <f ca="1">IFERROR(__xludf.DUMMYFUNCTION("""COMPUTED_VALUE"""),"morellamail@gmail.com")</f>
        <v>morellamail@gmail.com</v>
      </c>
      <c r="K220" s="38" t="str">
        <f ca="1">IFERROR(__xludf.DUMMYFUNCTION("""COMPUTED_VALUE"""),"Femenino")</f>
        <v>Femenino</v>
      </c>
      <c r="L220" s="38" t="str">
        <f ca="1">IFERROR(__xludf.DUMMYFUNCTION("""COMPUTED_VALUE"""),"CNSI")</f>
        <v>CNSI</v>
      </c>
      <c r="M220" s="38" t="str">
        <f ca="1">IFERROR(__xludf.DUMMYFUNCTION("""COMPUTED_VALUE"""),"Femenino")</f>
        <v>Femenino</v>
      </c>
      <c r="N220" s="6" t="str">
        <f ca="1">IFERROR(__xludf.DUMMYFUNCTION("""COMPUTED_VALUE"""),"OPTIMIST TIMONELES")</f>
        <v>OPTIMIST TIMONELES</v>
      </c>
      <c r="O220" s="6"/>
      <c r="P220" s="6">
        <f ca="1">IFERROR(__xludf.DUMMYFUNCTION("""COMPUTED_VALUE"""),3846)</f>
        <v>3846</v>
      </c>
      <c r="Q220" s="38"/>
      <c r="R220" s="38"/>
      <c r="S220" s="38"/>
      <c r="T220" s="38"/>
      <c r="U220" s="38"/>
      <c r="V220" s="38"/>
      <c r="W220" s="38"/>
      <c r="X220" s="40" t="str">
        <f ca="1">IFERROR(__xludf.DUMMYFUNCTION("""COMPUTED_VALUE"""),"OSDE 60-5956579-05")</f>
        <v>OSDE 60-5956579-05</v>
      </c>
      <c r="Y220" s="6" t="str">
        <f ca="1">IFERROR(__xludf.DUMMYFUNCTION("""COMPUTED_VALUE"""),"No")</f>
        <v>No</v>
      </c>
      <c r="Z220" s="38" t="str">
        <f ca="1">IFERROR(__xludf.DUMMYFUNCTION("""COMPUTED_VALUE"""),"Acepto")</f>
        <v>Acepto</v>
      </c>
      <c r="AA220" s="38" t="str">
        <f ca="1">IFERROR(__xludf.DUMMYFUNCTION("""COMPUTED_VALUE"""),"Terminado")</f>
        <v>Terminado</v>
      </c>
      <c r="AB220" s="38">
        <f ca="1">IFERROR(__xludf.DUMMYFUNCTION("""COMPUTED_VALUE"""),50000)</f>
        <v>50000</v>
      </c>
      <c r="AC220" s="6">
        <f ca="1">IFERROR(__xludf.DUMMYFUNCTION("""COMPUTED_VALUE"""),205118)</f>
        <v>205118</v>
      </c>
      <c r="AD220" s="6" t="str">
        <f ca="1">IFERROR(__xludf.DUMMYFUNCTION("""COMPUTED_VALUE"""),"Tarj.31-08")</f>
        <v>Tarj.31-08</v>
      </c>
      <c r="AE220" s="6"/>
      <c r="AF220" s="6"/>
    </row>
    <row r="221" spans="1:32" ht="13.2">
      <c r="A221" s="35">
        <f ca="1">IFERROR(__xludf.DUMMYFUNCTION("""COMPUTED_VALUE"""),45534.9511546064)</f>
        <v>45534.951154606402</v>
      </c>
      <c r="B221" s="36" t="str">
        <f ca="1">IFERROR(__xludf.DUMMYFUNCTION("""COMPUTED_VALUE"""),"Sofia")</f>
        <v>Sofia</v>
      </c>
      <c r="C221" s="36" t="str">
        <f ca="1">IFERROR(__xludf.DUMMYFUNCTION("""COMPUTED_VALUE"""),"Orella")</f>
        <v>Orella</v>
      </c>
      <c r="D221" s="36" t="str">
        <f ca="1">IFERROR(__xludf.DUMMYFUNCTION("""COMPUTED_VALUE"""),"Buenos Aires")</f>
        <v>Buenos Aires</v>
      </c>
      <c r="E221" s="38" t="str">
        <f ca="1">IFERROR(__xludf.DUMMYFUNCTION("""COMPUTED_VALUE"""),"ARG")</f>
        <v>ARG</v>
      </c>
      <c r="F221" s="38">
        <f ca="1">IFERROR(__xludf.DUMMYFUNCTION("""COMPUTED_VALUE"""),48801008)</f>
        <v>48801008</v>
      </c>
      <c r="G221" s="37">
        <f ca="1">IFERROR(__xludf.DUMMYFUNCTION("""COMPUTED_VALUE"""),39617)</f>
        <v>39617</v>
      </c>
      <c r="H221" s="38" t="str">
        <f ca="1">IFERROR(__xludf.DUMMYFUNCTION("""COMPUTED_VALUE"""),"+54 9 11 6929-9731")</f>
        <v>+54 9 11 6929-9731</v>
      </c>
      <c r="I221" s="38" t="str">
        <f ca="1">IFERROR(__xludf.DUMMYFUNCTION("""COMPUTED_VALUE"""),"+54 9 11 4028-5075")</f>
        <v>+54 9 11 4028-5075</v>
      </c>
      <c r="J221" s="38" t="str">
        <f ca="1">IFERROR(__xludf.DUMMYFUNCTION("""COMPUTED_VALUE"""),"morellamail@gmail.com")</f>
        <v>morellamail@gmail.com</v>
      </c>
      <c r="K221" s="38" t="str">
        <f ca="1">IFERROR(__xludf.DUMMYFUNCTION("""COMPUTED_VALUE"""),"Femenino")</f>
        <v>Femenino</v>
      </c>
      <c r="L221" s="38" t="str">
        <f ca="1">IFERROR(__xludf.DUMMYFUNCTION("""COMPUTED_VALUE"""),"CNSI")</f>
        <v>CNSI</v>
      </c>
      <c r="M221" s="38" t="str">
        <f ca="1">IFERROR(__xludf.DUMMYFUNCTION("""COMPUTED_VALUE"""),"Femenino")</f>
        <v>Femenino</v>
      </c>
      <c r="N221" s="6">
        <f ca="1">IFERROR(__xludf.DUMMYFUNCTION("""COMPUTED_VALUE"""),420)</f>
        <v>420</v>
      </c>
      <c r="O221" s="6">
        <f ca="1">IFERROR(__xludf.DUMMYFUNCTION("""COMPUTED_VALUE"""),29)</f>
        <v>29</v>
      </c>
      <c r="P221" s="6">
        <f ca="1">IFERROR(__xludf.DUMMYFUNCTION("""COMPUTED_VALUE"""),50794)</f>
        <v>50794</v>
      </c>
      <c r="Q221" s="38" t="str">
        <f ca="1">IFERROR(__xludf.DUMMYFUNCTION("""COMPUTED_VALUE"""),"N/A")</f>
        <v>N/A</v>
      </c>
      <c r="R221" s="38" t="str">
        <f ca="1">IFERROR(__xludf.DUMMYFUNCTION("""COMPUTED_VALUE"""),"Trinidad Tommasi")</f>
        <v>Trinidad Tommasi</v>
      </c>
      <c r="S221" s="38"/>
      <c r="T221" s="38"/>
      <c r="U221" s="38"/>
      <c r="V221" s="38"/>
      <c r="W221" s="38"/>
      <c r="X221" s="40" t="str">
        <f ca="1">IFERROR(__xludf.DUMMYFUNCTION("""COMPUTED_VALUE"""),"OSDE 310 60595657904")</f>
        <v>OSDE 310 60595657904</v>
      </c>
      <c r="Y221" s="6" t="str">
        <f ca="1">IFERROR(__xludf.DUMMYFUNCTION("""COMPUTED_VALUE"""),"No")</f>
        <v>No</v>
      </c>
      <c r="Z221" s="38" t="str">
        <f ca="1">IFERROR(__xludf.DUMMYFUNCTION("""COMPUTED_VALUE"""),"Acepto")</f>
        <v>Acepto</v>
      </c>
      <c r="AA221" s="38" t="str">
        <f ca="1">IFERROR(__xludf.DUMMYFUNCTION("""COMPUTED_VALUE"""),"Terminado")</f>
        <v>Terminado</v>
      </c>
      <c r="AB221" s="38">
        <f ca="1">IFERROR(__xludf.DUMMYFUNCTION("""COMPUTED_VALUE"""),65000)</f>
        <v>65000</v>
      </c>
      <c r="AC221" s="6">
        <f ca="1">IFERROR(__xludf.DUMMYFUNCTION("""COMPUTED_VALUE"""),205118)</f>
        <v>205118</v>
      </c>
      <c r="AD221" s="6" t="str">
        <f ca="1">IFERROR(__xludf.DUMMYFUNCTION("""COMPUTED_VALUE"""),"Tarj.31-08")</f>
        <v>Tarj.31-08</v>
      </c>
      <c r="AE221" s="6"/>
      <c r="AF221" s="6"/>
    </row>
    <row r="222" spans="1:32" ht="13.2">
      <c r="A222" s="35">
        <f ca="1">IFERROR(__xludf.DUMMYFUNCTION("""COMPUTED_VALUE"""),45535.8808977546)</f>
        <v>45535.8808977546</v>
      </c>
      <c r="B222" s="36" t="str">
        <f ca="1">IFERROR(__xludf.DUMMYFUNCTION("""COMPUTED_VALUE"""),"Guido ")</f>
        <v xml:space="preserve">Guido </v>
      </c>
      <c r="C222" s="36" t="str">
        <f ca="1">IFERROR(__xludf.DUMMYFUNCTION("""COMPUTED_VALUE"""),"Pachiani ")</f>
        <v xml:space="preserve">Pachiani </v>
      </c>
      <c r="D222" s="36" t="str">
        <f ca="1">IFERROR(__xludf.DUMMYFUNCTION("""COMPUTED_VALUE"""),"Beccar")</f>
        <v>Beccar</v>
      </c>
      <c r="E222" s="38" t="str">
        <f ca="1">IFERROR(__xludf.DUMMYFUNCTION("""COMPUTED_VALUE"""),"ARG")</f>
        <v>ARG</v>
      </c>
      <c r="F222" s="38">
        <f ca="1">IFERROR(__xludf.DUMMYFUNCTION("""COMPUTED_VALUE"""),50305023)</f>
        <v>50305023</v>
      </c>
      <c r="G222" s="37">
        <f ca="1">IFERROR(__xludf.DUMMYFUNCTION("""COMPUTED_VALUE"""),40295)</f>
        <v>40295</v>
      </c>
      <c r="H222" s="38">
        <f ca="1">IFERROR(__xludf.DUMMYFUNCTION("""COMPUTED_VALUE"""),1158242389)</f>
        <v>1158242389</v>
      </c>
      <c r="I222" s="38">
        <f ca="1">IFERROR(__xludf.DUMMYFUNCTION("""COMPUTED_VALUE"""),40760868)</f>
        <v>40760868</v>
      </c>
      <c r="J222" s="38" t="str">
        <f ca="1">IFERROR(__xludf.DUMMYFUNCTION("""COMPUTED_VALUE"""),"mpachiani@gmail.com")</f>
        <v>mpachiani@gmail.com</v>
      </c>
      <c r="K222" s="38" t="str">
        <f ca="1">IFERROR(__xludf.DUMMYFUNCTION("""COMPUTED_VALUE"""),"Masculino")</f>
        <v>Masculino</v>
      </c>
      <c r="L222" s="38" t="str">
        <f ca="1">IFERROR(__xludf.DUMMYFUNCTION("""COMPUTED_VALUE"""),"CNGSM")</f>
        <v>CNGSM</v>
      </c>
      <c r="M222" s="38"/>
      <c r="N222" s="6" t="str">
        <f ca="1">IFERROR(__xludf.DUMMYFUNCTION("""COMPUTED_VALUE"""),"OPTIMIST TIMONELES")</f>
        <v>OPTIMIST TIMONELES</v>
      </c>
      <c r="O222" s="6"/>
      <c r="P222" s="6" t="str">
        <f ca="1">IFERROR(__xludf.DUMMYFUNCTION("""COMPUTED_VALUE"""),"ARG 3835 ")</f>
        <v xml:space="preserve">ARG 3835 </v>
      </c>
      <c r="Q222" s="38" t="str">
        <f ca="1">IFERROR(__xludf.DUMMYFUNCTION("""COMPUTED_VALUE"""),"Manopla turbo")</f>
        <v>Manopla turbo</v>
      </c>
      <c r="R222" s="38"/>
      <c r="S222" s="38"/>
      <c r="T222" s="38"/>
      <c r="U222" s="38"/>
      <c r="V222" s="38"/>
      <c r="W222" s="38"/>
      <c r="X222" s="40" t="str">
        <f ca="1">IFERROR(__xludf.DUMMYFUNCTION("""COMPUTED_VALUE"""),"Hospital Italiano 460630")</f>
        <v>Hospital Italiano 460630</v>
      </c>
      <c r="Y222" s="6" t="str">
        <f ca="1">IFERROR(__xludf.DUMMYFUNCTION("""COMPUTED_VALUE"""),"Si")</f>
        <v>Si</v>
      </c>
      <c r="Z222" s="38" t="str">
        <f ca="1">IFERROR(__xludf.DUMMYFUNCTION("""COMPUTED_VALUE"""),"Acepto")</f>
        <v>Acepto</v>
      </c>
      <c r="AA222" s="38" t="str">
        <f ca="1">IFERROR(__xludf.DUMMYFUNCTION("""COMPUTED_VALUE"""),"Terminado")</f>
        <v>Terminado</v>
      </c>
      <c r="AB222" s="38">
        <f ca="1">IFERROR(__xludf.DUMMYFUNCTION("""COMPUTED_VALUE"""),50000)</f>
        <v>50000</v>
      </c>
      <c r="AC222" s="6">
        <f ca="1">IFERROR(__xludf.DUMMYFUNCTION("""COMPUTED_VALUE"""),205472)</f>
        <v>205472</v>
      </c>
      <c r="AD222" s="6" t="str">
        <f ca="1">IFERROR(__xludf.DUMMYFUNCTION("""COMPUTED_VALUE"""),"TRF 04-09")</f>
        <v>TRF 04-09</v>
      </c>
      <c r="AE222" s="6"/>
      <c r="AF222" s="6"/>
    </row>
    <row r="223" spans="1:32" ht="13.2">
      <c r="A223" s="35">
        <f ca="1">IFERROR(__xludf.DUMMYFUNCTION("""COMPUTED_VALUE"""),45534.8977501504)</f>
        <v>45534.897750150398</v>
      </c>
      <c r="B223" s="36" t="str">
        <f ca="1">IFERROR(__xludf.DUMMYFUNCTION("""COMPUTED_VALUE"""),"Nacho")</f>
        <v>Nacho</v>
      </c>
      <c r="C223" s="36" t="str">
        <f ca="1">IFERROR(__xludf.DUMMYFUNCTION("""COMPUTED_VALUE"""),"Padilla")</f>
        <v>Padilla</v>
      </c>
      <c r="D223" s="36" t="str">
        <f ca="1">IFERROR(__xludf.DUMMYFUNCTION("""COMPUTED_VALUE"""),"San Isidro")</f>
        <v>San Isidro</v>
      </c>
      <c r="E223" s="38" t="str">
        <f ca="1">IFERROR(__xludf.DUMMYFUNCTION("""COMPUTED_VALUE"""),"ARG")</f>
        <v>ARG</v>
      </c>
      <c r="F223" s="38">
        <f ca="1">IFERROR(__xludf.DUMMYFUNCTION("""COMPUTED_VALUE"""),50158944)</f>
        <v>50158944</v>
      </c>
      <c r="G223" s="37">
        <f ca="1">IFERROR(__xludf.DUMMYFUNCTION("""COMPUTED_VALUE"""),40278)</f>
        <v>40278</v>
      </c>
      <c r="H223" s="38">
        <f ca="1">IFERROR(__xludf.DUMMYFUNCTION("""COMPUTED_VALUE"""),1162446486)</f>
        <v>1162446486</v>
      </c>
      <c r="I223" s="38">
        <f ca="1">IFERROR(__xludf.DUMMYFUNCTION("""COMPUTED_VALUE"""),1130070219)</f>
        <v>1130070219</v>
      </c>
      <c r="J223" s="38" t="str">
        <f ca="1">IFERROR(__xludf.DUMMYFUNCTION("""COMPUTED_VALUE"""),"javierignaciopadilla@gmail.com")</f>
        <v>javierignaciopadilla@gmail.com</v>
      </c>
      <c r="K223" s="38" t="str">
        <f ca="1">IFERROR(__xludf.DUMMYFUNCTION("""COMPUTED_VALUE"""),"Masculino")</f>
        <v>Masculino</v>
      </c>
      <c r="L223" s="38" t="str">
        <f ca="1">IFERROR(__xludf.DUMMYFUNCTION("""COMPUTED_VALUE"""),"CNSI")</f>
        <v>CNSI</v>
      </c>
      <c r="M223" s="38"/>
      <c r="N223" s="6" t="str">
        <f ca="1">IFERROR(__xludf.DUMMYFUNCTION("""COMPUTED_VALUE"""),"OPTIMIST TIMONELES")</f>
        <v>OPTIMIST TIMONELES</v>
      </c>
      <c r="O223" s="6"/>
      <c r="P223" s="6">
        <f ca="1">IFERROR(__xludf.DUMMYFUNCTION("""COMPUTED_VALUE"""),4111)</f>
        <v>4111</v>
      </c>
      <c r="Q223" s="38"/>
      <c r="R223" s="38"/>
      <c r="S223" s="38"/>
      <c r="T223" s="38"/>
      <c r="U223" s="38"/>
      <c r="V223" s="38"/>
      <c r="W223" s="38"/>
      <c r="X223" s="40">
        <f ca="1">IFERROR(__xludf.DUMMYFUNCTION("""COMPUTED_VALUE"""),61728138503)</f>
        <v>61728138503</v>
      </c>
      <c r="Y223" s="6" t="str">
        <f ca="1">IFERROR(__xludf.DUMMYFUNCTION("""COMPUTED_VALUE"""),"No")</f>
        <v>No</v>
      </c>
      <c r="Z223" s="38" t="str">
        <f ca="1">IFERROR(__xludf.DUMMYFUNCTION("""COMPUTED_VALUE"""),"Acepto")</f>
        <v>Acepto</v>
      </c>
      <c r="AA223" s="38" t="str">
        <f ca="1">IFERROR(__xludf.DUMMYFUNCTION("""COMPUTED_VALUE"""),"Terminado")</f>
        <v>Terminado</v>
      </c>
      <c r="AB223" s="38">
        <f ca="1">IFERROR(__xludf.DUMMYFUNCTION("""COMPUTED_VALUE"""),50000)</f>
        <v>50000</v>
      </c>
      <c r="AC223" s="6">
        <f ca="1">IFERROR(__xludf.DUMMYFUNCTION("""COMPUTED_VALUE"""),205135)</f>
        <v>205135</v>
      </c>
      <c r="AD223" s="6" t="str">
        <f ca="1">IFERROR(__xludf.DUMMYFUNCTION("""COMPUTED_VALUE"""),"TRF 30-08")</f>
        <v>TRF 30-08</v>
      </c>
      <c r="AE223" s="6"/>
      <c r="AF223" s="6"/>
    </row>
    <row r="224" spans="1:32" ht="13.2">
      <c r="A224" s="35">
        <f ca="1">IFERROR(__xludf.DUMMYFUNCTION("""COMPUTED_VALUE"""),45534.8990794444)</f>
        <v>45534.899079444403</v>
      </c>
      <c r="B224" s="36" t="str">
        <f ca="1">IFERROR(__xludf.DUMMYFUNCTION("""COMPUTED_VALUE"""),"Ramiro")</f>
        <v>Ramiro</v>
      </c>
      <c r="C224" s="36" t="str">
        <f ca="1">IFERROR(__xludf.DUMMYFUNCTION("""COMPUTED_VALUE"""),"Padilla")</f>
        <v>Padilla</v>
      </c>
      <c r="D224" s="36" t="str">
        <f ca="1">IFERROR(__xludf.DUMMYFUNCTION("""COMPUTED_VALUE"""),"San Isidro")</f>
        <v>San Isidro</v>
      </c>
      <c r="E224" s="38" t="str">
        <f ca="1">IFERROR(__xludf.DUMMYFUNCTION("""COMPUTED_VALUE"""),"ARG")</f>
        <v>ARG</v>
      </c>
      <c r="F224" s="38">
        <f ca="1">IFERROR(__xludf.DUMMYFUNCTION("""COMPUTED_VALUE"""),53593300)</f>
        <v>53593300</v>
      </c>
      <c r="G224" s="37">
        <f ca="1">IFERROR(__xludf.DUMMYFUNCTION("""COMPUTED_VALUE"""),41612)</f>
        <v>41612</v>
      </c>
      <c r="H224" s="38">
        <f ca="1">IFERROR(__xludf.DUMMYFUNCTION("""COMPUTED_VALUE"""),1162446486)</f>
        <v>1162446486</v>
      </c>
      <c r="I224" s="38">
        <f ca="1">IFERROR(__xludf.DUMMYFUNCTION("""COMPUTED_VALUE"""),1130070219)</f>
        <v>1130070219</v>
      </c>
      <c r="J224" s="38" t="str">
        <f ca="1">IFERROR(__xludf.DUMMYFUNCTION("""COMPUTED_VALUE"""),"javierignaciopadilla@gmail.com")</f>
        <v>javierignaciopadilla@gmail.com</v>
      </c>
      <c r="K224" s="38" t="str">
        <f ca="1">IFERROR(__xludf.DUMMYFUNCTION("""COMPUTED_VALUE"""),"Masculino")</f>
        <v>Masculino</v>
      </c>
      <c r="L224" s="38" t="str">
        <f ca="1">IFERROR(__xludf.DUMMYFUNCTION("""COMPUTED_VALUE"""),"CNSI")</f>
        <v>CNSI</v>
      </c>
      <c r="M224" s="38"/>
      <c r="N224" s="6" t="str">
        <f ca="1">IFERROR(__xludf.DUMMYFUNCTION("""COMPUTED_VALUE"""),"OPTIMIST PRINCIPIANTES")</f>
        <v>OPTIMIST PRINCIPIANTES</v>
      </c>
      <c r="O224" s="6"/>
      <c r="P224" s="6">
        <f ca="1">IFERROR(__xludf.DUMMYFUNCTION("""COMPUTED_VALUE"""),3579)</f>
        <v>3579</v>
      </c>
      <c r="Q224" s="38" t="str">
        <f ca="1">IFERROR(__xludf.DUMMYFUNCTION("""COMPUTED_VALUE"""),"AQUA")</f>
        <v>AQUA</v>
      </c>
      <c r="R224" s="38"/>
      <c r="S224" s="38"/>
      <c r="T224" s="38"/>
      <c r="U224" s="38"/>
      <c r="V224" s="38"/>
      <c r="W224" s="38"/>
      <c r="X224" s="40">
        <f ca="1">IFERROR(__xludf.DUMMYFUNCTION("""COMPUTED_VALUE"""),61728138504)</f>
        <v>61728138504</v>
      </c>
      <c r="Y224" s="6" t="str">
        <f ca="1">IFERROR(__xludf.DUMMYFUNCTION("""COMPUTED_VALUE"""),"No")</f>
        <v>No</v>
      </c>
      <c r="Z224" s="38" t="str">
        <f ca="1">IFERROR(__xludf.DUMMYFUNCTION("""COMPUTED_VALUE"""),"Acepto")</f>
        <v>Acepto</v>
      </c>
      <c r="AA224" s="38" t="str">
        <f ca="1">IFERROR(__xludf.DUMMYFUNCTION("""COMPUTED_VALUE"""),"Terminado")</f>
        <v>Terminado</v>
      </c>
      <c r="AB224" s="38">
        <f ca="1">IFERROR(__xludf.DUMMYFUNCTION("""COMPUTED_VALUE"""),50000)</f>
        <v>50000</v>
      </c>
      <c r="AC224" s="6">
        <f ca="1">IFERROR(__xludf.DUMMYFUNCTION("""COMPUTED_VALUE"""),205135)</f>
        <v>205135</v>
      </c>
      <c r="AD224" s="6" t="str">
        <f ca="1">IFERROR(__xludf.DUMMYFUNCTION("""COMPUTED_VALUE"""),"TRF 30-08")</f>
        <v>TRF 30-08</v>
      </c>
      <c r="AE224" s="6"/>
      <c r="AF224" s="6"/>
    </row>
    <row r="225" spans="1:32" ht="13.2">
      <c r="A225" s="35">
        <f ca="1">IFERROR(__xludf.DUMMYFUNCTION("""COMPUTED_VALUE"""),45535.5312418171)</f>
        <v>45535.531241817102</v>
      </c>
      <c r="B225" s="36" t="str">
        <f ca="1">IFERROR(__xludf.DUMMYFUNCTION("""COMPUTED_VALUE"""),"Cristian")</f>
        <v>Cristian</v>
      </c>
      <c r="C225" s="36" t="str">
        <f ca="1">IFERROR(__xludf.DUMMYFUNCTION("""COMPUTED_VALUE"""),"Paglini")</f>
        <v>Paglini</v>
      </c>
      <c r="D225" s="36" t="str">
        <f ca="1">IFERROR(__xludf.DUMMYFUNCTION("""COMPUTED_VALUE"""),"Rosario")</f>
        <v>Rosario</v>
      </c>
      <c r="E225" s="38" t="str">
        <f ca="1">IFERROR(__xludf.DUMMYFUNCTION("""COMPUTED_VALUE"""),"ARG")</f>
        <v>ARG</v>
      </c>
      <c r="F225" s="38">
        <f ca="1">IFERROR(__xludf.DUMMYFUNCTION("""COMPUTED_VALUE"""),24779378)</f>
        <v>24779378</v>
      </c>
      <c r="G225" s="37">
        <f ca="1">IFERROR(__xludf.DUMMYFUNCTION("""COMPUTED_VALUE"""),27688)</f>
        <v>27688</v>
      </c>
      <c r="H225" s="38" t="str">
        <f ca="1">IFERROR(__xludf.DUMMYFUNCTION("""COMPUTED_VALUE"""),"341-3611358")</f>
        <v>341-3611358</v>
      </c>
      <c r="I225" s="38" t="str">
        <f ca="1">IFERROR(__xludf.DUMMYFUNCTION("""COMPUTED_VALUE"""),"341-5479620")</f>
        <v>341-5479620</v>
      </c>
      <c r="J225" s="38" t="str">
        <f ca="1">IFERROR(__xludf.DUMMYFUNCTION("""COMPUTED_VALUE"""),"cpaglini@serport.com.ar")</f>
        <v>cpaglini@serport.com.ar</v>
      </c>
      <c r="K225" s="38" t="str">
        <f ca="1">IFERROR(__xludf.DUMMYFUNCTION("""COMPUTED_VALUE"""),"Masculino")</f>
        <v>Masculino</v>
      </c>
      <c r="L225" s="38" t="str">
        <f ca="1">IFERROR(__xludf.DUMMYFUNCTION("""COMPUTED_VALUE"""),"YCR")</f>
        <v>YCR</v>
      </c>
      <c r="M225" s="38" t="str">
        <f ca="1">IFERROR(__xludf.DUMMYFUNCTION("""COMPUTED_VALUE"""),"Corinthians")</f>
        <v>Corinthians</v>
      </c>
      <c r="N225" s="6" t="str">
        <f ca="1">IFERROR(__xludf.DUMMYFUNCTION("""COMPUTED_VALUE"""),"J 70")</f>
        <v>J 70</v>
      </c>
      <c r="O225" s="6">
        <f ca="1">IFERROR(__xludf.DUMMYFUNCTION("""COMPUTED_VALUE"""),49)</f>
        <v>49</v>
      </c>
      <c r="P225" s="6" t="str">
        <f ca="1">IFERROR(__xludf.DUMMYFUNCTION("""COMPUTED_VALUE"""),"Arg 1557")</f>
        <v>Arg 1557</v>
      </c>
      <c r="Q225" s="38" t="str">
        <f ca="1">IFERROR(__xludf.DUMMYFUNCTION("""COMPUTED_VALUE"""),"Ganesh IV")</f>
        <v>Ganesh IV</v>
      </c>
      <c r="R225" s="38" t="str">
        <f ca="1">IFERROR(__xludf.DUMMYFUNCTION("""COMPUTED_VALUE"""),"Cura Ramiro")</f>
        <v>Cura Ramiro</v>
      </c>
      <c r="S225" s="38" t="str">
        <f ca="1">IFERROR(__xludf.DUMMYFUNCTION("""COMPUTED_VALUE"""),"Alvaro Acevedo")</f>
        <v>Alvaro Acevedo</v>
      </c>
      <c r="T225" s="38" t="str">
        <f ca="1">IFERROR(__xludf.DUMMYFUNCTION("""COMPUTED_VALUE"""),"Matias Dietrich")</f>
        <v>Matias Dietrich</v>
      </c>
      <c r="U225" s="38"/>
      <c r="V225" s="38"/>
      <c r="W225" s="38"/>
      <c r="X225" s="40" t="str">
        <f ca="1">IFERROR(__xludf.DUMMYFUNCTION("""COMPUTED_VALUE"""),"Osde")</f>
        <v>Osde</v>
      </c>
      <c r="Y225" s="6" t="str">
        <f ca="1">IFERROR(__xludf.DUMMYFUNCTION("""COMPUTED_VALUE"""),"No")</f>
        <v>No</v>
      </c>
      <c r="Z225" s="38" t="str">
        <f ca="1">IFERROR(__xludf.DUMMYFUNCTION("""COMPUTED_VALUE"""),"Acepto")</f>
        <v>Acepto</v>
      </c>
      <c r="AA225" s="38" t="str">
        <f ca="1">IFERROR(__xludf.DUMMYFUNCTION("""COMPUTED_VALUE"""),"Terminado")</f>
        <v>Terminado</v>
      </c>
      <c r="AB225" s="38">
        <f ca="1">IFERROR(__xludf.DUMMYFUNCTION("""COMPUTED_VALUE"""),68000)</f>
        <v>68000</v>
      </c>
      <c r="AC225" s="6">
        <f ca="1">IFERROR(__xludf.DUMMYFUNCTION("""COMPUTED_VALUE"""),205148)</f>
        <v>205148</v>
      </c>
      <c r="AD225" s="6" t="str">
        <f ca="1">IFERROR(__xludf.DUMMYFUNCTION("""COMPUTED_VALUE"""),"TRF 31-08")</f>
        <v>TRF 31-08</v>
      </c>
      <c r="AE225" s="6"/>
      <c r="AF225" s="6"/>
    </row>
    <row r="226" spans="1:32" ht="13.2">
      <c r="A226" s="35">
        <f ca="1">IFERROR(__xludf.DUMMYFUNCTION("""COMPUTED_VALUE"""),45525.6120017013)</f>
        <v>45525.612001701302</v>
      </c>
      <c r="B226" s="36" t="str">
        <f ca="1">IFERROR(__xludf.DUMMYFUNCTION("""COMPUTED_VALUE"""),"Gastón ")</f>
        <v xml:space="preserve">Gastón </v>
      </c>
      <c r="C226" s="36" t="str">
        <f ca="1">IFERROR(__xludf.DUMMYFUNCTION("""COMPUTED_VALUE"""),"Pamer ")</f>
        <v xml:space="preserve">Pamer </v>
      </c>
      <c r="D226" s="36" t="str">
        <f ca="1">IFERROR(__xludf.DUMMYFUNCTION("""COMPUTED_VALUE"""),"Viedma")</f>
        <v>Viedma</v>
      </c>
      <c r="E226" s="38" t="str">
        <f ca="1">IFERROR(__xludf.DUMMYFUNCTION("""COMPUTED_VALUE"""),"ARG")</f>
        <v>ARG</v>
      </c>
      <c r="F226" s="38">
        <f ca="1">IFERROR(__xludf.DUMMYFUNCTION("""COMPUTED_VALUE"""),24041738)</f>
        <v>24041738</v>
      </c>
      <c r="G226" s="37">
        <f ca="1">IFERROR(__xludf.DUMMYFUNCTION("""COMPUTED_VALUE"""),27363)</f>
        <v>27363</v>
      </c>
      <c r="H226" s="38">
        <f ca="1">IFERROR(__xludf.DUMMYFUNCTION("""COMPUTED_VALUE"""),2920610198)</f>
        <v>2920610198</v>
      </c>
      <c r="I226" s="38">
        <f ca="1">IFERROR(__xludf.DUMMYFUNCTION("""COMPUTED_VALUE"""),2920301041)</f>
        <v>2920301041</v>
      </c>
      <c r="J226" s="38" t="str">
        <f ca="1">IFERROR(__xludf.DUMMYFUNCTION("""COMPUTED_VALUE"""),"pamergaston@gmail.com")</f>
        <v>pamergaston@gmail.com</v>
      </c>
      <c r="K226" s="38" t="str">
        <f ca="1">IFERROR(__xludf.DUMMYFUNCTION("""COMPUTED_VALUE"""),"Masculino")</f>
        <v>Masculino</v>
      </c>
      <c r="L226" s="38" t="str">
        <f ca="1">IFERROR(__xludf.DUMMYFUNCTION("""COMPUTED_VALUE"""),"CNLR ")</f>
        <v xml:space="preserve">CNLR </v>
      </c>
      <c r="M226" s="38"/>
      <c r="N226" s="6" t="str">
        <f ca="1">IFERROR(__xludf.DUMMYFUNCTION("""COMPUTED_VALUE"""),"PAMPERO")</f>
        <v>PAMPERO</v>
      </c>
      <c r="O226" s="6"/>
      <c r="P226" s="6">
        <f ca="1">IFERROR(__xludf.DUMMYFUNCTION("""COMPUTED_VALUE"""),777)</f>
        <v>777</v>
      </c>
      <c r="Q226" s="38" t="str">
        <f ca="1">IFERROR(__xludf.DUMMYFUNCTION("""COMPUTED_VALUE"""),"INDIO ")</f>
        <v xml:space="preserve">INDIO </v>
      </c>
      <c r="R226" s="38" t="str">
        <f ca="1">IFERROR(__xludf.DUMMYFUNCTION("""COMPUTED_VALUE"""),"Juan Ruf")</f>
        <v>Juan Ruf</v>
      </c>
      <c r="S226" s="38"/>
      <c r="T226" s="38"/>
      <c r="U226" s="38"/>
      <c r="V226" s="38"/>
      <c r="W226" s="38"/>
      <c r="X226" s="40" t="str">
        <f ca="1">IFERROR(__xludf.DUMMYFUNCTION("""COMPUTED_VALUE"""),"Swiss Medical")</f>
        <v>Swiss Medical</v>
      </c>
      <c r="Y226" s="6" t="str">
        <f ca="1">IFERROR(__xludf.DUMMYFUNCTION("""COMPUTED_VALUE"""),"Si")</f>
        <v>Si</v>
      </c>
      <c r="Z226" s="38" t="str">
        <f ca="1">IFERROR(__xludf.DUMMYFUNCTION("""COMPUTED_VALUE"""),"Acepto")</f>
        <v>Acepto</v>
      </c>
      <c r="AA226" s="38" t="str">
        <f ca="1">IFERROR(__xludf.DUMMYFUNCTION("""COMPUTED_VALUE"""),"Terminado")</f>
        <v>Terminado</v>
      </c>
      <c r="AB226" s="38">
        <f ca="1">IFERROR(__xludf.DUMMYFUNCTION("""COMPUTED_VALUE"""),60000)</f>
        <v>60000</v>
      </c>
      <c r="AC226" s="6">
        <f ca="1">IFERROR(__xludf.DUMMYFUNCTION("""COMPUTED_VALUE"""),205015)</f>
        <v>205015</v>
      </c>
      <c r="AD226" s="6" t="str">
        <f ca="1">IFERROR(__xludf.DUMMYFUNCTION("""COMPUTED_VALUE"""),"TRF 21-08")</f>
        <v>TRF 21-08</v>
      </c>
      <c r="AE226" s="6"/>
      <c r="AF226" s="6" t="str">
        <f ca="1">IFERROR(__xludf.DUMMYFUNCTION("""COMPUTED_VALUE"""),"Si")</f>
        <v>Si</v>
      </c>
    </row>
    <row r="227" spans="1:32" ht="13.2">
      <c r="A227" s="35">
        <f ca="1">IFERROR(__xludf.DUMMYFUNCTION("""COMPUTED_VALUE"""),45537.4014728356)</f>
        <v>45537.401472835598</v>
      </c>
      <c r="B227" s="36" t="str">
        <f ca="1">IFERROR(__xludf.DUMMYFUNCTION("""COMPUTED_VALUE"""),"Tintin")</f>
        <v>Tintin</v>
      </c>
      <c r="C227" s="36" t="str">
        <f ca="1">IFERROR(__xludf.DUMMYFUNCTION("""COMPUTED_VALUE"""),"Panasci")</f>
        <v>Panasci</v>
      </c>
      <c r="D227" s="36" t="str">
        <f ca="1">IFERROR(__xludf.DUMMYFUNCTION("""COMPUTED_VALUE"""),"caba")</f>
        <v>caba</v>
      </c>
      <c r="E227" s="38" t="str">
        <f ca="1">IFERROR(__xludf.DUMMYFUNCTION("""COMPUTED_VALUE"""),"ARG")</f>
        <v>ARG</v>
      </c>
      <c r="F227" s="38">
        <f ca="1">IFERROR(__xludf.DUMMYFUNCTION("""COMPUTED_VALUE"""),54627320)</f>
        <v>54627320</v>
      </c>
      <c r="G227" s="37">
        <f ca="1">IFERROR(__xludf.DUMMYFUNCTION("""COMPUTED_VALUE"""),42249)</f>
        <v>42249</v>
      </c>
      <c r="H227" s="38">
        <f ca="1">IFERROR(__xludf.DUMMYFUNCTION("""COMPUTED_VALUE"""),1162296144)</f>
        <v>1162296144</v>
      </c>
      <c r="I227" s="38">
        <f ca="1">IFERROR(__xludf.DUMMYFUNCTION("""COMPUTED_VALUE"""),1162292995)</f>
        <v>1162292995</v>
      </c>
      <c r="J227" s="38" t="str">
        <f ca="1">IFERROR(__xludf.DUMMYFUNCTION("""COMPUTED_VALUE"""),"cristinadubra@gmail.com")</f>
        <v>cristinadubra@gmail.com</v>
      </c>
      <c r="K227" s="38" t="str">
        <f ca="1">IFERROR(__xludf.DUMMYFUNCTION("""COMPUTED_VALUE"""),"Masculino")</f>
        <v>Masculino</v>
      </c>
      <c r="L227" s="38" t="str">
        <f ca="1">IFERROR(__xludf.DUMMYFUNCTION("""COMPUTED_VALUE"""),"CUBA")</f>
        <v>CUBA</v>
      </c>
      <c r="M227" s="38"/>
      <c r="N227" s="6" t="str">
        <f ca="1">IFERROR(__xludf.DUMMYFUNCTION("""COMPUTED_VALUE"""),"OPTIMIST PRINCIPIANTES")</f>
        <v>OPTIMIST PRINCIPIANTES</v>
      </c>
      <c r="O227" s="6"/>
      <c r="P227" s="6">
        <f ca="1">IFERROR(__xludf.DUMMYFUNCTION("""COMPUTED_VALUE"""),3603)</f>
        <v>3603</v>
      </c>
      <c r="Q227" s="38"/>
      <c r="R227" s="38"/>
      <c r="S227" s="38"/>
      <c r="T227" s="38"/>
      <c r="U227" s="38"/>
      <c r="V227" s="38"/>
      <c r="W227" s="38"/>
      <c r="X227" s="40" t="str">
        <f ca="1">IFERROR(__xludf.DUMMYFUNCTION("""COMPUTED_VALUE"""),"0447732 05 1034")</f>
        <v>0447732 05 1034</v>
      </c>
      <c r="Y227" s="6" t="str">
        <f ca="1">IFERROR(__xludf.DUMMYFUNCTION("""COMPUTED_VALUE"""),"No")</f>
        <v>No</v>
      </c>
      <c r="Z227" s="38" t="str">
        <f ca="1">IFERROR(__xludf.DUMMYFUNCTION("""COMPUTED_VALUE"""),"Acepto")</f>
        <v>Acepto</v>
      </c>
      <c r="AA227" s="38" t="str">
        <f ca="1">IFERROR(__xludf.DUMMYFUNCTION("""COMPUTED_VALUE"""),"Terminado")</f>
        <v>Terminado</v>
      </c>
      <c r="AB227" s="38">
        <f ca="1">IFERROR(__xludf.DUMMYFUNCTION("""COMPUTED_VALUE"""),50000)</f>
        <v>50000</v>
      </c>
      <c r="AC227" s="6">
        <f ca="1">IFERROR(__xludf.DUMMYFUNCTION("""COMPUTED_VALUE"""),205532)</f>
        <v>205532</v>
      </c>
      <c r="AD227" s="6" t="str">
        <f ca="1">IFERROR(__xludf.DUMMYFUNCTION("""COMPUTED_VALUE"""),"TRF 06-09")</f>
        <v>TRF 06-09</v>
      </c>
      <c r="AE227" s="6"/>
      <c r="AF227" s="6"/>
    </row>
    <row r="228" spans="1:32" ht="13.2">
      <c r="A228" s="35">
        <f ca="1">IFERROR(__xludf.DUMMYFUNCTION("""COMPUTED_VALUE"""),45537.5410207407)</f>
        <v>45537.541020740697</v>
      </c>
      <c r="B228" s="36" t="str">
        <f ca="1">IFERROR(__xludf.DUMMYFUNCTION("""COMPUTED_VALUE"""),"Ine")</f>
        <v>Ine</v>
      </c>
      <c r="C228" s="36" t="str">
        <f ca="1">IFERROR(__xludf.DUMMYFUNCTION("""COMPUTED_VALUE"""),"Panasci")</f>
        <v>Panasci</v>
      </c>
      <c r="D228" s="36" t="str">
        <f ca="1">IFERROR(__xludf.DUMMYFUNCTION("""COMPUTED_VALUE"""),"caba")</f>
        <v>caba</v>
      </c>
      <c r="E228" s="38" t="str">
        <f ca="1">IFERROR(__xludf.DUMMYFUNCTION("""COMPUTED_VALUE"""),"ARG")</f>
        <v>ARG</v>
      </c>
      <c r="F228" s="38">
        <f ca="1">IFERROR(__xludf.DUMMYFUNCTION("""COMPUTED_VALUE"""),50030333)</f>
        <v>50030333</v>
      </c>
      <c r="G228" s="37">
        <f ca="1">IFERROR(__xludf.DUMMYFUNCTION("""COMPUTED_VALUE"""),40192)</f>
        <v>40192</v>
      </c>
      <c r="H228" s="38">
        <f ca="1">IFERROR(__xludf.DUMMYFUNCTION("""COMPUTED_VALUE"""),1162296144)</f>
        <v>1162296144</v>
      </c>
      <c r="I228" s="38"/>
      <c r="J228" s="38" t="str">
        <f ca="1">IFERROR(__xludf.DUMMYFUNCTION("""COMPUTED_VALUE"""),"cristinadubra@gmail.com")</f>
        <v>cristinadubra@gmail.com</v>
      </c>
      <c r="K228" s="38" t="str">
        <f ca="1">IFERROR(__xludf.DUMMYFUNCTION("""COMPUTED_VALUE"""),"Femenino")</f>
        <v>Femenino</v>
      </c>
      <c r="L228" s="38" t="str">
        <f ca="1">IFERROR(__xludf.DUMMYFUNCTION("""COMPUTED_VALUE"""),"CUBA")</f>
        <v>CUBA</v>
      </c>
      <c r="M228" s="38" t="str">
        <f ca="1">IFERROR(__xludf.DUMMYFUNCTION("""COMPUTED_VALUE"""),"Femenino")</f>
        <v>Femenino</v>
      </c>
      <c r="N228" s="6" t="str">
        <f ca="1">IFERROR(__xludf.DUMMYFUNCTION("""COMPUTED_VALUE"""),"OPTIMIST TIMONELES")</f>
        <v>OPTIMIST TIMONELES</v>
      </c>
      <c r="O228" s="6"/>
      <c r="P228" s="6">
        <f ca="1">IFERROR(__xludf.DUMMYFUNCTION("""COMPUTED_VALUE"""),4069)</f>
        <v>4069</v>
      </c>
      <c r="Q228" s="38"/>
      <c r="R228" s="38"/>
      <c r="S228" s="38"/>
      <c r="T228" s="38"/>
      <c r="U228" s="38"/>
      <c r="V228" s="38"/>
      <c r="W228" s="38"/>
      <c r="X228" s="40" t="str">
        <f ca="1">IFERROR(__xludf.DUMMYFUNCTION("""COMPUTED_VALUE"""),"0447732 03 1028")</f>
        <v>0447732 03 1028</v>
      </c>
      <c r="Y228" s="6" t="str">
        <f ca="1">IFERROR(__xludf.DUMMYFUNCTION("""COMPUTED_VALUE"""),"No")</f>
        <v>No</v>
      </c>
      <c r="Z228" s="38" t="str">
        <f ca="1">IFERROR(__xludf.DUMMYFUNCTION("""COMPUTED_VALUE"""),"Acepto")</f>
        <v>Acepto</v>
      </c>
      <c r="AA228" s="38" t="str">
        <f ca="1">IFERROR(__xludf.DUMMYFUNCTION("""COMPUTED_VALUE"""),"Terminado")</f>
        <v>Terminado</v>
      </c>
      <c r="AB228" s="38">
        <f ca="1">IFERROR(__xludf.DUMMYFUNCTION("""COMPUTED_VALUE"""),50000)</f>
        <v>50000</v>
      </c>
      <c r="AC228" s="6">
        <f ca="1">IFERROR(__xludf.DUMMYFUNCTION("""COMPUTED_VALUE"""),205532)</f>
        <v>205532</v>
      </c>
      <c r="AD228" s="6" t="str">
        <f ca="1">IFERROR(__xludf.DUMMYFUNCTION("""COMPUTED_VALUE"""),"TRF 06-09")</f>
        <v>TRF 06-09</v>
      </c>
      <c r="AE228" s="6"/>
      <c r="AF228" s="6"/>
    </row>
    <row r="229" spans="1:32" ht="13.2">
      <c r="A229" s="35">
        <f ca="1">IFERROR(__xludf.DUMMYFUNCTION("""COMPUTED_VALUE"""),45537.5420750231)</f>
        <v>45537.542075023099</v>
      </c>
      <c r="B229" s="36" t="str">
        <f ca="1">IFERROR(__xludf.DUMMYFUNCTION("""COMPUTED_VALUE"""),"Nacho")</f>
        <v>Nacho</v>
      </c>
      <c r="C229" s="36" t="str">
        <f ca="1">IFERROR(__xludf.DUMMYFUNCTION("""COMPUTED_VALUE"""),"Panasci")</f>
        <v>Panasci</v>
      </c>
      <c r="D229" s="36" t="str">
        <f ca="1">IFERROR(__xludf.DUMMYFUNCTION("""COMPUTED_VALUE"""),"caba")</f>
        <v>caba</v>
      </c>
      <c r="E229" s="38" t="str">
        <f ca="1">IFERROR(__xludf.DUMMYFUNCTION("""COMPUTED_VALUE"""),"ARG")</f>
        <v>ARG</v>
      </c>
      <c r="F229" s="38">
        <f ca="1">IFERROR(__xludf.DUMMYFUNCTION("""COMPUTED_VALUE"""),52448420)</f>
        <v>52448420</v>
      </c>
      <c r="G229" s="37">
        <f ca="1">IFERROR(__xludf.DUMMYFUNCTION("""COMPUTED_VALUE"""),41022)</f>
        <v>41022</v>
      </c>
      <c r="H229" s="38">
        <f ca="1">IFERROR(__xludf.DUMMYFUNCTION("""COMPUTED_VALUE"""),1162296144)</f>
        <v>1162296144</v>
      </c>
      <c r="I229" s="38">
        <f ca="1">IFERROR(__xludf.DUMMYFUNCTION("""COMPUTED_VALUE"""),1162292995)</f>
        <v>1162292995</v>
      </c>
      <c r="J229" s="38" t="str">
        <f ca="1">IFERROR(__xludf.DUMMYFUNCTION("""COMPUTED_VALUE"""),"cristinadubra@gmail.com")</f>
        <v>cristinadubra@gmail.com</v>
      </c>
      <c r="K229" s="38" t="str">
        <f ca="1">IFERROR(__xludf.DUMMYFUNCTION("""COMPUTED_VALUE"""),"Femenino")</f>
        <v>Femenino</v>
      </c>
      <c r="L229" s="38" t="str">
        <f ca="1">IFERROR(__xludf.DUMMYFUNCTION("""COMPUTED_VALUE"""),"CUBA")</f>
        <v>CUBA</v>
      </c>
      <c r="M229" s="38"/>
      <c r="N229" s="6" t="str">
        <f ca="1">IFERROR(__xludf.DUMMYFUNCTION("""COMPUTED_VALUE"""),"OPTIMIST TIMONELES")</f>
        <v>OPTIMIST TIMONELES</v>
      </c>
      <c r="O229" s="6"/>
      <c r="P229" s="6">
        <f ca="1">IFERROR(__xludf.DUMMYFUNCTION("""COMPUTED_VALUE"""),4136)</f>
        <v>4136</v>
      </c>
      <c r="Q229" s="38"/>
      <c r="R229" s="38"/>
      <c r="S229" s="38"/>
      <c r="T229" s="38"/>
      <c r="U229" s="38"/>
      <c r="V229" s="38"/>
      <c r="W229" s="38"/>
      <c r="X229" s="40"/>
      <c r="Y229" s="6" t="str">
        <f ca="1">IFERROR(__xludf.DUMMYFUNCTION("""COMPUTED_VALUE"""),"No")</f>
        <v>No</v>
      </c>
      <c r="Z229" s="38" t="str">
        <f ca="1">IFERROR(__xludf.DUMMYFUNCTION("""COMPUTED_VALUE"""),"Acepto")</f>
        <v>Acepto</v>
      </c>
      <c r="AA229" s="38" t="str">
        <f ca="1">IFERROR(__xludf.DUMMYFUNCTION("""COMPUTED_VALUE"""),"Terminado")</f>
        <v>Terminado</v>
      </c>
      <c r="AB229" s="38">
        <f ca="1">IFERROR(__xludf.DUMMYFUNCTION("""COMPUTED_VALUE"""),50000)</f>
        <v>50000</v>
      </c>
      <c r="AC229" s="6">
        <f ca="1">IFERROR(__xludf.DUMMYFUNCTION("""COMPUTED_VALUE"""),205532)</f>
        <v>205532</v>
      </c>
      <c r="AD229" s="6" t="str">
        <f ca="1">IFERROR(__xludf.DUMMYFUNCTION("""COMPUTED_VALUE"""),"TRF 06-09")</f>
        <v>TRF 06-09</v>
      </c>
      <c r="AE229" s="6"/>
      <c r="AF229" s="6"/>
    </row>
    <row r="230" spans="1:32" ht="13.2">
      <c r="A230" s="35">
        <f ca="1">IFERROR(__xludf.DUMMYFUNCTION("""COMPUTED_VALUE"""),45535.4659524074)</f>
        <v>45535.465952407401</v>
      </c>
      <c r="B230" s="36" t="str">
        <f ca="1">IFERROR(__xludf.DUMMYFUNCTION("""COMPUTED_VALUE"""),"Tomas")</f>
        <v>Tomas</v>
      </c>
      <c r="C230" s="36" t="str">
        <f ca="1">IFERROR(__xludf.DUMMYFUNCTION("""COMPUTED_VALUE"""),"Paoli")</f>
        <v>Paoli</v>
      </c>
      <c r="D230" s="36" t="str">
        <f ca="1">IFERROR(__xludf.DUMMYFUNCTION("""COMPUTED_VALUE"""),"San isidro")</f>
        <v>San isidro</v>
      </c>
      <c r="E230" s="38" t="str">
        <f ca="1">IFERROR(__xludf.DUMMYFUNCTION("""COMPUTED_VALUE"""),"ARG")</f>
        <v>ARG</v>
      </c>
      <c r="F230" s="38">
        <f ca="1">IFERROR(__xludf.DUMMYFUNCTION("""COMPUTED_VALUE"""),52168000)</f>
        <v>52168000</v>
      </c>
      <c r="G230" s="37">
        <f ca="1">IFERROR(__xludf.DUMMYFUNCTION("""COMPUTED_VALUE"""),40986)</f>
        <v>40986</v>
      </c>
      <c r="H230" s="38">
        <f ca="1">IFERROR(__xludf.DUMMYFUNCTION("""COMPUTED_VALUE"""),1155770173)</f>
        <v>1155770173</v>
      </c>
      <c r="I230" s="38" t="str">
        <f ca="1">IFERROR(__xludf.DUMMYFUNCTION("""COMPUTED_VALUE"""),"11-5577-0173 ")</f>
        <v xml:space="preserve">11-5577-0173 </v>
      </c>
      <c r="J230" s="38" t="str">
        <f ca="1">IFERROR(__xludf.DUMMYFUNCTION("""COMPUTED_VALUE"""),"paolilucas@gmail.com")</f>
        <v>paolilucas@gmail.com</v>
      </c>
      <c r="K230" s="38" t="str">
        <f ca="1">IFERROR(__xludf.DUMMYFUNCTION("""COMPUTED_VALUE"""),"Masculino")</f>
        <v>Masculino</v>
      </c>
      <c r="L230" s="38" t="str">
        <f ca="1">IFERROR(__xludf.DUMMYFUNCTION("""COMPUTED_VALUE"""),"CNSI")</f>
        <v>CNSI</v>
      </c>
      <c r="M230" s="38" t="str">
        <f ca="1">IFERROR(__xludf.DUMMYFUNCTION("""COMPUTED_VALUE"""),"Interior (Optimist)")</f>
        <v>Interior (Optimist)</v>
      </c>
      <c r="N230" s="6" t="str">
        <f ca="1">IFERROR(__xludf.DUMMYFUNCTION("""COMPUTED_VALUE"""),"OPTIMIST PRINCIPIANTES")</f>
        <v>OPTIMIST PRINCIPIANTES</v>
      </c>
      <c r="O230" s="6"/>
      <c r="P230" s="6" t="str">
        <f ca="1">IFERROR(__xludf.DUMMYFUNCTION("""COMPUTED_VALUE"""),"036")</f>
        <v>036</v>
      </c>
      <c r="Q230" s="38"/>
      <c r="R230" s="38"/>
      <c r="S230" s="38"/>
      <c r="T230" s="38"/>
      <c r="U230" s="38"/>
      <c r="V230" s="38"/>
      <c r="W230" s="38"/>
      <c r="X230" s="40"/>
      <c r="Y230" s="6" t="str">
        <f ca="1">IFERROR(__xludf.DUMMYFUNCTION("""COMPUTED_VALUE"""),"No")</f>
        <v>No</v>
      </c>
      <c r="Z230" s="38" t="str">
        <f ca="1">IFERROR(__xludf.DUMMYFUNCTION("""COMPUTED_VALUE"""),"Acepto")</f>
        <v>Acepto</v>
      </c>
      <c r="AA230" s="38" t="str">
        <f ca="1">IFERROR(__xludf.DUMMYFUNCTION("""COMPUTED_VALUE"""),"Terminado")</f>
        <v>Terminado</v>
      </c>
      <c r="AB230" s="38">
        <f ca="1">IFERROR(__xludf.DUMMYFUNCTION("""COMPUTED_VALUE"""),50000)</f>
        <v>50000</v>
      </c>
      <c r="AC230" s="6">
        <f ca="1">IFERROR(__xludf.DUMMYFUNCTION("""COMPUTED_VALUE"""),205117)</f>
        <v>205117</v>
      </c>
      <c r="AD230" s="6" t="str">
        <f ca="1">IFERROR(__xludf.DUMMYFUNCTION("""COMPUTED_VALUE"""),"Tarj 31-08")</f>
        <v>Tarj 31-08</v>
      </c>
      <c r="AE230" s="6"/>
      <c r="AF230" s="6"/>
    </row>
    <row r="231" spans="1:32" ht="13.2">
      <c r="A231" s="35">
        <f ca="1">IFERROR(__xludf.DUMMYFUNCTION("""COMPUTED_VALUE"""),45535.4684024652)</f>
        <v>45535.468402465202</v>
      </c>
      <c r="B231" s="36" t="str">
        <f ca="1">IFERROR(__xludf.DUMMYFUNCTION("""COMPUTED_VALUE"""),"Santiago")</f>
        <v>Santiago</v>
      </c>
      <c r="C231" s="36" t="str">
        <f ca="1">IFERROR(__xludf.DUMMYFUNCTION("""COMPUTED_VALUE"""),"Paoli")</f>
        <v>Paoli</v>
      </c>
      <c r="D231" s="36" t="str">
        <f ca="1">IFERROR(__xludf.DUMMYFUNCTION("""COMPUTED_VALUE"""),"San isidro")</f>
        <v>San isidro</v>
      </c>
      <c r="E231" s="38" t="str">
        <f ca="1">IFERROR(__xludf.DUMMYFUNCTION("""COMPUTED_VALUE"""),"ARG")</f>
        <v>ARG</v>
      </c>
      <c r="F231" s="38">
        <f ca="1">IFERROR(__xludf.DUMMYFUNCTION("""COMPUTED_VALUE"""),53972454)</f>
        <v>53972454</v>
      </c>
      <c r="G231" s="37">
        <f ca="1">IFERROR(__xludf.DUMMYFUNCTION("""COMPUTED_VALUE"""),41839)</f>
        <v>41839</v>
      </c>
      <c r="H231" s="38">
        <f ca="1">IFERROR(__xludf.DUMMYFUNCTION("""COMPUTED_VALUE"""),1155770173)</f>
        <v>1155770173</v>
      </c>
      <c r="I231" s="38">
        <f ca="1">IFERROR(__xludf.DUMMYFUNCTION("""COMPUTED_VALUE"""),1155770173)</f>
        <v>1155770173</v>
      </c>
      <c r="J231" s="38" t="str">
        <f ca="1">IFERROR(__xludf.DUMMYFUNCTION("""COMPUTED_VALUE"""),"paolilucas@gmail.com")</f>
        <v>paolilucas@gmail.com</v>
      </c>
      <c r="K231" s="38" t="str">
        <f ca="1">IFERROR(__xludf.DUMMYFUNCTION("""COMPUTED_VALUE"""),"Masculino")</f>
        <v>Masculino</v>
      </c>
      <c r="L231" s="38" t="str">
        <f ca="1">IFERROR(__xludf.DUMMYFUNCTION("""COMPUTED_VALUE"""),"CNSI")</f>
        <v>CNSI</v>
      </c>
      <c r="M231" s="38" t="str">
        <f ca="1">IFERROR(__xludf.DUMMYFUNCTION("""COMPUTED_VALUE"""),"Interior (Optimist)")</f>
        <v>Interior (Optimist)</v>
      </c>
      <c r="N231" s="6" t="str">
        <f ca="1">IFERROR(__xludf.DUMMYFUNCTION("""COMPUTED_VALUE"""),"OPTIMIST PRINCIPIANTES")</f>
        <v>OPTIMIST PRINCIPIANTES</v>
      </c>
      <c r="O231" s="6"/>
      <c r="P231" s="6">
        <f ca="1">IFERROR(__xludf.DUMMYFUNCTION("""COMPUTED_VALUE"""),3620)</f>
        <v>3620</v>
      </c>
      <c r="Q231" s="38"/>
      <c r="R231" s="38"/>
      <c r="S231" s="38"/>
      <c r="T231" s="38"/>
      <c r="U231" s="38"/>
      <c r="V231" s="38"/>
      <c r="W231" s="38"/>
      <c r="X231" s="40"/>
      <c r="Y231" s="6" t="str">
        <f ca="1">IFERROR(__xludf.DUMMYFUNCTION("""COMPUTED_VALUE"""),"No")</f>
        <v>No</v>
      </c>
      <c r="Z231" s="38" t="str">
        <f ca="1">IFERROR(__xludf.DUMMYFUNCTION("""COMPUTED_VALUE"""),"Acepto")</f>
        <v>Acepto</v>
      </c>
      <c r="AA231" s="38" t="str">
        <f ca="1">IFERROR(__xludf.DUMMYFUNCTION("""COMPUTED_VALUE"""),"Terminado")</f>
        <v>Terminado</v>
      </c>
      <c r="AB231" s="38">
        <f ca="1">IFERROR(__xludf.DUMMYFUNCTION("""COMPUTED_VALUE"""),50000)</f>
        <v>50000</v>
      </c>
      <c r="AC231" s="6">
        <f ca="1">IFERROR(__xludf.DUMMYFUNCTION("""COMPUTED_VALUE"""),205117)</f>
        <v>205117</v>
      </c>
      <c r="AD231" s="6" t="str">
        <f ca="1">IFERROR(__xludf.DUMMYFUNCTION("""COMPUTED_VALUE"""),"Tarj 31-08")</f>
        <v>Tarj 31-08</v>
      </c>
      <c r="AE231" s="6"/>
      <c r="AF231" s="6"/>
    </row>
    <row r="232" spans="1:32" ht="13.2">
      <c r="A232" s="35">
        <f ca="1">IFERROR(__xludf.DUMMYFUNCTION("""COMPUTED_VALUE"""),45535.5530904051)</f>
        <v>45535.553090405097</v>
      </c>
      <c r="B232" s="36" t="str">
        <f ca="1">IFERROR(__xludf.DUMMYFUNCTION("""COMPUTED_VALUE"""),"Sebastian")</f>
        <v>Sebastian</v>
      </c>
      <c r="C232" s="36" t="str">
        <f ca="1">IFERROR(__xludf.DUMMYFUNCTION("""COMPUTED_VALUE"""),"Parrella")</f>
        <v>Parrella</v>
      </c>
      <c r="D232" s="36" t="str">
        <f ca="1">IFERROR(__xludf.DUMMYFUNCTION("""COMPUTED_VALUE"""),"Buenos Aires")</f>
        <v>Buenos Aires</v>
      </c>
      <c r="E232" s="38" t="str">
        <f ca="1">IFERROR(__xludf.DUMMYFUNCTION("""COMPUTED_VALUE"""),"ARG")</f>
        <v>ARG</v>
      </c>
      <c r="F232" s="38">
        <f ca="1">IFERROR(__xludf.DUMMYFUNCTION("""COMPUTED_VALUE"""),49926159)</f>
        <v>49926159</v>
      </c>
      <c r="G232" s="37">
        <f ca="1">IFERROR(__xludf.DUMMYFUNCTION("""COMPUTED_VALUE"""),40162)</f>
        <v>40162</v>
      </c>
      <c r="H232" s="38" t="str">
        <f ca="1">IFERROR(__xludf.DUMMYFUNCTION("""COMPUTED_VALUE"""),"+54 9 11 3811-4637")</f>
        <v>+54 9 11 3811-4637</v>
      </c>
      <c r="I232" s="38" t="str">
        <f ca="1">IFERROR(__xludf.DUMMYFUNCTION("""COMPUTED_VALUE"""),"+54 9 11 3811-4637")</f>
        <v>+54 9 11 3811-4637</v>
      </c>
      <c r="J232" s="38" t="str">
        <f ca="1">IFERROR(__xludf.DUMMYFUNCTION("""COMPUTED_VALUE"""),"sebastian.parrella@gmail.com")</f>
        <v>sebastian.parrella@gmail.com</v>
      </c>
      <c r="K232" s="38" t="str">
        <f ca="1">IFERROR(__xludf.DUMMYFUNCTION("""COMPUTED_VALUE"""),"Masculino")</f>
        <v>Masculino</v>
      </c>
      <c r="L232" s="38" t="str">
        <f ca="1">IFERROR(__xludf.DUMMYFUNCTION("""COMPUTED_VALUE"""),"YCCN")</f>
        <v>YCCN</v>
      </c>
      <c r="M232" s="38"/>
      <c r="N232" s="6" t="str">
        <f ca="1">IFERROR(__xludf.DUMMYFUNCTION("""COMPUTED_VALUE"""),"OPTIMIST TIMONELES")</f>
        <v>OPTIMIST TIMONELES</v>
      </c>
      <c r="O232" s="6"/>
      <c r="P232" s="6">
        <f ca="1">IFERROR(__xludf.DUMMYFUNCTION("""COMPUTED_VALUE"""),3490)</f>
        <v>3490</v>
      </c>
      <c r="Q232" s="38"/>
      <c r="R232" s="38"/>
      <c r="S232" s="38"/>
      <c r="T232" s="38"/>
      <c r="U232" s="38"/>
      <c r="V232" s="38"/>
      <c r="W232" s="38"/>
      <c r="X232" s="40" t="str">
        <f ca="1">IFERROR(__xludf.DUMMYFUNCTION("""COMPUTED_VALUE"""),"Osde")</f>
        <v>Osde</v>
      </c>
      <c r="Y232" s="6" t="str">
        <f ca="1">IFERROR(__xludf.DUMMYFUNCTION("""COMPUTED_VALUE"""),"No")</f>
        <v>No</v>
      </c>
      <c r="Z232" s="38" t="str">
        <f ca="1">IFERROR(__xludf.DUMMYFUNCTION("""COMPUTED_VALUE"""),"Acepto")</f>
        <v>Acepto</v>
      </c>
      <c r="AA232" s="38" t="str">
        <f ca="1">IFERROR(__xludf.DUMMYFUNCTION("""COMPUTED_VALUE"""),"Terminado")</f>
        <v>Terminado</v>
      </c>
      <c r="AB232" s="38">
        <f ca="1">IFERROR(__xludf.DUMMYFUNCTION("""COMPUTED_VALUE"""),50000)</f>
        <v>50000</v>
      </c>
      <c r="AC232" s="6">
        <f ca="1">IFERROR(__xludf.DUMMYFUNCTION("""COMPUTED_VALUE"""),205154)</f>
        <v>205154</v>
      </c>
      <c r="AD232" s="6" t="str">
        <f ca="1">IFERROR(__xludf.DUMMYFUNCTION("""COMPUTED_VALUE"""),"TRF 31-08")</f>
        <v>TRF 31-08</v>
      </c>
      <c r="AE232" s="6"/>
      <c r="AF232" s="6"/>
    </row>
    <row r="233" spans="1:32" ht="13.2">
      <c r="A233" s="35">
        <f ca="1">IFERROR(__xludf.DUMMYFUNCTION("""COMPUTED_VALUE"""),45533.7052874189)</f>
        <v>45533.705287418903</v>
      </c>
      <c r="B233" s="36" t="str">
        <f ca="1">IFERROR(__xludf.DUMMYFUNCTION("""COMPUTED_VALUE"""),"Agustín ")</f>
        <v xml:space="preserve">Agustín </v>
      </c>
      <c r="C233" s="36" t="str">
        <f ca="1">IFERROR(__xludf.DUMMYFUNCTION("""COMPUTED_VALUE"""),"Pascual")</f>
        <v>Pascual</v>
      </c>
      <c r="D233" s="36" t="str">
        <f ca="1">IFERROR(__xludf.DUMMYFUNCTION("""COMPUTED_VALUE"""),"Caba")</f>
        <v>Caba</v>
      </c>
      <c r="E233" s="38" t="str">
        <f ca="1">IFERROR(__xludf.DUMMYFUNCTION("""COMPUTED_VALUE"""),"ARG")</f>
        <v>ARG</v>
      </c>
      <c r="F233" s="38">
        <f ca="1">IFERROR(__xludf.DUMMYFUNCTION("""COMPUTED_VALUE"""),34263472)</f>
        <v>34263472</v>
      </c>
      <c r="G233" s="37">
        <f ca="1">IFERROR(__xludf.DUMMYFUNCTION("""COMPUTED_VALUE"""),32573)</f>
        <v>32573</v>
      </c>
      <c r="H233" s="38">
        <f ca="1">IFERROR(__xludf.DUMMYFUNCTION("""COMPUTED_VALUE"""),1135012888)</f>
        <v>1135012888</v>
      </c>
      <c r="I233" s="38"/>
      <c r="J233" s="38" t="str">
        <f ca="1">IFERROR(__xludf.DUMMYFUNCTION("""COMPUTED_VALUE"""),"juan_agustin09@hotmail.com")</f>
        <v>juan_agustin09@hotmail.com</v>
      </c>
      <c r="K233" s="38" t="str">
        <f ca="1">IFERROR(__xludf.DUMMYFUNCTION("""COMPUTED_VALUE"""),"Masculino")</f>
        <v>Masculino</v>
      </c>
      <c r="L233" s="38" t="str">
        <f ca="1">IFERROR(__xludf.DUMMYFUNCTION("""COMPUTED_VALUE"""),"YCO")</f>
        <v>YCO</v>
      </c>
      <c r="M233" s="38"/>
      <c r="N233" s="6" t="str">
        <f ca="1">IFERROR(__xludf.DUMMYFUNCTION("""COMPUTED_VALUE"""),"ILCA 7")</f>
        <v>ILCA 7</v>
      </c>
      <c r="O233" s="6"/>
      <c r="P233" s="6">
        <f ca="1">IFERROR(__xludf.DUMMYFUNCTION("""COMPUTED_VALUE"""),218079)</f>
        <v>218079</v>
      </c>
      <c r="Q233" s="38"/>
      <c r="R233" s="38"/>
      <c r="S233" s="38"/>
      <c r="T233" s="38"/>
      <c r="U233" s="38"/>
      <c r="V233" s="38"/>
      <c r="W233" s="38"/>
      <c r="X233" s="40"/>
      <c r="Y233" s="6" t="str">
        <f ca="1">IFERROR(__xludf.DUMMYFUNCTION("""COMPUTED_VALUE"""),"Si")</f>
        <v>Si</v>
      </c>
      <c r="Z233" s="38" t="str">
        <f ca="1">IFERROR(__xludf.DUMMYFUNCTION("""COMPUTED_VALUE"""),"Acepto")</f>
        <v>Acepto</v>
      </c>
      <c r="AA233" s="38" t="str">
        <f ca="1">IFERROR(__xludf.DUMMYFUNCTION("""COMPUTED_VALUE"""),"Pendiente")</f>
        <v>Pendiente</v>
      </c>
      <c r="AB233" s="38"/>
      <c r="AC233" s="6"/>
      <c r="AD233" s="6"/>
      <c r="AE233" s="6"/>
      <c r="AF233" s="6"/>
    </row>
    <row r="234" spans="1:32" ht="13.2">
      <c r="A234" s="35">
        <f ca="1">IFERROR(__xludf.DUMMYFUNCTION("""COMPUTED_VALUE"""),45533.7060884953)</f>
        <v>45533.706088495303</v>
      </c>
      <c r="B234" s="36" t="str">
        <f ca="1">IFERROR(__xludf.DUMMYFUNCTION("""COMPUTED_VALUE"""),"Agustin")</f>
        <v>Agustin</v>
      </c>
      <c r="C234" s="36" t="str">
        <f ca="1">IFERROR(__xludf.DUMMYFUNCTION("""COMPUTED_VALUE"""),"Pascual")</f>
        <v>Pascual</v>
      </c>
      <c r="D234" s="36" t="str">
        <f ca="1">IFERROR(__xludf.DUMMYFUNCTION("""COMPUTED_VALUE"""),"Caba")</f>
        <v>Caba</v>
      </c>
      <c r="E234" s="38" t="str">
        <f ca="1">IFERROR(__xludf.DUMMYFUNCTION("""COMPUTED_VALUE"""),"ARG")</f>
        <v>ARG</v>
      </c>
      <c r="F234" s="38">
        <f ca="1">IFERROR(__xludf.DUMMYFUNCTION("""COMPUTED_VALUE"""),34263472)</f>
        <v>34263472</v>
      </c>
      <c r="G234" s="37">
        <f ca="1">IFERROR(__xludf.DUMMYFUNCTION("""COMPUTED_VALUE"""),32573)</f>
        <v>32573</v>
      </c>
      <c r="H234" s="38">
        <f ca="1">IFERROR(__xludf.DUMMYFUNCTION("""COMPUTED_VALUE"""),1135012888)</f>
        <v>1135012888</v>
      </c>
      <c r="I234" s="38"/>
      <c r="J234" s="38" t="str">
        <f ca="1">IFERROR(__xludf.DUMMYFUNCTION("""COMPUTED_VALUE"""),"juan_agustin09@hotmail.com ")</f>
        <v xml:space="preserve">juan_agustin09@hotmail.com </v>
      </c>
      <c r="K234" s="38" t="str">
        <f ca="1">IFERROR(__xludf.DUMMYFUNCTION("""COMPUTED_VALUE"""),"Masculino")</f>
        <v>Masculino</v>
      </c>
      <c r="L234" s="38" t="str">
        <f ca="1">IFERROR(__xludf.DUMMYFUNCTION("""COMPUTED_VALUE"""),"YCO")</f>
        <v>YCO</v>
      </c>
      <c r="M234" s="38"/>
      <c r="N234" s="6" t="str">
        <f ca="1">IFERROR(__xludf.DUMMYFUNCTION("""COMPUTED_VALUE"""),"WING FOIL")</f>
        <v>WING FOIL</v>
      </c>
      <c r="O234" s="6"/>
      <c r="P234" s="6">
        <f ca="1">IFERROR(__xludf.DUMMYFUNCTION("""COMPUTED_VALUE"""),79)</f>
        <v>79</v>
      </c>
      <c r="Q234" s="38"/>
      <c r="R234" s="38"/>
      <c r="S234" s="38"/>
      <c r="T234" s="38"/>
      <c r="U234" s="38"/>
      <c r="V234" s="38"/>
      <c r="W234" s="38"/>
      <c r="X234" s="40"/>
      <c r="Y234" s="6" t="str">
        <f ca="1">IFERROR(__xludf.DUMMYFUNCTION("""COMPUTED_VALUE"""),"Si")</f>
        <v>Si</v>
      </c>
      <c r="Z234" s="38" t="str">
        <f ca="1">IFERROR(__xludf.DUMMYFUNCTION("""COMPUTED_VALUE"""),"Acepto")</f>
        <v>Acepto</v>
      </c>
      <c r="AA234" s="38" t="str">
        <f ca="1">IFERROR(__xludf.DUMMYFUNCTION("""COMPUTED_VALUE"""),"Pendiente")</f>
        <v>Pendiente</v>
      </c>
      <c r="AB234" s="38"/>
      <c r="AC234" s="6"/>
      <c r="AD234" s="6"/>
      <c r="AE234" s="6"/>
      <c r="AF234" s="6"/>
    </row>
    <row r="235" spans="1:32" ht="13.2">
      <c r="A235" s="35">
        <f ca="1">IFERROR(__xludf.DUMMYFUNCTION("""COMPUTED_VALUE"""),45534.7078764351)</f>
        <v>45534.707876435103</v>
      </c>
      <c r="B235" s="36" t="str">
        <f ca="1">IFERROR(__xludf.DUMMYFUNCTION("""COMPUTED_VALUE"""),"Antonella")</f>
        <v>Antonella</v>
      </c>
      <c r="C235" s="36" t="str">
        <f ca="1">IFERROR(__xludf.DUMMYFUNCTION("""COMPUTED_VALUE"""),"Pastori")</f>
        <v>Pastori</v>
      </c>
      <c r="D235" s="36" t="str">
        <f ca="1">IFERROR(__xludf.DUMMYFUNCTION("""COMPUTED_VALUE"""),"La Plata")</f>
        <v>La Plata</v>
      </c>
      <c r="E235" s="38" t="str">
        <f ca="1">IFERROR(__xludf.DUMMYFUNCTION("""COMPUTED_VALUE"""),"ARG")</f>
        <v>ARG</v>
      </c>
      <c r="F235" s="38">
        <f ca="1">IFERROR(__xludf.DUMMYFUNCTION("""COMPUTED_VALUE"""),51261460)</f>
        <v>51261460</v>
      </c>
      <c r="G235" s="37">
        <f ca="1">IFERROR(__xludf.DUMMYFUNCTION("""COMPUTED_VALUE"""),40791)</f>
        <v>40791</v>
      </c>
      <c r="H235" s="38">
        <f ca="1">IFERROR(__xludf.DUMMYFUNCTION("""COMPUTED_VALUE"""),2216145790)</f>
        <v>2216145790</v>
      </c>
      <c r="I235" s="38">
        <f ca="1">IFERROR(__xludf.DUMMYFUNCTION("""COMPUTED_VALUE"""),2216145790)</f>
        <v>2216145790</v>
      </c>
      <c r="J235" s="38" t="str">
        <f ca="1">IFERROR(__xludf.DUMMYFUNCTION("""COMPUTED_VALUE"""),"mpaulavelazco@gmail.com")</f>
        <v>mpaulavelazco@gmail.com</v>
      </c>
      <c r="K235" s="38" t="str">
        <f ca="1">IFERROR(__xludf.DUMMYFUNCTION("""COMPUTED_VALUE"""),"Femenino")</f>
        <v>Femenino</v>
      </c>
      <c r="L235" s="38" t="str">
        <f ca="1">IFERROR(__xludf.DUMMYFUNCTION("""COMPUTED_VALUE"""),"CRLP")</f>
        <v>CRLP</v>
      </c>
      <c r="M235" s="38" t="str">
        <f ca="1">IFERROR(__xludf.DUMMYFUNCTION("""COMPUTED_VALUE"""),"Femenino, Principiantes Optimist ")</f>
        <v xml:space="preserve">Femenino, Principiantes Optimist </v>
      </c>
      <c r="N235" s="6" t="str">
        <f ca="1">IFERROR(__xludf.DUMMYFUNCTION("""COMPUTED_VALUE"""),"OPTIMIST PRINCIPIANTES")</f>
        <v>OPTIMIST PRINCIPIANTES</v>
      </c>
      <c r="O235" s="6"/>
      <c r="P235" s="6">
        <f ca="1">IFERROR(__xludf.DUMMYFUNCTION("""COMPUTED_VALUE"""),3286)</f>
        <v>3286</v>
      </c>
      <c r="Q235" s="38"/>
      <c r="R235" s="38"/>
      <c r="S235" s="38"/>
      <c r="T235" s="38"/>
      <c r="U235" s="38"/>
      <c r="V235" s="38"/>
      <c r="W235" s="38"/>
      <c r="X235" s="40" t="str">
        <f ca="1">IFERROR(__xludf.DUMMYFUNCTION("""COMPUTED_VALUE"""),"IOMA K255203229/02")</f>
        <v>IOMA K255203229/02</v>
      </c>
      <c r="Y235" s="6" t="str">
        <f ca="1">IFERROR(__xludf.DUMMYFUNCTION("""COMPUTED_VALUE"""),"Si")</f>
        <v>Si</v>
      </c>
      <c r="Z235" s="38" t="str">
        <f ca="1">IFERROR(__xludf.DUMMYFUNCTION("""COMPUTED_VALUE"""),"Acepto")</f>
        <v>Acepto</v>
      </c>
      <c r="AA235" s="38" t="str">
        <f ca="1">IFERROR(__xludf.DUMMYFUNCTION("""COMPUTED_VALUE"""),"Terminado")</f>
        <v>Terminado</v>
      </c>
      <c r="AB235" s="38">
        <f ca="1">IFERROR(__xludf.DUMMYFUNCTION("""COMPUTED_VALUE"""),50000)</f>
        <v>50000</v>
      </c>
      <c r="AC235" s="6">
        <f ca="1">IFERROR(__xludf.DUMMYFUNCTION("""COMPUTED_VALUE"""),205122)</f>
        <v>205122</v>
      </c>
      <c r="AD235" s="6" t="str">
        <f ca="1">IFERROR(__xludf.DUMMYFUNCTION("""COMPUTED_VALUE"""),"TRF 30-08")</f>
        <v>TRF 30-08</v>
      </c>
      <c r="AE235" s="6"/>
      <c r="AF235" s="6"/>
    </row>
    <row r="236" spans="1:32" ht="13.2">
      <c r="A236" s="35">
        <f ca="1">IFERROR(__xludf.DUMMYFUNCTION("""COMPUTED_VALUE"""),45539.7980787037)</f>
        <v>45539.798078703701</v>
      </c>
      <c r="B236" s="36" t="str">
        <f ca="1">IFERROR(__xludf.DUMMYFUNCTION("""COMPUTED_VALUE"""),"Sergio")</f>
        <v>Sergio</v>
      </c>
      <c r="C236" s="36" t="str">
        <f ca="1">IFERROR(__xludf.DUMMYFUNCTION("""COMPUTED_VALUE"""),"Pendola")</f>
        <v>Pendola</v>
      </c>
      <c r="D236" s="36" t="str">
        <f ca="1">IFERROR(__xludf.DUMMYFUNCTION("""COMPUTED_VALUE"""),"Olivos")</f>
        <v>Olivos</v>
      </c>
      <c r="E236" s="38" t="str">
        <f ca="1">IFERROR(__xludf.DUMMYFUNCTION("""COMPUTED_VALUE"""),"ARG")</f>
        <v>ARG</v>
      </c>
      <c r="F236" s="38">
        <f ca="1">IFERROR(__xludf.DUMMYFUNCTION("""COMPUTED_VALUE"""),16124480)</f>
        <v>16124480</v>
      </c>
      <c r="G236" s="37">
        <f ca="1">IFERROR(__xludf.DUMMYFUNCTION("""COMPUTED_VALUE"""),22682)</f>
        <v>22682</v>
      </c>
      <c r="H236" s="38">
        <f ca="1">IFERROR(__xludf.DUMMYFUNCTION("""COMPUTED_VALUE"""),1170750777)</f>
        <v>1170750777</v>
      </c>
      <c r="I236" s="38"/>
      <c r="J236" s="38" t="str">
        <f ca="1">IFERROR(__xludf.DUMMYFUNCTION("""COMPUTED_VALUE"""),"sependola@gmail.com")</f>
        <v>sependola@gmail.com</v>
      </c>
      <c r="K236" s="38" t="str">
        <f ca="1">IFERROR(__xludf.DUMMYFUNCTION("""COMPUTED_VALUE"""),"Masculino")</f>
        <v>Masculino</v>
      </c>
      <c r="L236" s="38" t="str">
        <f ca="1">IFERROR(__xludf.DUMMYFUNCTION("""COMPUTED_VALUE"""),"CNO")</f>
        <v>CNO</v>
      </c>
      <c r="M236" s="38" t="str">
        <f ca="1">IFERROR(__xludf.DUMMYFUNCTION("""COMPUTED_VALUE"""),"Corintians")</f>
        <v>Corintians</v>
      </c>
      <c r="N236" s="6" t="str">
        <f ca="1">IFERROR(__xludf.DUMMYFUNCTION("""COMPUTED_VALUE"""),"J 70")</f>
        <v>J 70</v>
      </c>
      <c r="O236" s="6">
        <f ca="1">IFERROR(__xludf.DUMMYFUNCTION("""COMPUTED_VALUE"""),13)</f>
        <v>13</v>
      </c>
      <c r="P236" s="6" t="str">
        <f ca="1">IFERROR(__xludf.DUMMYFUNCTION("""COMPUTED_VALUE"""),"ARG1199")</f>
        <v>ARG1199</v>
      </c>
      <c r="Q236" s="38" t="str">
        <f ca="1">IFERROR(__xludf.DUMMYFUNCTION("""COMPUTED_VALUE"""),"Cacique")</f>
        <v>Cacique</v>
      </c>
      <c r="R236" s="38" t="str">
        <f ca="1">IFERROR(__xludf.DUMMYFUNCTION("""COMPUTED_VALUE"""),"Juan Lupo")</f>
        <v>Juan Lupo</v>
      </c>
      <c r="S236" s="38" t="str">
        <f ca="1">IFERROR(__xludf.DUMMYFUNCTION("""COMPUTED_VALUE"""),"Diego Belli")</f>
        <v>Diego Belli</v>
      </c>
      <c r="T236" s="38" t="str">
        <f ca="1">IFERROR(__xludf.DUMMYFUNCTION("""COMPUTED_VALUE"""),"Agustin Cristiano")</f>
        <v>Agustin Cristiano</v>
      </c>
      <c r="U236" s="38"/>
      <c r="V236" s="38"/>
      <c r="W236" s="38"/>
      <c r="X236" s="40"/>
      <c r="Y236" s="6" t="str">
        <f ca="1">IFERROR(__xludf.DUMMYFUNCTION("""COMPUTED_VALUE"""),"No")</f>
        <v>No</v>
      </c>
      <c r="Z236" s="38" t="str">
        <f ca="1">IFERROR(__xludf.DUMMYFUNCTION("""COMPUTED_VALUE"""),"Acepto")</f>
        <v>Acepto</v>
      </c>
      <c r="AA236" s="38" t="str">
        <f ca="1">IFERROR(__xludf.DUMMYFUNCTION("""COMPUTED_VALUE"""),"Terminado")</f>
        <v>Terminado</v>
      </c>
      <c r="AB236" s="38">
        <f ca="1">IFERROR(__xludf.DUMMYFUNCTION("""COMPUTED_VALUE"""),80000)</f>
        <v>80000</v>
      </c>
      <c r="AC236" s="6">
        <f ca="1">IFERROR(__xludf.DUMMYFUNCTION("""COMPUTED_VALUE"""),205546)</f>
        <v>205546</v>
      </c>
      <c r="AD236" s="6" t="str">
        <f ca="1">IFERROR(__xludf.DUMMYFUNCTION("""COMPUTED_VALUE"""),"TRF 06-09")</f>
        <v>TRF 06-09</v>
      </c>
      <c r="AE236" s="6"/>
      <c r="AF236" s="6"/>
    </row>
    <row r="237" spans="1:32" ht="13.2">
      <c r="A237" s="35">
        <f ca="1">IFERROR(__xludf.DUMMYFUNCTION("""COMPUTED_VALUE"""),45534.3991962731)</f>
        <v>45534.399196273102</v>
      </c>
      <c r="B237" s="36" t="str">
        <f ca="1">IFERROR(__xludf.DUMMYFUNCTION("""COMPUTED_VALUE"""),"matias ")</f>
        <v xml:space="preserve">matias </v>
      </c>
      <c r="C237" s="36" t="str">
        <f ca="1">IFERROR(__xludf.DUMMYFUNCTION("""COMPUTED_VALUE"""),"pereira")</f>
        <v>pereira</v>
      </c>
      <c r="D237" s="36" t="str">
        <f ca="1">IFERROR(__xludf.DUMMYFUNCTION("""COMPUTED_VALUE"""),"bs as")</f>
        <v>bs as</v>
      </c>
      <c r="E237" s="38" t="str">
        <f ca="1">IFERROR(__xludf.DUMMYFUNCTION("""COMPUTED_VALUE"""),"ARG")</f>
        <v>ARG</v>
      </c>
      <c r="F237" s="38">
        <f ca="1">IFERROR(__xludf.DUMMYFUNCTION("""COMPUTED_VALUE"""),23804215)</f>
        <v>23804215</v>
      </c>
      <c r="G237" s="37">
        <f ca="1">IFERROR(__xludf.DUMMYFUNCTION("""COMPUTED_VALUE"""),27102)</f>
        <v>27102</v>
      </c>
      <c r="H237" s="38">
        <f ca="1">IFERROR(__xludf.DUMMYFUNCTION("""COMPUTED_VALUE"""),58791952)</f>
        <v>58791952</v>
      </c>
      <c r="I237" s="38"/>
      <c r="J237" s="38" t="str">
        <f ca="1">IFERROR(__xludf.DUMMYFUNCTION("""COMPUTED_VALUE"""),"lozanoedgardo@gmail.com")</f>
        <v>lozanoedgardo@gmail.com</v>
      </c>
      <c r="K237" s="38" t="str">
        <f ca="1">IFERROR(__xludf.DUMMYFUNCTION("""COMPUTED_VALUE"""),"Masculino")</f>
        <v>Masculino</v>
      </c>
      <c r="L237" s="38" t="str">
        <f ca="1">IFERROR(__xludf.DUMMYFUNCTION("""COMPUTED_VALUE"""),"cno")</f>
        <v>cno</v>
      </c>
      <c r="M237" s="38"/>
      <c r="N237" s="6" t="str">
        <f ca="1">IFERROR(__xludf.DUMMYFUNCTION("""COMPUTED_VALUE"""),"J 70")</f>
        <v>J 70</v>
      </c>
      <c r="O237" s="6">
        <f ca="1">IFERROR(__xludf.DUMMYFUNCTION("""COMPUTED_VALUE"""),71)</f>
        <v>71</v>
      </c>
      <c r="P237" s="6">
        <f ca="1">IFERROR(__xludf.DUMMYFUNCTION("""COMPUTED_VALUE"""),1555)</f>
        <v>1555</v>
      </c>
      <c r="Q237" s="38" t="str">
        <f ca="1">IFERROR(__xludf.DUMMYFUNCTION("""COMPUTED_VALUE"""),"blue")</f>
        <v>blue</v>
      </c>
      <c r="R237" s="38" t="str">
        <f ca="1">IFERROR(__xludf.DUMMYFUNCTION("""COMPUTED_VALUE"""),"fernando casanello")</f>
        <v>fernando casanello</v>
      </c>
      <c r="S237" s="38" t="str">
        <f ca="1">IFERROR(__xludf.DUMMYFUNCTION("""COMPUTED_VALUE"""),"emiliano homps")</f>
        <v>emiliano homps</v>
      </c>
      <c r="T237" s="38" t="str">
        <f ca="1">IFERROR(__xludf.DUMMYFUNCTION("""COMPUTED_VALUE"""),"edgardo lozano")</f>
        <v>edgardo lozano</v>
      </c>
      <c r="U237" s="38"/>
      <c r="V237" s="38"/>
      <c r="W237" s="38"/>
      <c r="X237" s="40" t="str">
        <f ca="1">IFERROR(__xludf.DUMMYFUNCTION("""COMPUTED_VALUE"""),"osde 210")</f>
        <v>osde 210</v>
      </c>
      <c r="Y237" s="6" t="str">
        <f ca="1">IFERROR(__xludf.DUMMYFUNCTION("""COMPUTED_VALUE"""),"No")</f>
        <v>No</v>
      </c>
      <c r="Z237" s="38" t="str">
        <f ca="1">IFERROR(__xludf.DUMMYFUNCTION("""COMPUTED_VALUE"""),"Acepto")</f>
        <v>Acepto</v>
      </c>
      <c r="AA237" s="38" t="str">
        <f ca="1">IFERROR(__xludf.DUMMYFUNCTION("""COMPUTED_VALUE"""),"Terminado")</f>
        <v>Terminado</v>
      </c>
      <c r="AB237" s="38">
        <f ca="1">IFERROR(__xludf.DUMMYFUNCTION("""COMPUTED_VALUE"""),80000)</f>
        <v>80000</v>
      </c>
      <c r="AC237" s="6">
        <f ca="1">IFERROR(__xludf.DUMMYFUNCTION("""COMPUTED_VALUE"""),205090)</f>
        <v>205090</v>
      </c>
      <c r="AD237" s="6" t="str">
        <f ca="1">IFERROR(__xludf.DUMMYFUNCTION("""COMPUTED_VALUE"""),"TRF 30-08")</f>
        <v>TRF 30-08</v>
      </c>
      <c r="AE237" s="6"/>
      <c r="AF237" s="6"/>
    </row>
    <row r="238" spans="1:32" ht="13.2">
      <c r="A238" s="35">
        <f ca="1">IFERROR(__xludf.DUMMYFUNCTION("""COMPUTED_VALUE"""),45538.827486412)</f>
        <v>45538.827486412003</v>
      </c>
      <c r="B238" s="36" t="str">
        <f ca="1">IFERROR(__xludf.DUMMYFUNCTION("""COMPUTED_VALUE"""),"Bautista ")</f>
        <v xml:space="preserve">Bautista </v>
      </c>
      <c r="C238" s="36" t="str">
        <f ca="1">IFERROR(__xludf.DUMMYFUNCTION("""COMPUTED_VALUE"""),"PEREIRO")</f>
        <v>PEREIRO</v>
      </c>
      <c r="D238" s="36" t="str">
        <f ca="1">IFERROR(__xludf.DUMMYFUNCTION("""COMPUTED_VALUE"""),"Caba")</f>
        <v>Caba</v>
      </c>
      <c r="E238" s="38" t="str">
        <f ca="1">IFERROR(__xludf.DUMMYFUNCTION("""COMPUTED_VALUE"""),"ARG")</f>
        <v>ARG</v>
      </c>
      <c r="F238" s="38">
        <f ca="1">IFERROR(__xludf.DUMMYFUNCTION("""COMPUTED_VALUE"""),51588663)</f>
        <v>51588663</v>
      </c>
      <c r="G238" s="37">
        <f ca="1">IFERROR(__xludf.DUMMYFUNCTION("""COMPUTED_VALUE"""),40893)</f>
        <v>40893</v>
      </c>
      <c r="H238" s="38">
        <f ca="1">IFERROR(__xludf.DUMMYFUNCTION("""COMPUTED_VALUE"""),1126052540)</f>
        <v>1126052540</v>
      </c>
      <c r="I238" s="38">
        <f ca="1">IFERROR(__xludf.DUMMYFUNCTION("""COMPUTED_VALUE"""),1126052540)</f>
        <v>1126052540</v>
      </c>
      <c r="J238" s="38" t="str">
        <f ca="1">IFERROR(__xludf.DUMMYFUNCTION("""COMPUTED_VALUE"""),"doloresgm@gmail.com")</f>
        <v>doloresgm@gmail.com</v>
      </c>
      <c r="K238" s="38" t="str">
        <f ca="1">IFERROR(__xludf.DUMMYFUNCTION("""COMPUTED_VALUE"""),"Masculino")</f>
        <v>Masculino</v>
      </c>
      <c r="L238" s="38" t="str">
        <f ca="1">IFERROR(__xludf.DUMMYFUNCTION("""COMPUTED_VALUE"""),"Cuba")</f>
        <v>Cuba</v>
      </c>
      <c r="M238" s="38"/>
      <c r="N238" s="6" t="str">
        <f ca="1">IFERROR(__xludf.DUMMYFUNCTION("""COMPUTED_VALUE"""),"OPTIMIST TIMONELES")</f>
        <v>OPTIMIST TIMONELES</v>
      </c>
      <c r="O238" s="6"/>
      <c r="P238" s="6">
        <f ca="1">IFERROR(__xludf.DUMMYFUNCTION("""COMPUTED_VALUE"""),3757)</f>
        <v>3757</v>
      </c>
      <c r="Q238" s="38"/>
      <c r="R238" s="38"/>
      <c r="S238" s="38"/>
      <c r="T238" s="38"/>
      <c r="U238" s="38"/>
      <c r="V238" s="38"/>
      <c r="W238" s="38"/>
      <c r="X238" s="40" t="str">
        <f ca="1">IFERROR(__xludf.DUMMYFUNCTION("""COMPUTED_VALUE"""),"Osde")</f>
        <v>Osde</v>
      </c>
      <c r="Y238" s="6" t="str">
        <f ca="1">IFERROR(__xludf.DUMMYFUNCTION("""COMPUTED_VALUE"""),"No")</f>
        <v>No</v>
      </c>
      <c r="Z238" s="38" t="str">
        <f ca="1">IFERROR(__xludf.DUMMYFUNCTION("""COMPUTED_VALUE"""),"Acepto")</f>
        <v>Acepto</v>
      </c>
      <c r="AA238" s="38" t="str">
        <f ca="1">IFERROR(__xludf.DUMMYFUNCTION("""COMPUTED_VALUE"""),"Terminado")</f>
        <v>Terminado</v>
      </c>
      <c r="AB238" s="38">
        <f ca="1">IFERROR(__xludf.DUMMYFUNCTION("""COMPUTED_VALUE"""),50000)</f>
        <v>50000</v>
      </c>
      <c r="AC238" s="6">
        <f ca="1">IFERROR(__xludf.DUMMYFUNCTION("""COMPUTED_VALUE"""),205422)</f>
        <v>205422</v>
      </c>
      <c r="AD238" s="6" t="str">
        <f ca="1">IFERROR(__xludf.DUMMYFUNCTION("""COMPUTED_VALUE"""),"TRF 03-09")</f>
        <v>TRF 03-09</v>
      </c>
      <c r="AE238" s="6"/>
      <c r="AF238" s="6"/>
    </row>
    <row r="239" spans="1:32" ht="13.2">
      <c r="A239" s="35">
        <f ca="1">IFERROR(__xludf.DUMMYFUNCTION("""COMPUTED_VALUE"""),45540.6089248611)</f>
        <v>45540.608924861102</v>
      </c>
      <c r="B239" s="36" t="str">
        <f ca="1">IFERROR(__xludf.DUMMYFUNCTION("""COMPUTED_VALUE"""),"Juani")</f>
        <v>Juani</v>
      </c>
      <c r="C239" s="36" t="str">
        <f ca="1">IFERROR(__xludf.DUMMYFUNCTION("""COMPUTED_VALUE"""),"Pereyra")</f>
        <v>Pereyra</v>
      </c>
      <c r="D239" s="36" t="str">
        <f ca="1">IFERROR(__xludf.DUMMYFUNCTION("""COMPUTED_VALUE"""),"Buenos Aires ")</f>
        <v xml:space="preserve">Buenos Aires </v>
      </c>
      <c r="E239" s="38" t="str">
        <f ca="1">IFERROR(__xludf.DUMMYFUNCTION("""COMPUTED_VALUE"""),"ARG")</f>
        <v>ARG</v>
      </c>
      <c r="F239" s="38">
        <f ca="1">IFERROR(__xludf.DUMMYFUNCTION("""COMPUTED_VALUE"""),26282576)</f>
        <v>26282576</v>
      </c>
      <c r="G239" s="37">
        <f ca="1">IFERROR(__xludf.DUMMYFUNCTION("""COMPUTED_VALUE"""),-665383)</f>
        <v>-665383</v>
      </c>
      <c r="H239" s="38">
        <f ca="1">IFERROR(__xludf.DUMMYFUNCTION("""COMPUTED_VALUE"""),91138983581)</f>
        <v>91138983581</v>
      </c>
      <c r="I239" s="38">
        <f ca="1">IFERROR(__xludf.DUMMYFUNCTION("""COMPUTED_VALUE"""),91138983581)</f>
        <v>91138983581</v>
      </c>
      <c r="J239" s="38" t="str">
        <f ca="1">IFERROR(__xludf.DUMMYFUNCTION("""COMPUTED_VALUE"""),"juanipereyra0078@gmail.com")</f>
        <v>juanipereyra0078@gmail.com</v>
      </c>
      <c r="K239" s="38" t="str">
        <f ca="1">IFERROR(__xludf.DUMMYFUNCTION("""COMPUTED_VALUE"""),"Masculino")</f>
        <v>Masculino</v>
      </c>
      <c r="L239" s="38" t="str">
        <f ca="1">IFERROR(__xludf.DUMMYFUNCTION("""COMPUTED_VALUE"""),"CNO")</f>
        <v>CNO</v>
      </c>
      <c r="M239" s="38"/>
      <c r="N239" s="6" t="str">
        <f ca="1">IFERROR(__xludf.DUMMYFUNCTION("""COMPUTED_VALUE"""),"J 70")</f>
        <v>J 70</v>
      </c>
      <c r="O239" s="6">
        <f ca="1">IFERROR(__xludf.DUMMYFUNCTION("""COMPUTED_VALUE"""),39)</f>
        <v>39</v>
      </c>
      <c r="P239" s="6">
        <f ca="1">IFERROR(__xludf.DUMMYFUNCTION("""COMPUTED_VALUE"""),1441)</f>
        <v>1441</v>
      </c>
      <c r="Q239" s="38" t="str">
        <f ca="1">IFERROR(__xludf.DUMMYFUNCTION("""COMPUTED_VALUE"""),"Homero")</f>
        <v>Homero</v>
      </c>
      <c r="R239" s="38" t="str">
        <f ca="1">IFERROR(__xludf.DUMMYFUNCTION("""COMPUTED_VALUE"""),"Pepe bettini")</f>
        <v>Pepe bettini</v>
      </c>
      <c r="S239" s="38" t="str">
        <f ca="1">IFERROR(__xludf.DUMMYFUNCTION("""COMPUTED_VALUE"""),"Fede calabrese")</f>
        <v>Fede calabrese</v>
      </c>
      <c r="T239" s="38"/>
      <c r="U239" s="38"/>
      <c r="V239" s="38"/>
      <c r="W239" s="38"/>
      <c r="X239" s="40"/>
      <c r="Y239" s="6" t="str">
        <f ca="1">IFERROR(__xludf.DUMMYFUNCTION("""COMPUTED_VALUE"""),"No")</f>
        <v>No</v>
      </c>
      <c r="Z239" s="38" t="str">
        <f ca="1">IFERROR(__xludf.DUMMYFUNCTION("""COMPUTED_VALUE"""),"Acepto")</f>
        <v>Acepto</v>
      </c>
      <c r="AA239" s="38" t="str">
        <f ca="1">IFERROR(__xludf.DUMMYFUNCTION("""COMPUTED_VALUE"""),"Terminado")</f>
        <v>Terminado</v>
      </c>
      <c r="AB239" s="38">
        <f ca="1">IFERROR(__xludf.DUMMYFUNCTION("""COMPUTED_VALUE"""),80000)</f>
        <v>80000</v>
      </c>
      <c r="AC239" s="6">
        <f ca="1">IFERROR(__xludf.DUMMYFUNCTION("""COMPUTED_VALUE"""),205502)</f>
        <v>205502</v>
      </c>
      <c r="AD239" s="6" t="str">
        <f ca="1">IFERROR(__xludf.DUMMYFUNCTION("""COMPUTED_VALUE"""),"TRF 05-09")</f>
        <v>TRF 05-09</v>
      </c>
      <c r="AE239" s="6"/>
      <c r="AF239" s="6"/>
    </row>
    <row r="240" spans="1:32" ht="13.2">
      <c r="A240" s="35">
        <f ca="1">IFERROR(__xludf.DUMMYFUNCTION("""COMPUTED_VALUE"""),45535.7385583796)</f>
        <v>45535.738558379599</v>
      </c>
      <c r="B240" s="36" t="str">
        <f ca="1">IFERROR(__xludf.DUMMYFUNCTION("""COMPUTED_VALUE"""),"Felix ")</f>
        <v xml:space="preserve">Felix </v>
      </c>
      <c r="C240" s="36" t="str">
        <f ca="1">IFERROR(__xludf.DUMMYFUNCTION("""COMPUTED_VALUE"""),"Pereyra Iraola ")</f>
        <v xml:space="preserve">Pereyra Iraola </v>
      </c>
      <c r="D240" s="36" t="str">
        <f ca="1">IFERROR(__xludf.DUMMYFUNCTION("""COMPUTED_VALUE"""),"CABA ")</f>
        <v xml:space="preserve">CABA </v>
      </c>
      <c r="E240" s="38" t="str">
        <f ca="1">IFERROR(__xludf.DUMMYFUNCTION("""COMPUTED_VALUE"""),"ARG")</f>
        <v>ARG</v>
      </c>
      <c r="F240" s="38">
        <f ca="1">IFERROR(__xludf.DUMMYFUNCTION("""COMPUTED_VALUE"""),48462484)</f>
        <v>48462484</v>
      </c>
      <c r="G240" s="37">
        <f ca="1">IFERROR(__xludf.DUMMYFUNCTION("""COMPUTED_VALUE"""),39489)</f>
        <v>39489</v>
      </c>
      <c r="H240" s="38">
        <f ca="1">IFERROR(__xludf.DUMMYFUNCTION("""COMPUTED_VALUE"""),1167438705)</f>
        <v>1167438705</v>
      </c>
      <c r="I240" s="38">
        <f ca="1">IFERROR(__xludf.DUMMYFUNCTION("""COMPUTED_VALUE"""),1153244102)</f>
        <v>1153244102</v>
      </c>
      <c r="J240" s="38" t="str">
        <f ca="1">IFERROR(__xludf.DUMMYFUNCTION("""COMPUTED_VALUE"""),"pereyrairaolafelixd@gmail.com")</f>
        <v>pereyrairaolafelixd@gmail.com</v>
      </c>
      <c r="K240" s="38" t="str">
        <f ca="1">IFERROR(__xludf.DUMMYFUNCTION("""COMPUTED_VALUE"""),"Masculino")</f>
        <v>Masculino</v>
      </c>
      <c r="L240" s="38" t="str">
        <f ca="1">IFERROR(__xludf.DUMMYFUNCTION("""COMPUTED_VALUE"""),"YCA")</f>
        <v>YCA</v>
      </c>
      <c r="M240" s="38"/>
      <c r="N240" s="6" t="str">
        <f ca="1">IFERROR(__xludf.DUMMYFUNCTION("""COMPUTED_VALUE"""),"ILCA 4")</f>
        <v>ILCA 4</v>
      </c>
      <c r="O240" s="6"/>
      <c r="P240" s="6">
        <f ca="1">IFERROR(__xludf.DUMMYFUNCTION("""COMPUTED_VALUE"""),224775)</f>
        <v>224775</v>
      </c>
      <c r="Q240" s="38"/>
      <c r="R240" s="38"/>
      <c r="S240" s="38"/>
      <c r="T240" s="38"/>
      <c r="U240" s="38"/>
      <c r="V240" s="38"/>
      <c r="W240" s="38"/>
      <c r="X240" s="40" t="str">
        <f ca="1">IFERROR(__xludf.DUMMYFUNCTION("""COMPUTED_VALUE"""),"OSDE")</f>
        <v>OSDE</v>
      </c>
      <c r="Y240" s="6" t="str">
        <f ca="1">IFERROR(__xludf.DUMMYFUNCTION("""COMPUTED_VALUE"""),"No")</f>
        <v>No</v>
      </c>
      <c r="Z240" s="38" t="str">
        <f ca="1">IFERROR(__xludf.DUMMYFUNCTION("""COMPUTED_VALUE"""),"Acepto")</f>
        <v>Acepto</v>
      </c>
      <c r="AA240" s="38" t="str">
        <f ca="1">IFERROR(__xludf.DUMMYFUNCTION("""COMPUTED_VALUE"""),"Terminado")</f>
        <v>Terminado</v>
      </c>
      <c r="AB240" s="38">
        <f ca="1">IFERROR(__xludf.DUMMYFUNCTION("""COMPUTED_VALUE"""),45000)</f>
        <v>45000</v>
      </c>
      <c r="AC240" s="6">
        <f ca="1">IFERROR(__xludf.DUMMYFUNCTION("""COMPUTED_VALUE"""),205350)</f>
        <v>205350</v>
      </c>
      <c r="AD240" s="6" t="str">
        <f ca="1">IFERROR(__xludf.DUMMYFUNCTION("""COMPUTED_VALUE"""),"TRF 31-08")</f>
        <v>TRF 31-08</v>
      </c>
      <c r="AE240" s="6"/>
      <c r="AF240" s="6"/>
    </row>
    <row r="241" spans="1:32" ht="13.2">
      <c r="A241" s="35">
        <f ca="1">IFERROR(__xludf.DUMMYFUNCTION("""COMPUTED_VALUE"""),45535.5509412499)</f>
        <v>45535.550941249901</v>
      </c>
      <c r="B241" s="36" t="str">
        <f ca="1">IFERROR(__xludf.DUMMYFUNCTION("""COMPUTED_VALUE"""),"Juan Cruz")</f>
        <v>Juan Cruz</v>
      </c>
      <c r="C241" s="36" t="str">
        <f ca="1">IFERROR(__xludf.DUMMYFUNCTION("""COMPUTED_VALUE"""),"Perrotta")</f>
        <v>Perrotta</v>
      </c>
      <c r="D241" s="36" t="str">
        <f ca="1">IFERROR(__xludf.DUMMYFUNCTION("""COMPUTED_VALUE"""),"Buenos Aires")</f>
        <v>Buenos Aires</v>
      </c>
      <c r="E241" s="38" t="str">
        <f ca="1">IFERROR(__xludf.DUMMYFUNCTION("""COMPUTED_VALUE"""),"ARG")</f>
        <v>ARG</v>
      </c>
      <c r="F241" s="38">
        <f ca="1">IFERROR(__xludf.DUMMYFUNCTION("""COMPUTED_VALUE"""),50801005)</f>
        <v>50801005</v>
      </c>
      <c r="G241" s="37">
        <f ca="1">IFERROR(__xludf.DUMMYFUNCTION("""COMPUTED_VALUE"""),40518)</f>
        <v>40518</v>
      </c>
      <c r="H241" s="38">
        <f ca="1">IFERROR(__xludf.DUMMYFUNCTION("""COMPUTED_VALUE"""),1165019030)</f>
        <v>1165019030</v>
      </c>
      <c r="I241" s="38">
        <f ca="1">IFERROR(__xludf.DUMMYFUNCTION("""COMPUTED_VALUE"""),1165019030)</f>
        <v>1165019030</v>
      </c>
      <c r="J241" s="38" t="str">
        <f ca="1">IFERROR(__xludf.DUMMYFUNCTION("""COMPUTED_VALUE"""),"Paulacutini@gmail.comp")</f>
        <v>Paulacutini@gmail.comp</v>
      </c>
      <c r="K241" s="38" t="str">
        <f ca="1">IFERROR(__xludf.DUMMYFUNCTION("""COMPUTED_VALUE"""),"Masculino")</f>
        <v>Masculino</v>
      </c>
      <c r="L241" s="38" t="str">
        <f ca="1">IFERROR(__xludf.DUMMYFUNCTION("""COMPUTED_VALUE"""),"CNAS")</f>
        <v>CNAS</v>
      </c>
      <c r="M241" s="38"/>
      <c r="N241" s="6" t="str">
        <f ca="1">IFERROR(__xludf.DUMMYFUNCTION("""COMPUTED_VALUE"""),"OPTIMIST TIMONELES")</f>
        <v>OPTIMIST TIMONELES</v>
      </c>
      <c r="O241" s="6"/>
      <c r="P241" s="6">
        <f ca="1">IFERROR(__xludf.DUMMYFUNCTION("""COMPUTED_VALUE"""),3619)</f>
        <v>3619</v>
      </c>
      <c r="Q241" s="38"/>
      <c r="R241" s="38"/>
      <c r="S241" s="38"/>
      <c r="T241" s="38"/>
      <c r="U241" s="38"/>
      <c r="V241" s="38"/>
      <c r="W241" s="38"/>
      <c r="X241" s="40">
        <f ca="1">IFERROR(__xludf.DUMMYFUNCTION("""COMPUTED_VALUE"""),60688819404)</f>
        <v>60688819404</v>
      </c>
      <c r="Y241" s="6" t="str">
        <f ca="1">IFERROR(__xludf.DUMMYFUNCTION("""COMPUTED_VALUE"""),"Si")</f>
        <v>Si</v>
      </c>
      <c r="Z241" s="38" t="str">
        <f ca="1">IFERROR(__xludf.DUMMYFUNCTION("""COMPUTED_VALUE"""),"Acepto")</f>
        <v>Acepto</v>
      </c>
      <c r="AA241" s="38" t="str">
        <f ca="1">IFERROR(__xludf.DUMMYFUNCTION("""COMPUTED_VALUE"""),"Terminado")</f>
        <v>Terminado</v>
      </c>
      <c r="AB241" s="38">
        <f ca="1">IFERROR(__xludf.DUMMYFUNCTION("""COMPUTED_VALUE"""),60000)</f>
        <v>60000</v>
      </c>
      <c r="AC241" s="6">
        <f ca="1">IFERROR(__xludf.DUMMYFUNCTION("""COMPUTED_VALUE"""),205155)</f>
        <v>205155</v>
      </c>
      <c r="AD241" s="6" t="str">
        <f ca="1">IFERROR(__xludf.DUMMYFUNCTION("""COMPUTED_VALUE"""),"TRF 31-08")</f>
        <v>TRF 31-08</v>
      </c>
      <c r="AE241" s="6"/>
      <c r="AF241" s="6"/>
    </row>
    <row r="242" spans="1:32" ht="13.2">
      <c r="A242" s="35">
        <f ca="1">IFERROR(__xludf.DUMMYFUNCTION("""COMPUTED_VALUE"""),45534.7288179282)</f>
        <v>45534.728817928197</v>
      </c>
      <c r="B242" s="36" t="str">
        <f ca="1">IFERROR(__xludf.DUMMYFUNCTION("""COMPUTED_VALUE"""),"Luciano")</f>
        <v>Luciano</v>
      </c>
      <c r="C242" s="36" t="str">
        <f ca="1">IFERROR(__xludf.DUMMYFUNCTION("""COMPUTED_VALUE"""),"Pesci")</f>
        <v>Pesci</v>
      </c>
      <c r="D242" s="36" t="str">
        <f ca="1">IFERROR(__xludf.DUMMYFUNCTION("""COMPUTED_VALUE"""),"Cordoba")</f>
        <v>Cordoba</v>
      </c>
      <c r="E242" s="38" t="str">
        <f ca="1">IFERROR(__xludf.DUMMYFUNCTION("""COMPUTED_VALUE"""),"ARG")</f>
        <v>ARG</v>
      </c>
      <c r="F242" s="38">
        <f ca="1">IFERROR(__xludf.DUMMYFUNCTION("""COMPUTED_VALUE"""),36234715)</f>
        <v>36234715</v>
      </c>
      <c r="G242" s="37">
        <f ca="1">IFERROR(__xludf.DUMMYFUNCTION("""COMPUTED_VALUE"""),33694)</f>
        <v>33694</v>
      </c>
      <c r="H242" s="38">
        <f ca="1">IFERROR(__xludf.DUMMYFUNCTION("""COMPUTED_VALUE"""),3541621149)</f>
        <v>3541621149</v>
      </c>
      <c r="I242" s="38">
        <f ca="1">IFERROR(__xludf.DUMMYFUNCTION("""COMPUTED_VALUE"""),1140431213)</f>
        <v>1140431213</v>
      </c>
      <c r="J242" s="38" t="str">
        <f ca="1">IFERROR(__xludf.DUMMYFUNCTION("""COMPUTED_VALUE"""),"Pesci.luciano@gmail.com")</f>
        <v>Pesci.luciano@gmail.com</v>
      </c>
      <c r="K242" s="38" t="str">
        <f ca="1">IFERROR(__xludf.DUMMYFUNCTION("""COMPUTED_VALUE"""),"Masculino")</f>
        <v>Masculino</v>
      </c>
      <c r="L242" s="38" t="str">
        <f ca="1">IFERROR(__xludf.DUMMYFUNCTION("""COMPUTED_VALUE"""),"Cnc")</f>
        <v>Cnc</v>
      </c>
      <c r="M242" s="38" t="str">
        <f ca="1">IFERROR(__xludf.DUMMYFUNCTION("""COMPUTED_VALUE"""),"Mixto")</f>
        <v>Mixto</v>
      </c>
      <c r="N242" s="6" t="str">
        <f ca="1">IFERROR(__xludf.DUMMYFUNCTION("""COMPUTED_VALUE"""),"SNIPE")</f>
        <v>SNIPE</v>
      </c>
      <c r="O242" s="6"/>
      <c r="P242" s="6">
        <f ca="1">IFERROR(__xludf.DUMMYFUNCTION("""COMPUTED_VALUE"""),30599)</f>
        <v>30599</v>
      </c>
      <c r="Q242" s="38"/>
      <c r="R242" s="38" t="str">
        <f ca="1">IFERROR(__xludf.DUMMYFUNCTION("""COMPUTED_VALUE"""),"Florencia Galimberti")</f>
        <v>Florencia Galimberti</v>
      </c>
      <c r="S242" s="38"/>
      <c r="T242" s="38"/>
      <c r="U242" s="38"/>
      <c r="V242" s="38"/>
      <c r="W242" s="38"/>
      <c r="X242" s="40" t="str">
        <f ca="1">IFERROR(__xludf.DUMMYFUNCTION("""COMPUTED_VALUE"""),"Omint")</f>
        <v>Omint</v>
      </c>
      <c r="Y242" s="6" t="str">
        <f ca="1">IFERROR(__xludf.DUMMYFUNCTION("""COMPUTED_VALUE"""),"Si")</f>
        <v>Si</v>
      </c>
      <c r="Z242" s="38" t="str">
        <f ca="1">IFERROR(__xludf.DUMMYFUNCTION("""COMPUTED_VALUE"""),"Acepto")</f>
        <v>Acepto</v>
      </c>
      <c r="AA242" s="38" t="str">
        <f ca="1">IFERROR(__xludf.DUMMYFUNCTION("""COMPUTED_VALUE"""),"Terminado")</f>
        <v>Terminado</v>
      </c>
      <c r="AB242" s="38">
        <f ca="1">IFERROR(__xludf.DUMMYFUNCTION("""COMPUTED_VALUE"""),51000)</f>
        <v>51000</v>
      </c>
      <c r="AC242" s="6">
        <f ca="1">IFERROR(__xludf.DUMMYFUNCTION("""COMPUTED_VALUE"""),205364)</f>
        <v>205364</v>
      </c>
      <c r="AD242" s="6" t="str">
        <f ca="1">IFERROR(__xludf.DUMMYFUNCTION("""COMPUTED_VALUE"""),"TRF 31-08")</f>
        <v>TRF 31-08</v>
      </c>
      <c r="AE242" s="6"/>
      <c r="AF242" s="6"/>
    </row>
    <row r="243" spans="1:32" ht="13.2">
      <c r="A243" s="35">
        <f ca="1">IFERROR(__xludf.DUMMYFUNCTION("""COMPUTED_VALUE"""),45519.726206574)</f>
        <v>45519.726206574</v>
      </c>
      <c r="B243" s="36" t="str">
        <f ca="1">IFERROR(__xludf.DUMMYFUNCTION("""COMPUTED_VALUE"""),"Leon ")</f>
        <v xml:space="preserve">Leon </v>
      </c>
      <c r="C243" s="36" t="str">
        <f ca="1">IFERROR(__xludf.DUMMYFUNCTION("""COMPUTED_VALUE"""),"Pfortner")</f>
        <v>Pfortner</v>
      </c>
      <c r="D243" s="36" t="str">
        <f ca="1">IFERROR(__xludf.DUMMYFUNCTION("""COMPUTED_VALUE"""),"Buenos Aires ")</f>
        <v xml:space="preserve">Buenos Aires </v>
      </c>
      <c r="E243" s="38" t="str">
        <f ca="1">IFERROR(__xludf.DUMMYFUNCTION("""COMPUTED_VALUE"""),"ARG")</f>
        <v>ARG</v>
      </c>
      <c r="F243" s="38">
        <f ca="1">IFERROR(__xludf.DUMMYFUNCTION("""COMPUTED_VALUE"""),49193553)</f>
        <v>49193553</v>
      </c>
      <c r="G243" s="37">
        <f ca="1">IFERROR(__xludf.DUMMYFUNCTION("""COMPUTED_VALUE"""),39818)</f>
        <v>39818</v>
      </c>
      <c r="H243" s="38" t="str">
        <f ca="1">IFERROR(__xludf.DUMMYFUNCTION("""COMPUTED_VALUE"""),"‪+54 9 11 2466‑8132‬")</f>
        <v>‪+54 9 11 2466‑8132‬</v>
      </c>
      <c r="I243" s="38">
        <f ca="1">IFERROR(__xludf.DUMMYFUNCTION("""COMPUTED_VALUE"""),1554731779)</f>
        <v>1554731779</v>
      </c>
      <c r="J243" s="38" t="str">
        <f ca="1">IFERROR(__xludf.DUMMYFUNCTION("""COMPUTED_VALUE"""),"leonpfortner@gmail.com")</f>
        <v>leonpfortner@gmail.com</v>
      </c>
      <c r="K243" s="38" t="str">
        <f ca="1">IFERROR(__xludf.DUMMYFUNCTION("""COMPUTED_VALUE"""),"Masculino")</f>
        <v>Masculino</v>
      </c>
      <c r="L243" s="38" t="str">
        <f ca="1">IFERROR(__xludf.DUMMYFUNCTION("""COMPUTED_VALUE"""),"SKB")</f>
        <v>SKB</v>
      </c>
      <c r="M243" s="38" t="str">
        <f ca="1">IFERROR(__xludf.DUMMYFUNCTION("""COMPUTED_VALUE"""),"Interior (Optimist), Master (ILCA)")</f>
        <v>Interior (Optimist), Master (ILCA)</v>
      </c>
      <c r="N243" s="6" t="str">
        <f ca="1">IFERROR(__xludf.DUMMYFUNCTION("""COMPUTED_VALUE"""),"WING FOIL")</f>
        <v>WING FOIL</v>
      </c>
      <c r="O243" s="6"/>
      <c r="P243" s="6" t="str">
        <f ca="1">IFERROR(__xludf.DUMMYFUNCTION("""COMPUTED_VALUE"""),"5.5 , 5.0 , 6.0 ")</f>
        <v xml:space="preserve">5.5 , 5.0 , 6.0 </v>
      </c>
      <c r="Q243" s="38"/>
      <c r="R243" s="38" t="str">
        <f ca="1">IFERROR(__xludf.DUMMYFUNCTION("""COMPUTED_VALUE"""),"León pfortner")</f>
        <v>León pfortner</v>
      </c>
      <c r="S243" s="38"/>
      <c r="T243" s="38"/>
      <c r="U243" s="38"/>
      <c r="V243" s="38"/>
      <c r="W243" s="38"/>
      <c r="X243" s="40" t="str">
        <f ca="1">IFERROR(__xludf.DUMMYFUNCTION("""COMPUTED_VALUE"""),"Osde ")</f>
        <v xml:space="preserve">Osde </v>
      </c>
      <c r="Y243" s="6" t="str">
        <f ca="1">IFERROR(__xludf.DUMMYFUNCTION("""COMPUTED_VALUE"""),"No")</f>
        <v>No</v>
      </c>
      <c r="Z243" s="38" t="str">
        <f ca="1">IFERROR(__xludf.DUMMYFUNCTION("""COMPUTED_VALUE"""),"Acepto")</f>
        <v>Acepto</v>
      </c>
      <c r="AA243" s="38" t="str">
        <f ca="1">IFERROR(__xludf.DUMMYFUNCTION("""COMPUTED_VALUE"""),"Pendiente")</f>
        <v>Pendiente</v>
      </c>
      <c r="AB243" s="38"/>
      <c r="AC243" s="6"/>
      <c r="AD243" s="6"/>
      <c r="AE243" s="6"/>
      <c r="AF243" s="6"/>
    </row>
    <row r="244" spans="1:32" ht="13.2">
      <c r="A244" s="35">
        <f ca="1">IFERROR(__xludf.DUMMYFUNCTION("""COMPUTED_VALUE"""),45535.5105350925)</f>
        <v>45535.510535092501</v>
      </c>
      <c r="B244" s="36" t="str">
        <f ca="1">IFERROR(__xludf.DUMMYFUNCTION("""COMPUTED_VALUE"""),"Donato")</f>
        <v>Donato</v>
      </c>
      <c r="C244" s="36" t="str">
        <f ca="1">IFERROR(__xludf.DUMMYFUNCTION("""COMPUTED_VALUE"""),"Pichetti")</f>
        <v>Pichetti</v>
      </c>
      <c r="D244" s="36" t="str">
        <f ca="1">IFERROR(__xludf.DUMMYFUNCTION("""COMPUTED_VALUE"""),"Junin")</f>
        <v>Junin</v>
      </c>
      <c r="E244" s="38" t="str">
        <f ca="1">IFERROR(__xludf.DUMMYFUNCTION("""COMPUTED_VALUE"""),"ARG")</f>
        <v>ARG</v>
      </c>
      <c r="F244" s="38">
        <f ca="1">IFERROR(__xludf.DUMMYFUNCTION("""COMPUTED_VALUE"""),53218075)</f>
        <v>53218075</v>
      </c>
      <c r="G244" s="37">
        <f ca="1">IFERROR(__xludf.DUMMYFUNCTION("""COMPUTED_VALUE"""),41495)</f>
        <v>41495</v>
      </c>
      <c r="H244" s="38">
        <f ca="1">IFERROR(__xludf.DUMMYFUNCTION("""COMPUTED_VALUE"""),2364692280)</f>
        <v>2364692280</v>
      </c>
      <c r="I244" s="38">
        <f ca="1">IFERROR(__xludf.DUMMYFUNCTION("""COMPUTED_VALUE"""),2474677979)</f>
        <v>2474677979</v>
      </c>
      <c r="J244" s="38" t="str">
        <f ca="1">IFERROR(__xludf.DUMMYFUNCTION("""COMPUTED_VALUE"""),"ana.inesc@hotmail.com")</f>
        <v>ana.inesc@hotmail.com</v>
      </c>
      <c r="K244" s="38" t="str">
        <f ca="1">IFERROR(__xludf.DUMMYFUNCTION("""COMPUTED_VALUE"""),"Masculino")</f>
        <v>Masculino</v>
      </c>
      <c r="L244" s="38" t="str">
        <f ca="1">IFERROR(__xludf.DUMMYFUNCTION("""COMPUTED_VALUE"""),"CNSP")</f>
        <v>CNSP</v>
      </c>
      <c r="M244" s="38" t="str">
        <f ca="1">IFERROR(__xludf.DUMMYFUNCTION("""COMPUTED_VALUE"""),"Interior (Optimist)")</f>
        <v>Interior (Optimist)</v>
      </c>
      <c r="N244" s="6" t="str">
        <f ca="1">IFERROR(__xludf.DUMMYFUNCTION("""COMPUTED_VALUE"""),"OPTIMIST TIMONELES")</f>
        <v>OPTIMIST TIMONELES</v>
      </c>
      <c r="O244" s="6"/>
      <c r="P244" s="6">
        <f ca="1">IFERROR(__xludf.DUMMYFUNCTION("""COMPUTED_VALUE"""),4042)</f>
        <v>4042</v>
      </c>
      <c r="Q244" s="38"/>
      <c r="R244" s="38"/>
      <c r="S244" s="38"/>
      <c r="T244" s="38"/>
      <c r="U244" s="38"/>
      <c r="V244" s="38"/>
      <c r="W244" s="38"/>
      <c r="X244" s="40" t="str">
        <f ca="1">IFERROR(__xludf.DUMMYFUNCTION("""COMPUTED_VALUE"""),"OSDE ")</f>
        <v xml:space="preserve">OSDE </v>
      </c>
      <c r="Y244" s="6" t="str">
        <f ca="1">IFERROR(__xludf.DUMMYFUNCTION("""COMPUTED_VALUE"""),"Si")</f>
        <v>Si</v>
      </c>
      <c r="Z244" s="38" t="str">
        <f ca="1">IFERROR(__xludf.DUMMYFUNCTION("""COMPUTED_VALUE"""),"Acepto")</f>
        <v>Acepto</v>
      </c>
      <c r="AA244" s="38" t="str">
        <f ca="1">IFERROR(__xludf.DUMMYFUNCTION("""COMPUTED_VALUE"""),"Terminado")</f>
        <v>Terminado</v>
      </c>
      <c r="AB244" s="38">
        <f ca="1">IFERROR(__xludf.DUMMYFUNCTION("""COMPUTED_VALUE"""),42500)</f>
        <v>42500</v>
      </c>
      <c r="AC244" s="6">
        <f ca="1">IFERROR(__xludf.DUMMYFUNCTION("""COMPUTED_VALUE"""),205382)</f>
        <v>205382</v>
      </c>
      <c r="AD244" s="6" t="str">
        <f ca="1">IFERROR(__xludf.DUMMYFUNCTION("""COMPUTED_VALUE"""),"TRF 02-09")</f>
        <v>TRF 02-09</v>
      </c>
      <c r="AE244" s="6"/>
      <c r="AF244" s="6"/>
    </row>
    <row r="245" spans="1:32" ht="13.2">
      <c r="A245" s="35">
        <f ca="1">IFERROR(__xludf.DUMMYFUNCTION("""COMPUTED_VALUE"""),45535.5803847685)</f>
        <v>45535.580384768502</v>
      </c>
      <c r="B245" s="36" t="str">
        <f ca="1">IFERROR(__xludf.DUMMYFUNCTION("""COMPUTED_VALUE"""),"Gino")</f>
        <v>Gino</v>
      </c>
      <c r="C245" s="36" t="str">
        <f ca="1">IFERROR(__xludf.DUMMYFUNCTION("""COMPUTED_VALUE"""),"Pichetti")</f>
        <v>Pichetti</v>
      </c>
      <c r="D245" s="36" t="str">
        <f ca="1">IFERROR(__xludf.DUMMYFUNCTION("""COMPUTED_VALUE"""),"Junín ")</f>
        <v xml:space="preserve">Junín </v>
      </c>
      <c r="E245" s="38" t="str">
        <f ca="1">IFERROR(__xludf.DUMMYFUNCTION("""COMPUTED_VALUE"""),"ARG")</f>
        <v>ARG</v>
      </c>
      <c r="F245" s="38">
        <f ca="1">IFERROR(__xludf.DUMMYFUNCTION("""COMPUTED_VALUE"""),50668849)</f>
        <v>50668849</v>
      </c>
      <c r="G245" s="37">
        <f ca="1">IFERROR(__xludf.DUMMYFUNCTION("""COMPUTED_VALUE"""),40546)</f>
        <v>40546</v>
      </c>
      <c r="H245" s="38">
        <f ca="1">IFERROR(__xludf.DUMMYFUNCTION("""COMPUTED_VALUE"""),2364692280)</f>
        <v>2364692280</v>
      </c>
      <c r="I245" s="38">
        <f ca="1">IFERROR(__xludf.DUMMYFUNCTION("""COMPUTED_VALUE"""),2474677979)</f>
        <v>2474677979</v>
      </c>
      <c r="J245" s="38" t="str">
        <f ca="1">IFERROR(__xludf.DUMMYFUNCTION("""COMPUTED_VALUE"""),"ana.inesc@hotmail.com ")</f>
        <v xml:space="preserve">ana.inesc@hotmail.com </v>
      </c>
      <c r="K245" s="38" t="str">
        <f ca="1">IFERROR(__xludf.DUMMYFUNCTION("""COMPUTED_VALUE"""),"Masculino")</f>
        <v>Masculino</v>
      </c>
      <c r="L245" s="38" t="str">
        <f ca="1">IFERROR(__xludf.DUMMYFUNCTION("""COMPUTED_VALUE"""),"CNSP")</f>
        <v>CNSP</v>
      </c>
      <c r="M245" s="38" t="str">
        <f ca="1">IFERROR(__xludf.DUMMYFUNCTION("""COMPUTED_VALUE"""),"Interior (Optimist)")</f>
        <v>Interior (Optimist)</v>
      </c>
      <c r="N245" s="6" t="str">
        <f ca="1">IFERROR(__xludf.DUMMYFUNCTION("""COMPUTED_VALUE"""),"OPTIMIST TIMONELES")</f>
        <v>OPTIMIST TIMONELES</v>
      </c>
      <c r="O245" s="6"/>
      <c r="P245" s="6">
        <f ca="1">IFERROR(__xludf.DUMMYFUNCTION("""COMPUTED_VALUE"""),4052)</f>
        <v>4052</v>
      </c>
      <c r="Q245" s="38"/>
      <c r="R245" s="38"/>
      <c r="S245" s="38"/>
      <c r="T245" s="38"/>
      <c r="U245" s="38"/>
      <c r="V245" s="38"/>
      <c r="W245" s="38"/>
      <c r="X245" s="40" t="str">
        <f ca="1">IFERROR(__xludf.DUMMYFUNCTION("""COMPUTED_VALUE"""),"OSDE")</f>
        <v>OSDE</v>
      </c>
      <c r="Y245" s="6" t="str">
        <f ca="1">IFERROR(__xludf.DUMMYFUNCTION("""COMPUTED_VALUE"""),"Si")</f>
        <v>Si</v>
      </c>
      <c r="Z245" s="38" t="str">
        <f ca="1">IFERROR(__xludf.DUMMYFUNCTION("""COMPUTED_VALUE"""),"Acepto")</f>
        <v>Acepto</v>
      </c>
      <c r="AA245" s="38" t="str">
        <f ca="1">IFERROR(__xludf.DUMMYFUNCTION("""COMPUTED_VALUE"""),"Terminado")</f>
        <v>Terminado</v>
      </c>
      <c r="AB245" s="38">
        <f ca="1">IFERROR(__xludf.DUMMYFUNCTION("""COMPUTED_VALUE"""),42500)</f>
        <v>42500</v>
      </c>
      <c r="AC245" s="6">
        <f ca="1">IFERROR(__xludf.DUMMYFUNCTION("""COMPUTED_VALUE"""),205381)</f>
        <v>205381</v>
      </c>
      <c r="AD245" s="6" t="str">
        <f ca="1">IFERROR(__xludf.DUMMYFUNCTION("""COMPUTED_VALUE"""),"TRF 02-09")</f>
        <v>TRF 02-09</v>
      </c>
      <c r="AE245" s="6"/>
      <c r="AF245" s="6"/>
    </row>
    <row r="246" spans="1:32" ht="13.2">
      <c r="A246" s="35">
        <f ca="1">IFERROR(__xludf.DUMMYFUNCTION("""COMPUTED_VALUE"""),45534.7861977546)</f>
        <v>45534.786197754598</v>
      </c>
      <c r="B246" s="36" t="str">
        <f ca="1">IFERROR(__xludf.DUMMYFUNCTION("""COMPUTED_VALUE"""),"Dante")</f>
        <v>Dante</v>
      </c>
      <c r="C246" s="36" t="str">
        <f ca="1">IFERROR(__xludf.DUMMYFUNCTION("""COMPUTED_VALUE"""),"Pierson")</f>
        <v>Pierson</v>
      </c>
      <c r="D246" s="36" t="str">
        <f ca="1">IFERROR(__xludf.DUMMYFUNCTION("""COMPUTED_VALUE"""),"Rosario")</f>
        <v>Rosario</v>
      </c>
      <c r="E246" s="38" t="str">
        <f ca="1">IFERROR(__xludf.DUMMYFUNCTION("""COMPUTED_VALUE"""),"ARG")</f>
        <v>ARG</v>
      </c>
      <c r="F246" s="38">
        <f ca="1">IFERROR(__xludf.DUMMYFUNCTION("""COMPUTED_VALUE"""),50241942)</f>
        <v>50241942</v>
      </c>
      <c r="G246" s="37">
        <f ca="1">IFERROR(__xludf.DUMMYFUNCTION("""COMPUTED_VALUE"""),40273)</f>
        <v>40273</v>
      </c>
      <c r="H246" s="38">
        <f ca="1">IFERROR(__xludf.DUMMYFUNCTION("""COMPUTED_VALUE"""),3416987798)</f>
        <v>3416987798</v>
      </c>
      <c r="I246" s="38">
        <f ca="1">IFERROR(__xludf.DUMMYFUNCTION("""COMPUTED_VALUE"""),3416987797)</f>
        <v>3416987797</v>
      </c>
      <c r="J246" s="38" t="str">
        <f ca="1">IFERROR(__xludf.DUMMYFUNCTION("""COMPUTED_VALUE"""),"valeritacerra@gmail.com")</f>
        <v>valeritacerra@gmail.com</v>
      </c>
      <c r="K246" s="38" t="str">
        <f ca="1">IFERROR(__xludf.DUMMYFUNCTION("""COMPUTED_VALUE"""),"Masculino")</f>
        <v>Masculino</v>
      </c>
      <c r="L246" s="38" t="str">
        <f ca="1">IFERROR(__xludf.DUMMYFUNCTION("""COMPUTED_VALUE"""),"CRR")</f>
        <v>CRR</v>
      </c>
      <c r="M246" s="38" t="str">
        <f ca="1">IFERROR(__xludf.DUMMYFUNCTION("""COMPUTED_VALUE"""),"Interior (Optimist)")</f>
        <v>Interior (Optimist)</v>
      </c>
      <c r="N246" s="6" t="str">
        <f ca="1">IFERROR(__xludf.DUMMYFUNCTION("""COMPUTED_VALUE"""),"OPTIMIST TIMONELES")</f>
        <v>OPTIMIST TIMONELES</v>
      </c>
      <c r="O246" s="6"/>
      <c r="P246" s="6">
        <f ca="1">IFERROR(__xludf.DUMMYFUNCTION("""COMPUTED_VALUE"""),3999)</f>
        <v>3999</v>
      </c>
      <c r="Q246" s="38"/>
      <c r="R246" s="38"/>
      <c r="S246" s="38"/>
      <c r="T246" s="38"/>
      <c r="U246" s="38"/>
      <c r="V246" s="38"/>
      <c r="W246" s="38"/>
      <c r="X246" s="40" t="str">
        <f ca="1">IFERROR(__xludf.DUMMYFUNCTION("""COMPUTED_VALUE"""),"OSUNR 0026538900C")</f>
        <v>OSUNR 0026538900C</v>
      </c>
      <c r="Y246" s="6" t="str">
        <f ca="1">IFERROR(__xludf.DUMMYFUNCTION("""COMPUTED_VALUE"""),"No")</f>
        <v>No</v>
      </c>
      <c r="Z246" s="38" t="str">
        <f ca="1">IFERROR(__xludf.DUMMYFUNCTION("""COMPUTED_VALUE"""),"Acepto")</f>
        <v>Acepto</v>
      </c>
      <c r="AA246" s="38" t="str">
        <f ca="1">IFERROR(__xludf.DUMMYFUNCTION("""COMPUTED_VALUE"""),"Terminado")</f>
        <v>Terminado</v>
      </c>
      <c r="AB246" s="38">
        <f ca="1">IFERROR(__xludf.DUMMYFUNCTION("""COMPUTED_VALUE"""),42500)</f>
        <v>42500</v>
      </c>
      <c r="AC246" s="6">
        <f ca="1">IFERROR(__xludf.DUMMYFUNCTION("""COMPUTED_VALUE"""),205132)</f>
        <v>205132</v>
      </c>
      <c r="AD246" s="6" t="str">
        <f ca="1">IFERROR(__xludf.DUMMYFUNCTION("""COMPUTED_VALUE"""),"TRF 30-08")</f>
        <v>TRF 30-08</v>
      </c>
      <c r="AE246" s="6"/>
      <c r="AF246" s="6"/>
    </row>
    <row r="247" spans="1:32" ht="13.2">
      <c r="A247" s="35">
        <f ca="1">IFERROR(__xludf.DUMMYFUNCTION("""COMPUTED_VALUE"""),45534.5033787152)</f>
        <v>45534.503378715199</v>
      </c>
      <c r="B247" s="36" t="str">
        <f ca="1">IFERROR(__xludf.DUMMYFUNCTION("""COMPUTED_VALUE"""),"Lucio ")</f>
        <v xml:space="preserve">Lucio </v>
      </c>
      <c r="C247" s="36" t="str">
        <f ca="1">IFERROR(__xludf.DUMMYFUNCTION("""COMPUTED_VALUE"""),"Pinedo")</f>
        <v>Pinedo</v>
      </c>
      <c r="D247" s="36" t="str">
        <f ca="1">IFERROR(__xludf.DUMMYFUNCTION("""COMPUTED_VALUE"""),"La Plata ")</f>
        <v xml:space="preserve">La Plata </v>
      </c>
      <c r="E247" s="38" t="str">
        <f ca="1">IFERROR(__xludf.DUMMYFUNCTION("""COMPUTED_VALUE"""),"ARG")</f>
        <v>ARG</v>
      </c>
      <c r="F247" s="38">
        <f ca="1">IFERROR(__xludf.DUMMYFUNCTION("""COMPUTED_VALUE"""),49932072)</f>
        <v>49932072</v>
      </c>
      <c r="G247" s="37">
        <f ca="1">IFERROR(__xludf.DUMMYFUNCTION("""COMPUTED_VALUE"""),40129)</f>
        <v>40129</v>
      </c>
      <c r="H247" s="38" t="str">
        <f ca="1">IFERROR(__xludf.DUMMYFUNCTION("""COMPUTED_VALUE"""),"221 542 6584")</f>
        <v>221 542 6584</v>
      </c>
      <c r="I247" s="38" t="str">
        <f ca="1">IFERROR(__xludf.DUMMYFUNCTION("""COMPUTED_VALUE"""),"221 640 2039")</f>
        <v>221 640 2039</v>
      </c>
      <c r="J247" s="38" t="str">
        <f ca="1">IFERROR(__xludf.DUMMYFUNCTION("""COMPUTED_VALUE"""),"luciopinedo09@gmail.com")</f>
        <v>luciopinedo09@gmail.com</v>
      </c>
      <c r="K247" s="38" t="str">
        <f ca="1">IFERROR(__xludf.DUMMYFUNCTION("""COMPUTED_VALUE"""),"Masculino")</f>
        <v>Masculino</v>
      </c>
      <c r="L247" s="38" t="str">
        <f ca="1">IFERROR(__xludf.DUMMYFUNCTION("""COMPUTED_VALUE"""),"CRLP")</f>
        <v>CRLP</v>
      </c>
      <c r="M247" s="38"/>
      <c r="N247" s="6" t="str">
        <f ca="1">IFERROR(__xludf.DUMMYFUNCTION("""COMPUTED_VALUE"""),"OPTIMIST TIMONELES")</f>
        <v>OPTIMIST TIMONELES</v>
      </c>
      <c r="O247" s="6"/>
      <c r="P247" s="6">
        <f ca="1">IFERROR(__xludf.DUMMYFUNCTION("""COMPUTED_VALUE"""),3581)</f>
        <v>3581</v>
      </c>
      <c r="Q247" s="38"/>
      <c r="R247" s="38"/>
      <c r="S247" s="38"/>
      <c r="T247" s="38"/>
      <c r="U247" s="38"/>
      <c r="V247" s="38"/>
      <c r="W247" s="38"/>
      <c r="X247" s="40" t="str">
        <f ca="1">IFERROR(__xludf.DUMMYFUNCTION("""COMPUTED_VALUE"""),"IOMA/ K248929169/03")</f>
        <v>IOMA/ K248929169/03</v>
      </c>
      <c r="Y247" s="6" t="str">
        <f ca="1">IFERROR(__xludf.DUMMYFUNCTION("""COMPUTED_VALUE"""),"Si")</f>
        <v>Si</v>
      </c>
      <c r="Z247" s="38" t="str">
        <f ca="1">IFERROR(__xludf.DUMMYFUNCTION("""COMPUTED_VALUE"""),"Acepto")</f>
        <v>Acepto</v>
      </c>
      <c r="AA247" s="38" t="str">
        <f ca="1">IFERROR(__xludf.DUMMYFUNCTION("""COMPUTED_VALUE"""),"Terminado")</f>
        <v>Terminado</v>
      </c>
      <c r="AB247" s="38">
        <f ca="1">IFERROR(__xludf.DUMMYFUNCTION("""COMPUTED_VALUE"""),50000)</f>
        <v>50000</v>
      </c>
      <c r="AC247" s="6">
        <f ca="1">IFERROR(__xludf.DUMMYFUNCTION("""COMPUTED_VALUE"""),205104)</f>
        <v>205104</v>
      </c>
      <c r="AD247" s="6" t="str">
        <f ca="1">IFERROR(__xludf.DUMMYFUNCTION("""COMPUTED_VALUE"""),"TRF 30-08")</f>
        <v>TRF 30-08</v>
      </c>
      <c r="AE247" s="6"/>
      <c r="AF247" s="6"/>
    </row>
    <row r="248" spans="1:32" ht="13.2">
      <c r="A248" s="35">
        <f ca="1">IFERROR(__xludf.DUMMYFUNCTION("""COMPUTED_VALUE"""),45534.399523206)</f>
        <v>45534.399523205997</v>
      </c>
      <c r="B248" s="36" t="str">
        <f ca="1">IFERROR(__xludf.DUMMYFUNCTION("""COMPUTED_VALUE"""),"Lautaro")</f>
        <v>Lautaro</v>
      </c>
      <c r="C248" s="36" t="str">
        <f ca="1">IFERROR(__xludf.DUMMYFUNCTION("""COMPUTED_VALUE"""),"Pinedo Chiappa")</f>
        <v>Pinedo Chiappa</v>
      </c>
      <c r="D248" s="36" t="str">
        <f ca="1">IFERROR(__xludf.DUMMYFUNCTION("""COMPUTED_VALUE"""),"La Plata")</f>
        <v>La Plata</v>
      </c>
      <c r="E248" s="38" t="str">
        <f ca="1">IFERROR(__xludf.DUMMYFUNCTION("""COMPUTED_VALUE"""),"ARG")</f>
        <v>ARG</v>
      </c>
      <c r="F248" s="38">
        <f ca="1">IFERROR(__xludf.DUMMYFUNCTION("""COMPUTED_VALUE"""),51261261)</f>
        <v>51261261</v>
      </c>
      <c r="G248" s="37">
        <f ca="1">IFERROR(__xludf.DUMMYFUNCTION("""COMPUTED_VALUE"""),38961)</f>
        <v>38961</v>
      </c>
      <c r="H248" s="38" t="str">
        <f ca="1">IFERROR(__xludf.DUMMYFUNCTION("""COMPUTED_VALUE"""),"221 4196396")</f>
        <v>221 4196396</v>
      </c>
      <c r="I248" s="38" t="str">
        <f ca="1">IFERROR(__xludf.DUMMYFUNCTION("""COMPUTED_VALUE"""),"221 4196396")</f>
        <v>221 4196396</v>
      </c>
      <c r="J248" s="38" t="str">
        <f ca="1">IFERROR(__xludf.DUMMYFUNCTION("""COMPUTED_VALUE"""),"agustinpinedo@gmail.com")</f>
        <v>agustinpinedo@gmail.com</v>
      </c>
      <c r="K248" s="38" t="str">
        <f ca="1">IFERROR(__xludf.DUMMYFUNCTION("""COMPUTED_VALUE"""),"Masculino")</f>
        <v>Masculino</v>
      </c>
      <c r="L248" s="38" t="str">
        <f ca="1">IFERROR(__xludf.DUMMYFUNCTION("""COMPUTED_VALUE"""),"CRLP")</f>
        <v>CRLP</v>
      </c>
      <c r="M248" s="38" t="str">
        <f ca="1">IFERROR(__xludf.DUMMYFUNCTION("""COMPUTED_VALUE"""),"Optimist Timoneles")</f>
        <v>Optimist Timoneles</v>
      </c>
      <c r="N248" s="6" t="str">
        <f ca="1">IFERROR(__xludf.DUMMYFUNCTION("""COMPUTED_VALUE"""),"OPTIMIST TIMONELES")</f>
        <v>OPTIMIST TIMONELES</v>
      </c>
      <c r="O248" s="6"/>
      <c r="P248" s="6">
        <f ca="1">IFERROR(__xludf.DUMMYFUNCTION("""COMPUTED_VALUE"""),3070)</f>
        <v>3070</v>
      </c>
      <c r="Q248" s="38"/>
      <c r="R248" s="38"/>
      <c r="S248" s="38"/>
      <c r="T248" s="38"/>
      <c r="U248" s="38"/>
      <c r="V248" s="38"/>
      <c r="W248" s="38"/>
      <c r="X248" s="40" t="str">
        <f ca="1">IFERROR(__xludf.DUMMYFUNCTION("""COMPUTED_VALUE"""),"IOMA 2228512572703")</f>
        <v>IOMA 2228512572703</v>
      </c>
      <c r="Y248" s="6" t="str">
        <f ca="1">IFERROR(__xludf.DUMMYFUNCTION("""COMPUTED_VALUE"""),"Si")</f>
        <v>Si</v>
      </c>
      <c r="Z248" s="38" t="str">
        <f ca="1">IFERROR(__xludf.DUMMYFUNCTION("""COMPUTED_VALUE"""),"Acepto")</f>
        <v>Acepto</v>
      </c>
      <c r="AA248" s="38" t="str">
        <f ca="1">IFERROR(__xludf.DUMMYFUNCTION("""COMPUTED_VALUE"""),"Terminado")</f>
        <v>Terminado</v>
      </c>
      <c r="AB248" s="38">
        <f ca="1">IFERROR(__xludf.DUMMYFUNCTION("""COMPUTED_VALUE"""),50000)</f>
        <v>50000</v>
      </c>
      <c r="AC248" s="6">
        <f ca="1">IFERROR(__xludf.DUMMYFUNCTION("""COMPUTED_VALUE"""),205087)</f>
        <v>205087</v>
      </c>
      <c r="AD248" s="6" t="str">
        <f ca="1">IFERROR(__xludf.DUMMYFUNCTION("""COMPUTED_VALUE"""),"TRF 30-08")</f>
        <v>TRF 30-08</v>
      </c>
      <c r="AE248" s="6"/>
      <c r="AF248" s="6"/>
    </row>
    <row r="249" spans="1:32" ht="13.2">
      <c r="A249" s="35">
        <f ca="1">IFERROR(__xludf.DUMMYFUNCTION("""COMPUTED_VALUE"""),45534.410175625)</f>
        <v>45534.410175625002</v>
      </c>
      <c r="B249" s="36" t="str">
        <f ca="1">IFERROR(__xludf.DUMMYFUNCTION("""COMPUTED_VALUE"""),"Facundo")</f>
        <v>Facundo</v>
      </c>
      <c r="C249" s="36" t="str">
        <f ca="1">IFERROR(__xludf.DUMMYFUNCTION("""COMPUTED_VALUE"""),"Pinedo Chiappa")</f>
        <v>Pinedo Chiappa</v>
      </c>
      <c r="D249" s="36" t="str">
        <f ca="1">IFERROR(__xludf.DUMMYFUNCTION("""COMPUTED_VALUE"""),"La Plata")</f>
        <v>La Plata</v>
      </c>
      <c r="E249" s="38" t="str">
        <f ca="1">IFERROR(__xludf.DUMMYFUNCTION("""COMPUTED_VALUE"""),"ARG")</f>
        <v>ARG</v>
      </c>
      <c r="F249" s="38">
        <f ca="1">IFERROR(__xludf.DUMMYFUNCTION("""COMPUTED_VALUE"""),51717346)</f>
        <v>51717346</v>
      </c>
      <c r="G249" s="37">
        <f ca="1">IFERROR(__xludf.DUMMYFUNCTION("""COMPUTED_VALUE"""),38919)</f>
        <v>38919</v>
      </c>
      <c r="H249" s="38" t="str">
        <f ca="1">IFERROR(__xludf.DUMMYFUNCTION("""COMPUTED_VALUE"""),"221 4196396")</f>
        <v>221 4196396</v>
      </c>
      <c r="I249" s="38" t="str">
        <f ca="1">IFERROR(__xludf.DUMMYFUNCTION("""COMPUTED_VALUE"""),"221 4196396")</f>
        <v>221 4196396</v>
      </c>
      <c r="J249" s="38" t="str">
        <f ca="1">IFERROR(__xludf.DUMMYFUNCTION("""COMPUTED_VALUE"""),"agustinpinedo@gmail.com")</f>
        <v>agustinpinedo@gmail.com</v>
      </c>
      <c r="K249" s="38" t="str">
        <f ca="1">IFERROR(__xludf.DUMMYFUNCTION("""COMPUTED_VALUE"""),"Masculino")</f>
        <v>Masculino</v>
      </c>
      <c r="L249" s="38" t="str">
        <f ca="1">IFERROR(__xludf.DUMMYFUNCTION("""COMPUTED_VALUE"""),"CRLP")</f>
        <v>CRLP</v>
      </c>
      <c r="M249" s="38"/>
      <c r="N249" s="6" t="str">
        <f ca="1">IFERROR(__xludf.DUMMYFUNCTION("""COMPUTED_VALUE"""),"ILCA 6")</f>
        <v>ILCA 6</v>
      </c>
      <c r="O249" s="6"/>
      <c r="P249" s="6">
        <f ca="1">IFERROR(__xludf.DUMMYFUNCTION("""COMPUTED_VALUE"""),21)</f>
        <v>21</v>
      </c>
      <c r="Q249" s="38"/>
      <c r="R249" s="38"/>
      <c r="S249" s="38"/>
      <c r="T249" s="38"/>
      <c r="U249" s="38"/>
      <c r="V249" s="38"/>
      <c r="W249" s="38"/>
      <c r="X249" s="40"/>
      <c r="Y249" s="6" t="str">
        <f ca="1">IFERROR(__xludf.DUMMYFUNCTION("""COMPUTED_VALUE"""),"No")</f>
        <v>No</v>
      </c>
      <c r="Z249" s="38" t="str">
        <f ca="1">IFERROR(__xludf.DUMMYFUNCTION("""COMPUTED_VALUE"""),"Acepto")</f>
        <v>Acepto</v>
      </c>
      <c r="AA249" s="38" t="str">
        <f ca="1">IFERROR(__xludf.DUMMYFUNCTION("""COMPUTED_VALUE"""),"Parcial")</f>
        <v>Parcial</v>
      </c>
      <c r="AB249" s="38">
        <f ca="1">IFERROR(__xludf.DUMMYFUNCTION("""COMPUTED_VALUE"""),40000)</f>
        <v>40000</v>
      </c>
      <c r="AC249" s="6">
        <f ca="1">IFERROR(__xludf.DUMMYFUNCTION("""COMPUTED_VALUE"""),205089)</f>
        <v>205089</v>
      </c>
      <c r="AD249" s="6" t="str">
        <f ca="1">IFERROR(__xludf.DUMMYFUNCTION("""COMPUTED_VALUE"""),"TRF 30-08")</f>
        <v>TRF 30-08</v>
      </c>
      <c r="AE249" s="6"/>
      <c r="AF249" s="6" t="str">
        <f ca="1">IFERROR(__xludf.DUMMYFUNCTION("""COMPUTED_VALUE"""),"Debe saldo")</f>
        <v>Debe saldo</v>
      </c>
    </row>
    <row r="250" spans="1:32" ht="13.2">
      <c r="A250" s="35">
        <f ca="1">IFERROR(__xludf.DUMMYFUNCTION("""COMPUTED_VALUE"""),45536.4677509375)</f>
        <v>45536.467750937503</v>
      </c>
      <c r="B250" s="36" t="str">
        <f ca="1">IFERROR(__xludf.DUMMYFUNCTION("""COMPUTED_VALUE"""),"Matilde")</f>
        <v>Matilde</v>
      </c>
      <c r="C250" s="36" t="str">
        <f ca="1">IFERROR(__xludf.DUMMYFUNCTION("""COMPUTED_VALUE"""),"Pini Bellaubi ")</f>
        <v xml:space="preserve">Pini Bellaubi </v>
      </c>
      <c r="D250" s="36" t="str">
        <f ca="1">IFERROR(__xludf.DUMMYFUNCTION("""COMPUTED_VALUE"""),"La plata ")</f>
        <v xml:space="preserve">La plata </v>
      </c>
      <c r="E250" s="38" t="str">
        <f ca="1">IFERROR(__xludf.DUMMYFUNCTION("""COMPUTED_VALUE"""),"ARG")</f>
        <v>ARG</v>
      </c>
      <c r="F250" s="38">
        <f ca="1">IFERROR(__xludf.DUMMYFUNCTION("""COMPUTED_VALUE"""),52618403)</f>
        <v>52618403</v>
      </c>
      <c r="G250" s="37">
        <f ca="1">IFERROR(__xludf.DUMMYFUNCTION("""COMPUTED_VALUE"""),41136)</f>
        <v>41136</v>
      </c>
      <c r="H250" s="38">
        <f ca="1">IFERROR(__xludf.DUMMYFUNCTION("""COMPUTED_VALUE"""),2215229881)</f>
        <v>2215229881</v>
      </c>
      <c r="I250" s="38">
        <f ca="1">IFERROR(__xludf.DUMMYFUNCTION("""COMPUTED_VALUE"""),2214777851)</f>
        <v>2214777851</v>
      </c>
      <c r="J250" s="38" t="str">
        <f ca="1">IFERROR(__xludf.DUMMYFUNCTION("""COMPUTED_VALUE"""),"mansilla_laura@hotmail.com")</f>
        <v>mansilla_laura@hotmail.com</v>
      </c>
      <c r="K250" s="38" t="str">
        <f ca="1">IFERROR(__xludf.DUMMYFUNCTION("""COMPUTED_VALUE"""),"Femenino")</f>
        <v>Femenino</v>
      </c>
      <c r="L250" s="38" t="str">
        <f ca="1">IFERROR(__xludf.DUMMYFUNCTION("""COMPUTED_VALUE"""),"CRLP")</f>
        <v>CRLP</v>
      </c>
      <c r="M250" s="38" t="str">
        <f ca="1">IFERROR(__xludf.DUMMYFUNCTION("""COMPUTED_VALUE"""),"Interior (Optimist)")</f>
        <v>Interior (Optimist)</v>
      </c>
      <c r="N250" s="6" t="str">
        <f ca="1">IFERROR(__xludf.DUMMYFUNCTION("""COMPUTED_VALUE"""),"OPTIMIST PRINCIPIANTES")</f>
        <v>OPTIMIST PRINCIPIANTES</v>
      </c>
      <c r="O250" s="6"/>
      <c r="P250" s="6">
        <f ca="1">IFERROR(__xludf.DUMMYFUNCTION("""COMPUTED_VALUE"""),3754)</f>
        <v>3754</v>
      </c>
      <c r="Q250" s="38"/>
      <c r="R250" s="38"/>
      <c r="S250" s="38"/>
      <c r="T250" s="38"/>
      <c r="U250" s="38"/>
      <c r="V250" s="38"/>
      <c r="W250" s="38"/>
      <c r="X250" s="40" t="str">
        <f ca="1">IFERROR(__xludf.DUMMYFUNCTION("""COMPUTED_VALUE"""),"IOMA")</f>
        <v>IOMA</v>
      </c>
      <c r="Y250" s="6" t="str">
        <f ca="1">IFERROR(__xludf.DUMMYFUNCTION("""COMPUTED_VALUE"""),"Si")</f>
        <v>Si</v>
      </c>
      <c r="Z250" s="38" t="str">
        <f ca="1">IFERROR(__xludf.DUMMYFUNCTION("""COMPUTED_VALUE"""),"Acepto")</f>
        <v>Acepto</v>
      </c>
      <c r="AA250" s="38" t="str">
        <f ca="1">IFERROR(__xludf.DUMMYFUNCTION("""COMPUTED_VALUE"""),"Terminado")</f>
        <v>Terminado</v>
      </c>
      <c r="AB250" s="38">
        <f ca="1">IFERROR(__xludf.DUMMYFUNCTION("""COMPUTED_VALUE"""),60000)</f>
        <v>60000</v>
      </c>
      <c r="AC250" s="6">
        <f ca="1">IFERROR(__xludf.DUMMYFUNCTION("""COMPUTED_VALUE"""),205384)</f>
        <v>205384</v>
      </c>
      <c r="AD250" s="6" t="str">
        <f ca="1">IFERROR(__xludf.DUMMYFUNCTION("""COMPUTED_VALUE"""),"TRF 02-09")</f>
        <v>TRF 02-09</v>
      </c>
      <c r="AE250" s="6"/>
      <c r="AF250" s="6"/>
    </row>
    <row r="251" spans="1:32" ht="13.2">
      <c r="A251" s="35">
        <f ca="1">IFERROR(__xludf.DUMMYFUNCTION("""COMPUTED_VALUE"""),45534.456698993)</f>
        <v>45534.456698993003</v>
      </c>
      <c r="B251" s="36" t="str">
        <f ca="1">IFERROR(__xludf.DUMMYFUNCTION("""COMPUTED_VALUE"""),"Nicolas ")</f>
        <v xml:space="preserve">Nicolas </v>
      </c>
      <c r="C251" s="36" t="str">
        <f ca="1">IFERROR(__xludf.DUMMYFUNCTION("""COMPUTED_VALUE"""),"Pinosa Percossi")</f>
        <v>Pinosa Percossi</v>
      </c>
      <c r="D251" s="36" t="str">
        <f ca="1">IFERROR(__xludf.DUMMYFUNCTION("""COMPUTED_VALUE"""),"bs as ")</f>
        <v xml:space="preserve">bs as </v>
      </c>
      <c r="E251" s="38" t="str">
        <f ca="1">IFERROR(__xludf.DUMMYFUNCTION("""COMPUTED_VALUE"""),"ARG")</f>
        <v>ARG</v>
      </c>
      <c r="F251" s="38">
        <f ca="1">IFERROR(__xludf.DUMMYFUNCTION("""COMPUTED_VALUE"""),52768323)</f>
        <v>52768323</v>
      </c>
      <c r="G251" s="37">
        <f ca="1">IFERROR(__xludf.DUMMYFUNCTION("""COMPUTED_VALUE"""),41198)</f>
        <v>41198</v>
      </c>
      <c r="H251" s="38" t="str">
        <f ca="1">IFERROR(__xludf.DUMMYFUNCTION("""COMPUTED_VALUE"""),"54 9 11 5410 7295")</f>
        <v>54 9 11 5410 7295</v>
      </c>
      <c r="I251" s="38" t="str">
        <f ca="1">IFERROR(__xludf.DUMMYFUNCTION("""COMPUTED_VALUE"""),"54 9 11 4417 5793")</f>
        <v>54 9 11 4417 5793</v>
      </c>
      <c r="J251" s="38" t="str">
        <f ca="1">IFERROR(__xludf.DUMMYFUNCTION("""COMPUTED_VALUE"""),"dpinosa@hotmail.com")</f>
        <v>dpinosa@hotmail.com</v>
      </c>
      <c r="K251" s="38" t="str">
        <f ca="1">IFERROR(__xludf.DUMMYFUNCTION("""COMPUTED_VALUE"""),"Masculino")</f>
        <v>Masculino</v>
      </c>
      <c r="L251" s="38" t="str">
        <f ca="1">IFERROR(__xludf.DUMMYFUNCTION("""COMPUTED_VALUE"""),"club nautico olivos ( c.n.o )")</f>
        <v>club nautico olivos ( c.n.o )</v>
      </c>
      <c r="M251" s="38" t="str">
        <f ca="1">IFERROR(__xludf.DUMMYFUNCTION("""COMPUTED_VALUE"""),"Interior (Optimist)")</f>
        <v>Interior (Optimist)</v>
      </c>
      <c r="N251" s="6" t="str">
        <f ca="1">IFERROR(__xludf.DUMMYFUNCTION("""COMPUTED_VALUE"""),"OPTIMIST PRINCIPIANTES")</f>
        <v>OPTIMIST PRINCIPIANTES</v>
      </c>
      <c r="O251" s="6"/>
      <c r="P251" s="6">
        <f ca="1">IFERROR(__xludf.DUMMYFUNCTION("""COMPUTED_VALUE"""),3287)</f>
        <v>3287</v>
      </c>
      <c r="Q251" s="38" t="str">
        <f ca="1">IFERROR(__xludf.DUMMYFUNCTION("""COMPUTED_VALUE"""),"fofoca junior")</f>
        <v>fofoca junior</v>
      </c>
      <c r="R251" s="38" t="str">
        <f ca="1">IFERROR(__xludf.DUMMYFUNCTION("""COMPUTED_VALUE"""),"Nicolas Pinosa Percossi")</f>
        <v>Nicolas Pinosa Percossi</v>
      </c>
      <c r="S251" s="38"/>
      <c r="T251" s="38"/>
      <c r="U251" s="38"/>
      <c r="V251" s="38"/>
      <c r="W251" s="38"/>
      <c r="X251" s="40" t="str">
        <f ca="1">IFERROR(__xludf.DUMMYFUNCTION("""COMPUTED_VALUE"""),"osde 410")</f>
        <v>osde 410</v>
      </c>
      <c r="Y251" s="6" t="str">
        <f ca="1">IFERROR(__xludf.DUMMYFUNCTION("""COMPUTED_VALUE"""),"No")</f>
        <v>No</v>
      </c>
      <c r="Z251" s="38" t="str">
        <f ca="1">IFERROR(__xludf.DUMMYFUNCTION("""COMPUTED_VALUE"""),"Acepto")</f>
        <v>Acepto</v>
      </c>
      <c r="AA251" s="38" t="str">
        <f ca="1">IFERROR(__xludf.DUMMYFUNCTION("""COMPUTED_VALUE"""),"Terminado")</f>
        <v>Terminado</v>
      </c>
      <c r="AB251" s="38">
        <f ca="1">IFERROR(__xludf.DUMMYFUNCTION("""COMPUTED_VALUE"""),50000)</f>
        <v>50000</v>
      </c>
      <c r="AC251" s="6">
        <f ca="1">IFERROR(__xludf.DUMMYFUNCTION("""COMPUTED_VALUE"""),205389)</f>
        <v>205389</v>
      </c>
      <c r="AD251" s="6" t="str">
        <f ca="1">IFERROR(__xludf.DUMMYFUNCTION("""COMPUTED_VALUE"""),"TRF 30-08")</f>
        <v>TRF 30-08</v>
      </c>
      <c r="AE251" s="6"/>
      <c r="AF251" s="6"/>
    </row>
    <row r="252" spans="1:32" ht="13.2">
      <c r="A252" s="35">
        <f ca="1">IFERROR(__xludf.DUMMYFUNCTION("""COMPUTED_VALUE"""),45535.6483094212)</f>
        <v>45535.648309421202</v>
      </c>
      <c r="B252" s="36" t="str">
        <f ca="1">IFERROR(__xludf.DUMMYFUNCTION("""COMPUTED_VALUE"""),"Pedro Paulo")</f>
        <v>Pedro Paulo</v>
      </c>
      <c r="C252" s="36" t="str">
        <f ca="1">IFERROR(__xludf.DUMMYFUNCTION("""COMPUTED_VALUE"""),"Pinto")</f>
        <v>Pinto</v>
      </c>
      <c r="D252" s="36" t="str">
        <f ca="1">IFERROR(__xludf.DUMMYFUNCTION("""COMPUTED_VALUE"""),"Buenos Aires")</f>
        <v>Buenos Aires</v>
      </c>
      <c r="E252" s="38" t="str">
        <f ca="1">IFERROR(__xludf.DUMMYFUNCTION("""COMPUTED_VALUE"""),"ARG")</f>
        <v>ARG</v>
      </c>
      <c r="F252" s="38">
        <f ca="1">IFERROR(__xludf.DUMMYFUNCTION("""COMPUTED_VALUE"""),51705498)</f>
        <v>51705498</v>
      </c>
      <c r="G252" s="37">
        <f ca="1">IFERROR(__xludf.DUMMYFUNCTION("""COMPUTED_VALUE"""),36770)</f>
        <v>36770</v>
      </c>
      <c r="H252" s="38">
        <f ca="1">IFERROR(__xludf.DUMMYFUNCTION("""COMPUTED_VALUE"""),1168550109)</f>
        <v>1168550109</v>
      </c>
      <c r="I252" s="38">
        <f ca="1">IFERROR(__xludf.DUMMYFUNCTION("""COMPUTED_VALUE"""),1163044368)</f>
        <v>1163044368</v>
      </c>
      <c r="J252" s="38" t="str">
        <f ca="1">IFERROR(__xludf.DUMMYFUNCTION("""COMPUTED_VALUE"""),"pinto0pedro1paulo9@gmail.com")</f>
        <v>pinto0pedro1paulo9@gmail.com</v>
      </c>
      <c r="K252" s="38" t="str">
        <f ca="1">IFERROR(__xludf.DUMMYFUNCTION("""COMPUTED_VALUE"""),"Masculino")</f>
        <v>Masculino</v>
      </c>
      <c r="L252" s="38" t="str">
        <f ca="1">IFERROR(__xludf.DUMMYFUNCTION("""COMPUTED_VALUE"""),"CNSI-Cvsi")</f>
        <v>CNSI-Cvsi</v>
      </c>
      <c r="M252" s="38" t="str">
        <f ca="1">IFERROR(__xludf.DUMMYFUNCTION("""COMPUTED_VALUE"""),"Senior")</f>
        <v>Senior</v>
      </c>
      <c r="N252" s="6" t="str">
        <f ca="1">IFERROR(__xludf.DUMMYFUNCTION("""COMPUTED_VALUE"""),"ILCA 7")</f>
        <v>ILCA 7</v>
      </c>
      <c r="O252" s="6" t="str">
        <f ca="1">IFERROR(__xludf.DUMMYFUNCTION("""COMPUTED_VALUE"""),"-")</f>
        <v>-</v>
      </c>
      <c r="P252" s="6">
        <f ca="1">IFERROR(__xludf.DUMMYFUNCTION("""COMPUTED_VALUE"""),202572)</f>
        <v>202572</v>
      </c>
      <c r="Q252" s="38" t="str">
        <f ca="1">IFERROR(__xludf.DUMMYFUNCTION("""COMPUTED_VALUE"""),"-")</f>
        <v>-</v>
      </c>
      <c r="R252" s="38"/>
      <c r="S252" s="38"/>
      <c r="T252" s="38"/>
      <c r="U252" s="38"/>
      <c r="V252" s="38"/>
      <c r="W252" s="38"/>
      <c r="X252" s="40" t="str">
        <f ca="1">IFERROR(__xludf.DUMMYFUNCTION("""COMPUTED_VALUE"""),"Colegio Escribanos Provincia de Buenos Aires")</f>
        <v>Colegio Escribanos Provincia de Buenos Aires</v>
      </c>
      <c r="Y252" s="6" t="str">
        <f ca="1">IFERROR(__xludf.DUMMYFUNCTION("""COMPUTED_VALUE"""),"Si")</f>
        <v>Si</v>
      </c>
      <c r="Z252" s="38" t="str">
        <f ca="1">IFERROR(__xludf.DUMMYFUNCTION("""COMPUTED_VALUE"""),"Acepto")</f>
        <v>Acepto</v>
      </c>
      <c r="AA252" s="38" t="str">
        <f ca="1">IFERROR(__xludf.DUMMYFUNCTION("""COMPUTED_VALUE"""),"Pendiente")</f>
        <v>Pendiente</v>
      </c>
      <c r="AB252" s="38"/>
      <c r="AC252" s="6"/>
      <c r="AD252" s="6"/>
      <c r="AE252" s="6"/>
      <c r="AF252" s="6"/>
    </row>
    <row r="253" spans="1:32" ht="13.2">
      <c r="A253" s="35">
        <f ca="1">IFERROR(__xludf.DUMMYFUNCTION("""COMPUTED_VALUE"""),45535.6500593981)</f>
        <v>45535.650059398104</v>
      </c>
      <c r="B253" s="36" t="str">
        <f ca="1">IFERROR(__xludf.DUMMYFUNCTION("""COMPUTED_VALUE"""),"Maggie")</f>
        <v>Maggie</v>
      </c>
      <c r="C253" s="36" t="str">
        <f ca="1">IFERROR(__xludf.DUMMYFUNCTION("""COMPUTED_VALUE"""),"Pinto")</f>
        <v>Pinto</v>
      </c>
      <c r="D253" s="36" t="str">
        <f ca="1">IFERROR(__xludf.DUMMYFUNCTION("""COMPUTED_VALUE"""),"Buenos Aires")</f>
        <v>Buenos Aires</v>
      </c>
      <c r="E253" s="38" t="str">
        <f ca="1">IFERROR(__xludf.DUMMYFUNCTION("""COMPUTED_VALUE"""),"ARG")</f>
        <v>ARG</v>
      </c>
      <c r="F253" s="38">
        <f ca="1">IFERROR(__xludf.DUMMYFUNCTION("""COMPUTED_VALUE"""),48578167)</f>
        <v>48578167</v>
      </c>
      <c r="G253" s="37">
        <f ca="1">IFERROR(__xludf.DUMMYFUNCTION("""COMPUTED_VALUE"""),39517)</f>
        <v>39517</v>
      </c>
      <c r="H253" s="38">
        <f ca="1">IFERROR(__xludf.DUMMYFUNCTION("""COMPUTED_VALUE"""),116850109)</f>
        <v>116850109</v>
      </c>
      <c r="I253" s="38">
        <f ca="1">IFERROR(__xludf.DUMMYFUNCTION("""COMPUTED_VALUE"""),1163044368)</f>
        <v>1163044368</v>
      </c>
      <c r="J253" s="38" t="str">
        <f ca="1">IFERROR(__xludf.DUMMYFUNCTION("""COMPUTED_VALUE"""),"pinto0pedro1paulo9@gmail.com")</f>
        <v>pinto0pedro1paulo9@gmail.com</v>
      </c>
      <c r="K253" s="38" t="str">
        <f ca="1">IFERROR(__xludf.DUMMYFUNCTION("""COMPUTED_VALUE"""),"Femenino")</f>
        <v>Femenino</v>
      </c>
      <c r="L253" s="38" t="str">
        <f ca="1">IFERROR(__xludf.DUMMYFUNCTION("""COMPUTED_VALUE"""),"CNSI-Cvsi")</f>
        <v>CNSI-Cvsi</v>
      </c>
      <c r="M253" s="38" t="str">
        <f ca="1">IFERROR(__xludf.DUMMYFUNCTION("""COMPUTED_VALUE"""),"Femenino, U19")</f>
        <v>Femenino, U19</v>
      </c>
      <c r="N253" s="6" t="str">
        <f ca="1">IFERROR(__xludf.DUMMYFUNCTION("""COMPUTED_VALUE"""),"ILCA 6")</f>
        <v>ILCA 6</v>
      </c>
      <c r="O253" s="6"/>
      <c r="P253" s="6">
        <f ca="1">IFERROR(__xludf.DUMMYFUNCTION("""COMPUTED_VALUE"""),223642)</f>
        <v>223642</v>
      </c>
      <c r="Q253" s="38" t="str">
        <f ca="1">IFERROR(__xludf.DUMMYFUNCTION("""COMPUTED_VALUE"""),"La brava")</f>
        <v>La brava</v>
      </c>
      <c r="R253" s="38"/>
      <c r="S253" s="38"/>
      <c r="T253" s="38"/>
      <c r="U253" s="38"/>
      <c r="V253" s="38"/>
      <c r="W253" s="38"/>
      <c r="X253" s="40" t="str">
        <f ca="1">IFERROR(__xludf.DUMMYFUNCTION("""COMPUTED_VALUE"""),"Colegio de Escribanos Provincia Buenos Aires")</f>
        <v>Colegio de Escribanos Provincia Buenos Aires</v>
      </c>
      <c r="Y253" s="6" t="str">
        <f ca="1">IFERROR(__xludf.DUMMYFUNCTION("""COMPUTED_VALUE"""),"Si")</f>
        <v>Si</v>
      </c>
      <c r="Z253" s="38" t="str">
        <f ca="1">IFERROR(__xludf.DUMMYFUNCTION("""COMPUTED_VALUE"""),"Acepto")</f>
        <v>Acepto</v>
      </c>
      <c r="AA253" s="38" t="str">
        <f ca="1">IFERROR(__xludf.DUMMYFUNCTION("""COMPUTED_VALUE"""),"Pendiente")</f>
        <v>Pendiente</v>
      </c>
      <c r="AB253" s="38"/>
      <c r="AC253" s="6"/>
      <c r="AD253" s="6"/>
      <c r="AE253" s="6"/>
      <c r="AF253" s="6"/>
    </row>
    <row r="254" spans="1:32" ht="13.2">
      <c r="A254" s="35">
        <f ca="1">IFERROR(__xludf.DUMMYFUNCTION("""COMPUTED_VALUE"""),45535.6511817129)</f>
        <v>45535.651181712899</v>
      </c>
      <c r="B254" s="36" t="str">
        <f ca="1">IFERROR(__xludf.DUMMYFUNCTION("""COMPUTED_VALUE"""),"Naina Marie")</f>
        <v>Naina Marie</v>
      </c>
      <c r="C254" s="36" t="str">
        <f ca="1">IFERROR(__xludf.DUMMYFUNCTION("""COMPUTED_VALUE"""),"Pinto")</f>
        <v>Pinto</v>
      </c>
      <c r="D254" s="36" t="str">
        <f ca="1">IFERROR(__xludf.DUMMYFUNCTION("""COMPUTED_VALUE"""),"Buenos Aires")</f>
        <v>Buenos Aires</v>
      </c>
      <c r="E254" s="38" t="str">
        <f ca="1">IFERROR(__xludf.DUMMYFUNCTION("""COMPUTED_VALUE"""),"ARG")</f>
        <v>ARG</v>
      </c>
      <c r="F254" s="38">
        <f ca="1">IFERROR(__xludf.DUMMYFUNCTION("""COMPUTED_VALUE"""),47091456)</f>
        <v>47091456</v>
      </c>
      <c r="G254" s="37">
        <f ca="1">IFERROR(__xludf.DUMMYFUNCTION("""COMPUTED_VALUE"""),38769)</f>
        <v>38769</v>
      </c>
      <c r="H254" s="38">
        <f ca="1">IFERROR(__xludf.DUMMYFUNCTION("""COMPUTED_VALUE"""),1168550109)</f>
        <v>1168550109</v>
      </c>
      <c r="I254" s="38">
        <f ca="1">IFERROR(__xludf.DUMMYFUNCTION("""COMPUTED_VALUE"""),1163044368)</f>
        <v>1163044368</v>
      </c>
      <c r="J254" s="38" t="str">
        <f ca="1">IFERROR(__xludf.DUMMYFUNCTION("""COMPUTED_VALUE"""),"pinto0pedro1paulo9@gmail.com")</f>
        <v>pinto0pedro1paulo9@gmail.com</v>
      </c>
      <c r="K254" s="38" t="str">
        <f ca="1">IFERROR(__xludf.DUMMYFUNCTION("""COMPUTED_VALUE"""),"Femenino")</f>
        <v>Femenino</v>
      </c>
      <c r="L254" s="38" t="str">
        <f ca="1">IFERROR(__xludf.DUMMYFUNCTION("""COMPUTED_VALUE"""),"CNSI-Cvsi")</f>
        <v>CNSI-Cvsi</v>
      </c>
      <c r="M254" s="38" t="str">
        <f ca="1">IFERROR(__xludf.DUMMYFUNCTION("""COMPUTED_VALUE"""),"Femenino")</f>
        <v>Femenino</v>
      </c>
      <c r="N254" s="6" t="str">
        <f ca="1">IFERROR(__xludf.DUMMYFUNCTION("""COMPUTED_VALUE"""),"ILCA 6")</f>
        <v>ILCA 6</v>
      </c>
      <c r="O254" s="6"/>
      <c r="P254" s="6">
        <f ca="1">IFERROR(__xludf.DUMMYFUNCTION("""COMPUTED_VALUE"""),220572)</f>
        <v>220572</v>
      </c>
      <c r="Q254" s="38" t="str">
        <f ca="1">IFERROR(__xludf.DUMMYFUNCTION("""COMPUTED_VALUE"""),"SISU")</f>
        <v>SISU</v>
      </c>
      <c r="R254" s="38"/>
      <c r="S254" s="38"/>
      <c r="T254" s="38"/>
      <c r="U254" s="38"/>
      <c r="V254" s="38"/>
      <c r="W254" s="38"/>
      <c r="X254" s="40" t="str">
        <f ca="1">IFERROR(__xludf.DUMMYFUNCTION("""COMPUTED_VALUE"""),"Colegio de Escribanos de la Provincia BsAs")</f>
        <v>Colegio de Escribanos de la Provincia BsAs</v>
      </c>
      <c r="Y254" s="6" t="str">
        <f ca="1">IFERROR(__xludf.DUMMYFUNCTION("""COMPUTED_VALUE"""),"Si")</f>
        <v>Si</v>
      </c>
      <c r="Z254" s="38" t="str">
        <f ca="1">IFERROR(__xludf.DUMMYFUNCTION("""COMPUTED_VALUE"""),"Acepto")</f>
        <v>Acepto</v>
      </c>
      <c r="AA254" s="38" t="str">
        <f ca="1">IFERROR(__xludf.DUMMYFUNCTION("""COMPUTED_VALUE"""),"Pendiente")</f>
        <v>Pendiente</v>
      </c>
      <c r="AB254" s="38"/>
      <c r="AC254" s="6"/>
      <c r="AD254" s="6"/>
      <c r="AE254" s="6"/>
      <c r="AF254" s="6"/>
    </row>
    <row r="255" spans="1:32" ht="13.2">
      <c r="A255" s="35">
        <f ca="1">IFERROR(__xludf.DUMMYFUNCTION("""COMPUTED_VALUE"""),45535.6680183101)</f>
        <v>45535.668018310098</v>
      </c>
      <c r="B255" s="36" t="str">
        <f ca="1">IFERROR(__xludf.DUMMYFUNCTION("""COMPUTED_VALUE"""),"Pedro Paulo")</f>
        <v>Pedro Paulo</v>
      </c>
      <c r="C255" s="36" t="str">
        <f ca="1">IFERROR(__xludf.DUMMYFUNCTION("""COMPUTED_VALUE"""),"Pinto")</f>
        <v>Pinto</v>
      </c>
      <c r="D255" s="36" t="str">
        <f ca="1">IFERROR(__xludf.DUMMYFUNCTION("""COMPUTED_VALUE"""),"Buenos Aires")</f>
        <v>Buenos Aires</v>
      </c>
      <c r="E255" s="38" t="str">
        <f ca="1">IFERROR(__xludf.DUMMYFUNCTION("""COMPUTED_VALUE"""),"ARG")</f>
        <v>ARG</v>
      </c>
      <c r="F255" s="38">
        <f ca="1">IFERROR(__xludf.DUMMYFUNCTION("""COMPUTED_VALUE"""),51705498)</f>
        <v>51705498</v>
      </c>
      <c r="G255" s="37">
        <f ca="1">IFERROR(__xludf.DUMMYFUNCTION("""COMPUTED_VALUE"""),36770)</f>
        <v>36770</v>
      </c>
      <c r="H255" s="38">
        <f ca="1">IFERROR(__xludf.DUMMYFUNCTION("""COMPUTED_VALUE"""),1168550109)</f>
        <v>1168550109</v>
      </c>
      <c r="I255" s="38"/>
      <c r="J255" s="38" t="str">
        <f ca="1">IFERROR(__xludf.DUMMYFUNCTION("""COMPUTED_VALUE"""),"pinto0pedro1paulo9@gmail.com")</f>
        <v>pinto0pedro1paulo9@gmail.com</v>
      </c>
      <c r="K255" s="38" t="str">
        <f ca="1">IFERROR(__xludf.DUMMYFUNCTION("""COMPUTED_VALUE"""),"Masculino")</f>
        <v>Masculino</v>
      </c>
      <c r="L255" s="38" t="str">
        <f ca="1">IFERROR(__xludf.DUMMYFUNCTION("""COMPUTED_VALUE"""),"CNSI-Cvsi")</f>
        <v>CNSI-Cvsi</v>
      </c>
      <c r="M255" s="38" t="str">
        <f ca="1">IFERROR(__xludf.DUMMYFUNCTION("""COMPUTED_VALUE"""),"senior")</f>
        <v>senior</v>
      </c>
      <c r="N255" s="6" t="str">
        <f ca="1">IFERROR(__xludf.DUMMYFUNCTION("""COMPUTED_VALUE"""),"ILCA 7")</f>
        <v>ILCA 7</v>
      </c>
      <c r="O255" s="6"/>
      <c r="P255" s="6">
        <f ca="1">IFERROR(__xludf.DUMMYFUNCTION("""COMPUTED_VALUE"""),202572)</f>
        <v>202572</v>
      </c>
      <c r="Q255" s="38"/>
      <c r="R255" s="38"/>
      <c r="S255" s="38"/>
      <c r="T255" s="38"/>
      <c r="U255" s="38"/>
      <c r="V255" s="38"/>
      <c r="W255" s="38"/>
      <c r="X255" s="40" t="str">
        <f ca="1">IFERROR(__xludf.DUMMYFUNCTION("""COMPUTED_VALUE"""),"Colegio Escribanos Provincia BsAs")</f>
        <v>Colegio Escribanos Provincia BsAs</v>
      </c>
      <c r="Y255" s="6" t="str">
        <f ca="1">IFERROR(__xludf.DUMMYFUNCTION("""COMPUTED_VALUE"""),"Si")</f>
        <v>Si</v>
      </c>
      <c r="Z255" s="38" t="str">
        <f ca="1">IFERROR(__xludf.DUMMYFUNCTION("""COMPUTED_VALUE"""),"Acepto")</f>
        <v>Acepto</v>
      </c>
      <c r="AA255" s="38" t="str">
        <f ca="1">IFERROR(__xludf.DUMMYFUNCTION("""COMPUTED_VALUE"""),"Repetido")</f>
        <v>Repetido</v>
      </c>
      <c r="AB255" s="38"/>
      <c r="AC255" s="6"/>
      <c r="AD255" s="6"/>
      <c r="AE255" s="6"/>
      <c r="AF255" s="6"/>
    </row>
    <row r="256" spans="1:32" ht="13.2">
      <c r="A256" s="35">
        <f ca="1">IFERROR(__xludf.DUMMYFUNCTION("""COMPUTED_VALUE"""),45539.6713612268)</f>
        <v>45539.671361226799</v>
      </c>
      <c r="B256" s="36" t="str">
        <f ca="1">IFERROR(__xludf.DUMMYFUNCTION("""COMPUTED_VALUE"""),"Adrian ")</f>
        <v xml:space="preserve">Adrian </v>
      </c>
      <c r="C256" s="36" t="str">
        <f ca="1">IFERROR(__xludf.DUMMYFUNCTION("""COMPUTED_VALUE"""),"Pis")</f>
        <v>Pis</v>
      </c>
      <c r="D256" s="36" t="str">
        <f ca="1">IFERROR(__xludf.DUMMYFUNCTION("""COMPUTED_VALUE"""),"Temperley ")</f>
        <v xml:space="preserve">Temperley </v>
      </c>
      <c r="E256" s="38" t="str">
        <f ca="1">IFERROR(__xludf.DUMMYFUNCTION("""COMPUTED_VALUE"""),"ARG")</f>
        <v>ARG</v>
      </c>
      <c r="F256" s="38">
        <f ca="1">IFERROR(__xludf.DUMMYFUNCTION("""COMPUTED_VALUE"""),20215237)</f>
        <v>20215237</v>
      </c>
      <c r="G256" s="37">
        <f ca="1">IFERROR(__xludf.DUMMYFUNCTION("""COMPUTED_VALUE"""),25156)</f>
        <v>25156</v>
      </c>
      <c r="H256" s="38">
        <f ca="1">IFERROR(__xludf.DUMMYFUNCTION("""COMPUTED_VALUE"""),1163816234)</f>
        <v>1163816234</v>
      </c>
      <c r="I256" s="38">
        <f ca="1">IFERROR(__xludf.DUMMYFUNCTION("""COMPUTED_VALUE"""),1150230481)</f>
        <v>1150230481</v>
      </c>
      <c r="J256" s="38" t="str">
        <f ca="1">IFERROR(__xludf.DUMMYFUNCTION("""COMPUTED_VALUE"""),"pisadrian@hotmail.com")</f>
        <v>pisadrian@hotmail.com</v>
      </c>
      <c r="K256" s="38" t="str">
        <f ca="1">IFERROR(__xludf.DUMMYFUNCTION("""COMPUTED_VALUE"""),"Masculino")</f>
        <v>Masculino</v>
      </c>
      <c r="L256" s="38" t="str">
        <f ca="1">IFERROR(__xludf.DUMMYFUNCTION("""COMPUTED_VALUE"""),"YCO")</f>
        <v>YCO</v>
      </c>
      <c r="M256" s="38" t="str">
        <f ca="1">IFERROR(__xludf.DUMMYFUNCTION("""COMPUTED_VALUE"""),"Master (ILCA)")</f>
        <v>Master (ILCA)</v>
      </c>
      <c r="N256" s="6" t="str">
        <f ca="1">IFERROR(__xludf.DUMMYFUNCTION("""COMPUTED_VALUE"""),"ILCA 6")</f>
        <v>ILCA 6</v>
      </c>
      <c r="O256" s="6"/>
      <c r="P256" s="6">
        <f ca="1">IFERROR(__xludf.DUMMYFUNCTION("""COMPUTED_VALUE"""),221260)</f>
        <v>221260</v>
      </c>
      <c r="Q256" s="38"/>
      <c r="R256" s="38"/>
      <c r="S256" s="38"/>
      <c r="T256" s="38"/>
      <c r="U256" s="38"/>
      <c r="V256" s="38"/>
      <c r="W256" s="38"/>
      <c r="X256" s="40" t="str">
        <f ca="1">IFERROR(__xludf.DUMMYFUNCTION("""COMPUTED_VALUE"""),"Comei/023173-01-03")</f>
        <v>Comei/023173-01-03</v>
      </c>
      <c r="Y256" s="6" t="str">
        <f ca="1">IFERROR(__xludf.DUMMYFUNCTION("""COMPUTED_VALUE"""),"Si")</f>
        <v>Si</v>
      </c>
      <c r="Z256" s="38" t="str">
        <f ca="1">IFERROR(__xludf.DUMMYFUNCTION("""COMPUTED_VALUE"""),"Acepto")</f>
        <v>Acepto</v>
      </c>
      <c r="AA256" s="38" t="str">
        <f ca="1">IFERROR(__xludf.DUMMYFUNCTION("""COMPUTED_VALUE"""),"Pendiente")</f>
        <v>Pendiente</v>
      </c>
      <c r="AB256" s="38"/>
      <c r="AC256" s="6"/>
      <c r="AD256" s="6"/>
      <c r="AE256" s="6"/>
      <c r="AF256" s="6"/>
    </row>
    <row r="257" spans="1:32" ht="13.2">
      <c r="A257" s="35">
        <f ca="1">IFERROR(__xludf.DUMMYFUNCTION("""COMPUTED_VALUE"""),45536.8279283912)</f>
        <v>45536.827928391198</v>
      </c>
      <c r="B257" s="36" t="str">
        <f ca="1">IFERROR(__xludf.DUMMYFUNCTION("""COMPUTED_VALUE"""),"Santiago")</f>
        <v>Santiago</v>
      </c>
      <c r="C257" s="36" t="str">
        <f ca="1">IFERROR(__xludf.DUMMYFUNCTION("""COMPUTED_VALUE"""),"Poggio")</f>
        <v>Poggio</v>
      </c>
      <c r="D257" s="36" t="str">
        <f ca="1">IFERROR(__xludf.DUMMYFUNCTION("""COMPUTED_VALUE"""),"Buenos Aires")</f>
        <v>Buenos Aires</v>
      </c>
      <c r="E257" s="38" t="str">
        <f ca="1">IFERROR(__xludf.DUMMYFUNCTION("""COMPUTED_VALUE"""),"ARG")</f>
        <v>ARG</v>
      </c>
      <c r="F257" s="38">
        <f ca="1">IFERROR(__xludf.DUMMYFUNCTION("""COMPUTED_VALUE"""),52790163)</f>
        <v>52790163</v>
      </c>
      <c r="G257" s="37">
        <f ca="1">IFERROR(__xludf.DUMMYFUNCTION("""COMPUTED_VALUE"""),41184)</f>
        <v>41184</v>
      </c>
      <c r="H257" s="38" t="str">
        <f ca="1">IFERROR(__xludf.DUMMYFUNCTION("""COMPUTED_VALUE"""),"01130754065")</f>
        <v>01130754065</v>
      </c>
      <c r="I257" s="38" t="str">
        <f ca="1">IFERROR(__xludf.DUMMYFUNCTION("""COMPUTED_VALUE"""),"01130754065")</f>
        <v>01130754065</v>
      </c>
      <c r="J257" s="38" t="str">
        <f ca="1">IFERROR(__xludf.DUMMYFUNCTION("""COMPUTED_VALUE"""),"maximop@hotmail.com")</f>
        <v>maximop@hotmail.com</v>
      </c>
      <c r="K257" s="38" t="str">
        <f ca="1">IFERROR(__xludf.DUMMYFUNCTION("""COMPUTED_VALUE"""),"Masculino")</f>
        <v>Masculino</v>
      </c>
      <c r="L257" s="38" t="str">
        <f ca="1">IFERROR(__xludf.DUMMYFUNCTION("""COMPUTED_VALUE"""),"CUBA")</f>
        <v>CUBA</v>
      </c>
      <c r="M257" s="38" t="str">
        <f ca="1">IFERROR(__xludf.DUMMYFUNCTION("""COMPUTED_VALUE"""),"OPTIMIST TIMONEL (Sub12)")</f>
        <v>OPTIMIST TIMONEL (Sub12)</v>
      </c>
      <c r="N257" s="6" t="str">
        <f ca="1">IFERROR(__xludf.DUMMYFUNCTION("""COMPUTED_VALUE"""),"OPTIMIST TIMONELES")</f>
        <v>OPTIMIST TIMONELES</v>
      </c>
      <c r="O257" s="6"/>
      <c r="P257" s="6" t="str">
        <f ca="1">IFERROR(__xludf.DUMMYFUNCTION("""COMPUTED_VALUE"""),"ARG3765")</f>
        <v>ARG3765</v>
      </c>
      <c r="Q257" s="38"/>
      <c r="R257" s="38"/>
      <c r="S257" s="38"/>
      <c r="T257" s="38"/>
      <c r="U257" s="38"/>
      <c r="V257" s="38"/>
      <c r="W257" s="38"/>
      <c r="X257" s="40" t="str">
        <f ca="1">IFERROR(__xludf.DUMMYFUNCTION("""COMPUTED_VALUE"""),"OSDE 210 / 60 723328 1 06")</f>
        <v>OSDE 210 / 60 723328 1 06</v>
      </c>
      <c r="Y257" s="6" t="str">
        <f ca="1">IFERROR(__xludf.DUMMYFUNCTION("""COMPUTED_VALUE"""),"No")</f>
        <v>No</v>
      </c>
      <c r="Z257" s="38" t="str">
        <f ca="1">IFERROR(__xludf.DUMMYFUNCTION("""COMPUTED_VALUE"""),"Acepto")</f>
        <v>Acepto</v>
      </c>
      <c r="AA257" s="38" t="str">
        <f ca="1">IFERROR(__xludf.DUMMYFUNCTION("""COMPUTED_VALUE"""),"Terminado")</f>
        <v>Terminado</v>
      </c>
      <c r="AB257" s="38">
        <f ca="1">IFERROR(__xludf.DUMMYFUNCTION("""COMPUTED_VALUE"""),50000)</f>
        <v>50000</v>
      </c>
      <c r="AC257" s="6">
        <f ca="1">IFERROR(__xludf.DUMMYFUNCTION("""COMPUTED_VALUE"""),205455)</f>
        <v>205455</v>
      </c>
      <c r="AD257" s="6" t="str">
        <f ca="1">IFERROR(__xludf.DUMMYFUNCTION("""COMPUTED_VALUE"""),"TRF 04-09")</f>
        <v>TRF 04-09</v>
      </c>
      <c r="AE257" s="6"/>
      <c r="AF257" s="6"/>
    </row>
    <row r="258" spans="1:32" ht="13.2">
      <c r="A258" s="35">
        <f ca="1">IFERROR(__xludf.DUMMYFUNCTION("""COMPUTED_VALUE"""),45534.6080956597)</f>
        <v>45534.6080956597</v>
      </c>
      <c r="B258" s="36" t="str">
        <f ca="1">IFERROR(__xludf.DUMMYFUNCTION("""COMPUTED_VALUE"""),"Martin")</f>
        <v>Martin</v>
      </c>
      <c r="C258" s="36" t="str">
        <f ca="1">IFERROR(__xludf.DUMMYFUNCTION("""COMPUTED_VALUE"""),"Propato")</f>
        <v>Propato</v>
      </c>
      <c r="D258" s="36" t="str">
        <f ca="1">IFERROR(__xludf.DUMMYFUNCTION("""COMPUTED_VALUE"""),"CABA")</f>
        <v>CABA</v>
      </c>
      <c r="E258" s="38" t="str">
        <f ca="1">IFERROR(__xludf.DUMMYFUNCTION("""COMPUTED_VALUE"""),"ARG")</f>
        <v>ARG</v>
      </c>
      <c r="F258" s="38">
        <f ca="1">IFERROR(__xludf.DUMMYFUNCTION("""COMPUTED_VALUE"""),16581780)</f>
        <v>16581780</v>
      </c>
      <c r="G258" s="37">
        <f ca="1">IFERROR(__xludf.DUMMYFUNCTION("""COMPUTED_VALUE"""),23312)</f>
        <v>23312</v>
      </c>
      <c r="H258" s="38">
        <f ca="1">IFERROR(__xludf.DUMMYFUNCTION("""COMPUTED_VALUE"""),1155242237)</f>
        <v>1155242237</v>
      </c>
      <c r="I258" s="38"/>
      <c r="J258" s="38" t="str">
        <f ca="1">IFERROR(__xludf.DUMMYFUNCTION("""COMPUTED_VALUE"""),"m_propato@hotmail.com")</f>
        <v>m_propato@hotmail.com</v>
      </c>
      <c r="K258" s="38" t="str">
        <f ca="1">IFERROR(__xludf.DUMMYFUNCTION("""COMPUTED_VALUE"""),"Masculino")</f>
        <v>Masculino</v>
      </c>
      <c r="L258" s="38" t="str">
        <f ca="1">IFERROR(__xludf.DUMMYFUNCTION("""COMPUTED_VALUE"""),"YCO")</f>
        <v>YCO</v>
      </c>
      <c r="M258" s="38" t="str">
        <f ca="1">IFERROR(__xludf.DUMMYFUNCTION("""COMPUTED_VALUE"""),"Master (ILCA)")</f>
        <v>Master (ILCA)</v>
      </c>
      <c r="N258" s="6" t="str">
        <f ca="1">IFERROR(__xludf.DUMMYFUNCTION("""COMPUTED_VALUE"""),"ILCA 6")</f>
        <v>ILCA 6</v>
      </c>
      <c r="O258" s="6"/>
      <c r="P258" s="6">
        <f ca="1">IFERROR(__xludf.DUMMYFUNCTION("""COMPUTED_VALUE"""),182314)</f>
        <v>182314</v>
      </c>
      <c r="Q258" s="38"/>
      <c r="R258" s="38"/>
      <c r="S258" s="38"/>
      <c r="T258" s="38"/>
      <c r="U258" s="38"/>
      <c r="V258" s="38"/>
      <c r="W258" s="38"/>
      <c r="X258" s="40" t="str">
        <f ca="1">IFERROR(__xludf.DUMMYFUNCTION("""COMPUTED_VALUE"""),"OSDE")</f>
        <v>OSDE</v>
      </c>
      <c r="Y258" s="6" t="str">
        <f ca="1">IFERROR(__xludf.DUMMYFUNCTION("""COMPUTED_VALUE"""),"Si")</f>
        <v>Si</v>
      </c>
      <c r="Z258" s="38" t="str">
        <f ca="1">IFERROR(__xludf.DUMMYFUNCTION("""COMPUTED_VALUE"""),"Acepto")</f>
        <v>Acepto</v>
      </c>
      <c r="AA258" s="38" t="str">
        <f ca="1">IFERROR(__xludf.DUMMYFUNCTION("""COMPUTED_VALUE"""),"Terminado")</f>
        <v>Terminado</v>
      </c>
      <c r="AB258" s="38">
        <f ca="1">IFERROR(__xludf.DUMMYFUNCTION("""COMPUTED_VALUE"""),45000)</f>
        <v>45000</v>
      </c>
      <c r="AC258" s="6"/>
      <c r="AD258" s="6" t="str">
        <f ca="1">IFERROR(__xludf.DUMMYFUNCTION("""COMPUTED_VALUE"""),"AF")</f>
        <v>AF</v>
      </c>
      <c r="AE258" s="6"/>
      <c r="AF258" s="6"/>
    </row>
    <row r="259" spans="1:32" ht="13.2">
      <c r="A259" s="35">
        <f ca="1">IFERROR(__xludf.DUMMYFUNCTION("""COMPUTED_VALUE"""),45535.8609242708)</f>
        <v>45535.860924270797</v>
      </c>
      <c r="B259" s="36" t="str">
        <f ca="1">IFERROR(__xludf.DUMMYFUNCTION("""COMPUTED_VALUE"""),"Ana Maria")</f>
        <v>Ana Maria</v>
      </c>
      <c r="C259" s="36" t="str">
        <f ca="1">IFERROR(__xludf.DUMMYFUNCTION("""COMPUTED_VALUE"""),"Prota")</f>
        <v>Prota</v>
      </c>
      <c r="D259" s="36" t="str">
        <f ca="1">IFERROR(__xludf.DUMMYFUNCTION("""COMPUTED_VALUE"""),"Montevideo")</f>
        <v>Montevideo</v>
      </c>
      <c r="E259" s="38" t="str">
        <f ca="1">IFERROR(__xludf.DUMMYFUNCTION("""COMPUTED_VALUE"""),"URU")</f>
        <v>URU</v>
      </c>
      <c r="F259" s="38">
        <f ca="1">IFERROR(__xludf.DUMMYFUNCTION("""COMPUTED_VALUE"""),62194679)</f>
        <v>62194679</v>
      </c>
      <c r="G259" s="37">
        <f ca="1">IFERROR(__xludf.DUMMYFUNCTION("""COMPUTED_VALUE"""),40651)</f>
        <v>40651</v>
      </c>
      <c r="H259" s="38" t="str">
        <f ca="1">IFERROR(__xludf.DUMMYFUNCTION("""COMPUTED_VALUE"""),"+59893444307")</f>
        <v>+59893444307</v>
      </c>
      <c r="I259" s="38" t="str">
        <f ca="1">IFERROR(__xludf.DUMMYFUNCTION("""COMPUTED_VALUE"""),"+59893444307")</f>
        <v>+59893444307</v>
      </c>
      <c r="J259" s="38" t="str">
        <f ca="1">IFERROR(__xludf.DUMMYFUNCTION("""COMPUTED_VALUE"""),"santiagoprota@gmail.com")</f>
        <v>santiagoprota@gmail.com</v>
      </c>
      <c r="K259" s="38" t="str">
        <f ca="1">IFERROR(__xludf.DUMMYFUNCTION("""COMPUTED_VALUE"""),"Femenino")</f>
        <v>Femenino</v>
      </c>
      <c r="L259" s="38" t="str">
        <f ca="1">IFERROR(__xludf.DUMMYFUNCTION("""COMPUTED_VALUE"""),"NYC")</f>
        <v>NYC</v>
      </c>
      <c r="M259" s="38" t="str">
        <f ca="1">IFERROR(__xludf.DUMMYFUNCTION("""COMPUTED_VALUE"""),"Femenino")</f>
        <v>Femenino</v>
      </c>
      <c r="N259" s="6" t="str">
        <f ca="1">IFERROR(__xludf.DUMMYFUNCTION("""COMPUTED_VALUE"""),"OPTIMIST TIMONELES")</f>
        <v>OPTIMIST TIMONELES</v>
      </c>
      <c r="O259" s="6"/>
      <c r="P259" s="6">
        <f ca="1">IFERROR(__xludf.DUMMYFUNCTION("""COMPUTED_VALUE"""),578)</f>
        <v>578</v>
      </c>
      <c r="Q259" s="38" t="str">
        <f ca="1">IFERROR(__xludf.DUMMYFUNCTION("""COMPUTED_VALUE"""),"s/n")</f>
        <v>s/n</v>
      </c>
      <c r="R259" s="38"/>
      <c r="S259" s="38"/>
      <c r="T259" s="38"/>
      <c r="U259" s="38"/>
      <c r="V259" s="38"/>
      <c r="W259" s="38"/>
      <c r="X259" s="40" t="str">
        <f ca="1">IFERROR(__xludf.DUMMYFUNCTION("""COMPUTED_VALUE"""),"Blue Crooss y Swiss Medical")</f>
        <v>Blue Crooss y Swiss Medical</v>
      </c>
      <c r="Y259" s="6" t="str">
        <f ca="1">IFERROR(__xludf.DUMMYFUNCTION("""COMPUTED_VALUE"""),"Si")</f>
        <v>Si</v>
      </c>
      <c r="Z259" s="38" t="str">
        <f ca="1">IFERROR(__xludf.DUMMYFUNCTION("""COMPUTED_VALUE"""),"Acepto")</f>
        <v>Acepto</v>
      </c>
      <c r="AA259" s="38" t="str">
        <f ca="1">IFERROR(__xludf.DUMMYFUNCTION("""COMPUTED_VALUE"""),"Terminado")</f>
        <v>Terminado</v>
      </c>
      <c r="AB259" s="38">
        <f ca="1">IFERROR(__xludf.DUMMYFUNCTION("""COMPUTED_VALUE"""),42500)</f>
        <v>42500</v>
      </c>
      <c r="AC259" s="6">
        <f ca="1">IFERROR(__xludf.DUMMYFUNCTION("""COMPUTED_VALUE"""),205391)</f>
        <v>205391</v>
      </c>
      <c r="AD259" s="6" t="str">
        <f ca="1">IFERROR(__xludf.DUMMYFUNCTION("""COMPUTED_VALUE"""),"TRF 02-09")</f>
        <v>TRF 02-09</v>
      </c>
      <c r="AE259" s="6"/>
      <c r="AF259" s="6"/>
    </row>
    <row r="260" spans="1:32" ht="13.2">
      <c r="A260" s="35">
        <f ca="1">IFERROR(__xludf.DUMMYFUNCTION("""COMPUTED_VALUE"""),45534.6107997685)</f>
        <v>45534.610799768503</v>
      </c>
      <c r="B260" s="36" t="str">
        <f ca="1">IFERROR(__xludf.DUMMYFUNCTION("""COMPUTED_VALUE"""),"fernando")</f>
        <v>fernando</v>
      </c>
      <c r="C260" s="36" t="str">
        <f ca="1">IFERROR(__xludf.DUMMYFUNCTION("""COMPUTED_VALUE"""),"Queirel")</f>
        <v>Queirel</v>
      </c>
      <c r="D260" s="36" t="str">
        <f ca="1">IFERROR(__xludf.DUMMYFUNCTION("""COMPUTED_VALUE"""),"la plata")</f>
        <v>la plata</v>
      </c>
      <c r="E260" s="38" t="str">
        <f ca="1">IFERROR(__xludf.DUMMYFUNCTION("""COMPUTED_VALUE"""),"ARG")</f>
        <v>ARG</v>
      </c>
      <c r="F260" s="38">
        <f ca="1">IFERROR(__xludf.DUMMYFUNCTION("""COMPUTED_VALUE"""),12707219)</f>
        <v>12707219</v>
      </c>
      <c r="G260" s="37">
        <f ca="1">IFERROR(__xludf.DUMMYFUNCTION("""COMPUTED_VALUE"""),20757)</f>
        <v>20757</v>
      </c>
      <c r="H260" s="38">
        <f ca="1">IFERROR(__xludf.DUMMYFUNCTION("""COMPUTED_VALUE"""),2215018401)</f>
        <v>2215018401</v>
      </c>
      <c r="I260" s="38">
        <f ca="1">IFERROR(__xludf.DUMMYFUNCTION("""COMPUTED_VALUE"""),2215220469)</f>
        <v>2215220469</v>
      </c>
      <c r="J260" s="38" t="str">
        <f ca="1">IFERROR(__xludf.DUMMYFUNCTION("""COMPUTED_VALUE"""),"cfqueirel@hotmail.com")</f>
        <v>cfqueirel@hotmail.com</v>
      </c>
      <c r="K260" s="38" t="str">
        <f ca="1">IFERROR(__xludf.DUMMYFUNCTION("""COMPUTED_VALUE"""),"Masculino")</f>
        <v>Masculino</v>
      </c>
      <c r="L260" s="38" t="str">
        <f ca="1">IFERROR(__xludf.DUMMYFUNCTION("""COMPUTED_VALUE"""),"crlp")</f>
        <v>crlp</v>
      </c>
      <c r="M260" s="38" t="str">
        <f ca="1">IFERROR(__xludf.DUMMYFUNCTION("""COMPUTED_VALUE"""),"gran master")</f>
        <v>gran master</v>
      </c>
      <c r="N260" s="6" t="str">
        <f ca="1">IFERROR(__xludf.DUMMYFUNCTION("""COMPUTED_VALUE"""),"STAR")</f>
        <v>STAR</v>
      </c>
      <c r="O260" s="6"/>
      <c r="P260" s="6">
        <f ca="1">IFERROR(__xludf.DUMMYFUNCTION("""COMPUTED_VALUE"""),7885)</f>
        <v>7885</v>
      </c>
      <c r="Q260" s="38" t="str">
        <f ca="1">IFERROR(__xludf.DUMMYFUNCTION("""COMPUTED_VALUE"""),"sn")</f>
        <v>sn</v>
      </c>
      <c r="R260" s="38" t="str">
        <f ca="1">IFERROR(__xludf.DUMMYFUNCTION("""COMPUTED_VALUE"""),"Valentin Queirel")</f>
        <v>Valentin Queirel</v>
      </c>
      <c r="S260" s="38"/>
      <c r="T260" s="38"/>
      <c r="U260" s="38"/>
      <c r="V260" s="38"/>
      <c r="W260" s="38"/>
      <c r="X260" s="40"/>
      <c r="Y260" s="6" t="str">
        <f ca="1">IFERROR(__xludf.DUMMYFUNCTION("""COMPUTED_VALUE"""),"Si")</f>
        <v>Si</v>
      </c>
      <c r="Z260" s="38" t="str">
        <f ca="1">IFERROR(__xludf.DUMMYFUNCTION("""COMPUTED_VALUE"""),"Acepto")</f>
        <v>Acepto</v>
      </c>
      <c r="AA260" s="38" t="str">
        <f ca="1">IFERROR(__xludf.DUMMYFUNCTION("""COMPUTED_VALUE"""),"Terminado")</f>
        <v>Terminado</v>
      </c>
      <c r="AB260" s="38">
        <f ca="1">IFERROR(__xludf.DUMMYFUNCTION("""COMPUTED_VALUE"""),60000)</f>
        <v>60000</v>
      </c>
      <c r="AC260" s="6">
        <f ca="1">IFERROR(__xludf.DUMMYFUNCTION("""COMPUTED_VALUE"""),205417)</f>
        <v>205417</v>
      </c>
      <c r="AD260" s="6" t="str">
        <f ca="1">IFERROR(__xludf.DUMMYFUNCTION("""COMPUTED_VALUE"""),"TRF 03-09 y 05-09")</f>
        <v>TRF 03-09 y 05-09</v>
      </c>
      <c r="AE260" s="6"/>
      <c r="AF260" s="6"/>
    </row>
    <row r="261" spans="1:32" ht="13.2">
      <c r="A261" s="35">
        <f ca="1">IFERROR(__xludf.DUMMYFUNCTION("""COMPUTED_VALUE"""),45533.6729291203)</f>
        <v>45533.672929120301</v>
      </c>
      <c r="B261" s="36" t="str">
        <f ca="1">IFERROR(__xludf.DUMMYFUNCTION("""COMPUTED_VALUE"""),"Ciro Valentin ")</f>
        <v xml:space="preserve">Ciro Valentin </v>
      </c>
      <c r="C261" s="36" t="str">
        <f ca="1">IFERROR(__xludf.DUMMYFUNCTION("""COMPUTED_VALUE"""),"Quevedo ")</f>
        <v xml:space="preserve">Quevedo </v>
      </c>
      <c r="D261" s="36" t="str">
        <f ca="1">IFERROR(__xludf.DUMMYFUNCTION("""COMPUTED_VALUE"""),"Puerto Madryn ")</f>
        <v xml:space="preserve">Puerto Madryn </v>
      </c>
      <c r="E261" s="38" t="str">
        <f ca="1">IFERROR(__xludf.DUMMYFUNCTION("""COMPUTED_VALUE"""),"ARG")</f>
        <v>ARG</v>
      </c>
      <c r="F261" s="38">
        <f ca="1">IFERROR(__xludf.DUMMYFUNCTION("""COMPUTED_VALUE"""),52650181)</f>
        <v>52650181</v>
      </c>
      <c r="G261" s="37">
        <f ca="1">IFERROR(__xludf.DUMMYFUNCTION("""COMPUTED_VALUE"""),41216)</f>
        <v>41216</v>
      </c>
      <c r="H261" s="38" t="str">
        <f ca="1">IFERROR(__xludf.DUMMYFUNCTION("""COMPUTED_VALUE"""),"+5492804387512")</f>
        <v>+5492804387512</v>
      </c>
      <c r="I261" s="38" t="str">
        <f ca="1">IFERROR(__xludf.DUMMYFUNCTION("""COMPUTED_VALUE"""),"+5491158301838")</f>
        <v>+5491158301838</v>
      </c>
      <c r="J261" s="38" t="str">
        <f ca="1">IFERROR(__xludf.DUMMYFUNCTION("""COMPUTED_VALUE"""),"Daniepascu@gmail.com")</f>
        <v>Daniepascu@gmail.com</v>
      </c>
      <c r="K261" s="38" t="str">
        <f ca="1">IFERROR(__xludf.DUMMYFUNCTION("""COMPUTED_VALUE"""),"Masculino")</f>
        <v>Masculino</v>
      </c>
      <c r="L261" s="38" t="str">
        <f ca="1">IFERROR(__xludf.DUMMYFUNCTION("""COMPUTED_VALUE"""),"CNAS")</f>
        <v>CNAS</v>
      </c>
      <c r="M261" s="38" t="str">
        <f ca="1">IFERROR(__xludf.DUMMYFUNCTION("""COMPUTED_VALUE"""),"Interior (Optimist)")</f>
        <v>Interior (Optimist)</v>
      </c>
      <c r="N261" s="6" t="str">
        <f ca="1">IFERROR(__xludf.DUMMYFUNCTION("""COMPUTED_VALUE"""),"OPTIMIST TIMONELES")</f>
        <v>OPTIMIST TIMONELES</v>
      </c>
      <c r="O261" s="6"/>
      <c r="P261" s="6">
        <f ca="1">IFERROR(__xludf.DUMMYFUNCTION("""COMPUTED_VALUE"""),4046)</f>
        <v>4046</v>
      </c>
      <c r="Q261" s="38"/>
      <c r="R261" s="38"/>
      <c r="S261" s="38"/>
      <c r="T261" s="38"/>
      <c r="U261" s="38"/>
      <c r="V261" s="38"/>
      <c r="W261" s="38"/>
      <c r="X261" s="40" t="str">
        <f ca="1">IFERROR(__xludf.DUMMYFUNCTION("""COMPUTED_VALUE"""),"IOSFA 058678-3/07")</f>
        <v>IOSFA 058678-3/07</v>
      </c>
      <c r="Y261" s="6" t="str">
        <f ca="1">IFERROR(__xludf.DUMMYFUNCTION("""COMPUTED_VALUE"""),"Si")</f>
        <v>Si</v>
      </c>
      <c r="Z261" s="38" t="str">
        <f ca="1">IFERROR(__xludf.DUMMYFUNCTION("""COMPUTED_VALUE"""),"Acepto")</f>
        <v>Acepto</v>
      </c>
      <c r="AA261" s="38" t="str">
        <f ca="1">IFERROR(__xludf.DUMMYFUNCTION("""COMPUTED_VALUE"""),"Terminado")</f>
        <v>Terminado</v>
      </c>
      <c r="AB261" s="38">
        <f ca="1">IFERROR(__xludf.DUMMYFUNCTION("""COMPUTED_VALUE"""),60000)</f>
        <v>60000</v>
      </c>
      <c r="AC261" s="6">
        <f ca="1">IFERROR(__xludf.DUMMYFUNCTION("""COMPUTED_VALUE"""),205080)</f>
        <v>205080</v>
      </c>
      <c r="AD261" s="6" t="str">
        <f ca="1">IFERROR(__xludf.DUMMYFUNCTION("""COMPUTED_VALUE"""),"TRF 29-08")</f>
        <v>TRF 29-08</v>
      </c>
      <c r="AE261" s="6"/>
      <c r="AF261" s="6"/>
    </row>
    <row r="262" spans="1:32" ht="13.2">
      <c r="A262" s="35">
        <f ca="1">IFERROR(__xludf.DUMMYFUNCTION("""COMPUTED_VALUE"""),45539.687652118)</f>
        <v>45539.687652118002</v>
      </c>
      <c r="B262" s="36" t="str">
        <f ca="1">IFERROR(__xludf.DUMMYFUNCTION("""COMPUTED_VALUE"""),"Nina ")</f>
        <v xml:space="preserve">Nina </v>
      </c>
      <c r="C262" s="36" t="str">
        <f ca="1">IFERROR(__xludf.DUMMYFUNCTION("""COMPUTED_VALUE"""),"Raineri Taverna")</f>
        <v>Raineri Taverna</v>
      </c>
      <c r="D262" s="36" t="str">
        <f ca="1">IFERROR(__xludf.DUMMYFUNCTION("""COMPUTED_VALUE"""),"Rosario")</f>
        <v>Rosario</v>
      </c>
      <c r="E262" s="38" t="str">
        <f ca="1">IFERROR(__xludf.DUMMYFUNCTION("""COMPUTED_VALUE"""),"ARG")</f>
        <v>ARG</v>
      </c>
      <c r="F262" s="38">
        <f ca="1">IFERROR(__xludf.DUMMYFUNCTION("""COMPUTED_VALUE"""),53185733)</f>
        <v>53185733</v>
      </c>
      <c r="G262" s="37">
        <f ca="1">IFERROR(__xludf.DUMMYFUNCTION("""COMPUTED_VALUE"""),41335)</f>
        <v>41335</v>
      </c>
      <c r="H262" s="38">
        <f ca="1">IFERROR(__xludf.DUMMYFUNCTION("""COMPUTED_VALUE"""),3415632090)</f>
        <v>3415632090</v>
      </c>
      <c r="I262" s="38">
        <f ca="1">IFERROR(__xludf.DUMMYFUNCTION("""COMPUTED_VALUE"""),3415632090)</f>
        <v>3415632090</v>
      </c>
      <c r="J262" s="38" t="str">
        <f ca="1">IFERROR(__xludf.DUMMYFUNCTION("""COMPUTED_VALUE"""),"andtaverna@gmail.com")</f>
        <v>andtaverna@gmail.com</v>
      </c>
      <c r="K262" s="38" t="str">
        <f ca="1">IFERROR(__xludf.DUMMYFUNCTION("""COMPUTED_VALUE"""),"Femenino")</f>
        <v>Femenino</v>
      </c>
      <c r="L262" s="38" t="str">
        <f ca="1">IFERROR(__xludf.DUMMYFUNCTION("""COMPUTED_VALUE"""),"CVR ")</f>
        <v xml:space="preserve">CVR </v>
      </c>
      <c r="M262" s="38" t="str">
        <f ca="1">IFERROR(__xludf.DUMMYFUNCTION("""COMPUTED_VALUE"""),"Femenino, Interior (Optimist)")</f>
        <v>Femenino, Interior (Optimist)</v>
      </c>
      <c r="N262" s="6" t="str">
        <f ca="1">IFERROR(__xludf.DUMMYFUNCTION("""COMPUTED_VALUE"""),"OPTIMIST TIMONELES")</f>
        <v>OPTIMIST TIMONELES</v>
      </c>
      <c r="O262" s="6">
        <f ca="1">IFERROR(__xludf.DUMMYFUNCTION("""COMPUTED_VALUE"""),169574)</f>
        <v>169574</v>
      </c>
      <c r="P262" s="6">
        <f ca="1">IFERROR(__xludf.DUMMYFUNCTION("""COMPUTED_VALUE"""),3938)</f>
        <v>3938</v>
      </c>
      <c r="Q262" s="38"/>
      <c r="R262" s="38"/>
      <c r="S262" s="38"/>
      <c r="T262" s="38"/>
      <c r="U262" s="38"/>
      <c r="V262" s="38"/>
      <c r="W262" s="38"/>
      <c r="X262" s="40" t="str">
        <f ca="1">IFERROR(__xludf.DUMMYFUNCTION("""COMPUTED_VALUE"""),"Swiss medical")</f>
        <v>Swiss medical</v>
      </c>
      <c r="Y262" s="6" t="str">
        <f ca="1">IFERROR(__xludf.DUMMYFUNCTION("""COMPUTED_VALUE"""),"Si")</f>
        <v>Si</v>
      </c>
      <c r="Z262" s="38" t="str">
        <f ca="1">IFERROR(__xludf.DUMMYFUNCTION("""COMPUTED_VALUE"""),"Acepto")</f>
        <v>Acepto</v>
      </c>
      <c r="AA262" s="38" t="str">
        <f ca="1">IFERROR(__xludf.DUMMYFUNCTION("""COMPUTED_VALUE"""),"Terminado")</f>
        <v>Terminado</v>
      </c>
      <c r="AB262" s="38">
        <f ca="1">IFERROR(__xludf.DUMMYFUNCTION("""COMPUTED_VALUE"""),60000)</f>
        <v>60000</v>
      </c>
      <c r="AC262" s="6">
        <f ca="1">IFERROR(__xludf.DUMMYFUNCTION("""COMPUTED_VALUE"""),205397)</f>
        <v>205397</v>
      </c>
      <c r="AD262" s="6" t="str">
        <f ca="1">IFERROR(__xludf.DUMMYFUNCTION("""COMPUTED_VALUE"""),"TRF 02-09")</f>
        <v>TRF 02-09</v>
      </c>
      <c r="AE262" s="6"/>
      <c r="AF262" s="6"/>
    </row>
    <row r="263" spans="1:32" ht="13.2">
      <c r="A263" s="35">
        <f ca="1">IFERROR(__xludf.DUMMYFUNCTION("""COMPUTED_VALUE"""),45534.6453983101)</f>
        <v>45534.645398310102</v>
      </c>
      <c r="B263" s="36" t="str">
        <f ca="1">IFERROR(__xludf.DUMMYFUNCTION("""COMPUTED_VALUE"""),"Judesson")</f>
        <v>Judesson</v>
      </c>
      <c r="C263" s="36" t="str">
        <f ca="1">IFERROR(__xludf.DUMMYFUNCTION("""COMPUTED_VALUE"""),"Ramos")</f>
        <v>Ramos</v>
      </c>
      <c r="D263" s="36" t="str">
        <f ca="1">IFERROR(__xludf.DUMMYFUNCTION("""COMPUTED_VALUE"""),"Buenos Aires ")</f>
        <v xml:space="preserve">Buenos Aires </v>
      </c>
      <c r="E263" s="38" t="str">
        <f ca="1">IFERROR(__xludf.DUMMYFUNCTION("""COMPUTED_VALUE"""),"ARG")</f>
        <v>ARG</v>
      </c>
      <c r="F263" s="38">
        <f ca="1">IFERROR(__xludf.DUMMYFUNCTION("""COMPUTED_VALUE"""),51704116)</f>
        <v>51704116</v>
      </c>
      <c r="G263" s="37">
        <f ca="1">IFERROR(__xludf.DUMMYFUNCTION("""COMPUTED_VALUE"""),39858)</f>
        <v>39858</v>
      </c>
      <c r="H263" s="38">
        <f ca="1">IFERROR(__xludf.DUMMYFUNCTION("""COMPUTED_VALUE"""),1136841241)</f>
        <v>1136841241</v>
      </c>
      <c r="I263" s="38">
        <f ca="1">IFERROR(__xludf.DUMMYFUNCTION("""COMPUTED_VALUE"""),1121889991)</f>
        <v>1121889991</v>
      </c>
      <c r="J263" s="38" t="str">
        <f ca="1">IFERROR(__xludf.DUMMYFUNCTION("""COMPUTED_VALUE"""),"jfranciscoramos@hotmail.com")</f>
        <v>jfranciscoramos@hotmail.com</v>
      </c>
      <c r="K263" s="38" t="str">
        <f ca="1">IFERROR(__xludf.DUMMYFUNCTION("""COMPUTED_VALUE"""),"Masculino")</f>
        <v>Masculino</v>
      </c>
      <c r="L263" s="38" t="str">
        <f ca="1">IFERROR(__xludf.DUMMYFUNCTION("""COMPUTED_VALUE"""),"Yccn")</f>
        <v>Yccn</v>
      </c>
      <c r="M263" s="38"/>
      <c r="N263" s="6" t="str">
        <f ca="1">IFERROR(__xludf.DUMMYFUNCTION("""COMPUTED_VALUE"""),"OPTIMIST TIMONELES")</f>
        <v>OPTIMIST TIMONELES</v>
      </c>
      <c r="O263" s="6"/>
      <c r="P263" s="6">
        <f ca="1">IFERROR(__xludf.DUMMYFUNCTION("""COMPUTED_VALUE"""),3776)</f>
        <v>3776</v>
      </c>
      <c r="Q263" s="38"/>
      <c r="R263" s="38"/>
      <c r="S263" s="38"/>
      <c r="T263" s="38"/>
      <c r="U263" s="38"/>
      <c r="V263" s="38"/>
      <c r="W263" s="38"/>
      <c r="X263" s="40" t="str">
        <f ca="1">IFERROR(__xludf.DUMMYFUNCTION("""COMPUTED_VALUE"""),"Osde/61004637205")</f>
        <v>Osde/61004637205</v>
      </c>
      <c r="Y263" s="6" t="str">
        <f ca="1">IFERROR(__xludf.DUMMYFUNCTION("""COMPUTED_VALUE"""),"Si")</f>
        <v>Si</v>
      </c>
      <c r="Z263" s="38" t="str">
        <f ca="1">IFERROR(__xludf.DUMMYFUNCTION("""COMPUTED_VALUE"""),"Acepto")</f>
        <v>Acepto</v>
      </c>
      <c r="AA263" s="38" t="str">
        <f ca="1">IFERROR(__xludf.DUMMYFUNCTION("""COMPUTED_VALUE"""),"Terminado")</f>
        <v>Terminado</v>
      </c>
      <c r="AB263" s="38">
        <f ca="1">IFERROR(__xludf.DUMMYFUNCTION("""COMPUTED_VALUE"""),60000)</f>
        <v>60000</v>
      </c>
      <c r="AC263" s="6">
        <f ca="1">IFERROR(__xludf.DUMMYFUNCTION("""COMPUTED_VALUE"""),205099)</f>
        <v>205099</v>
      </c>
      <c r="AD263" s="6" t="str">
        <f ca="1">IFERROR(__xludf.DUMMYFUNCTION("""COMPUTED_VALUE"""),"TRF 30-08")</f>
        <v>TRF 30-08</v>
      </c>
      <c r="AE263" s="6"/>
      <c r="AF263" s="6"/>
    </row>
    <row r="264" spans="1:32" ht="13.2">
      <c r="A264" s="35">
        <f ca="1">IFERROR(__xludf.DUMMYFUNCTION("""COMPUTED_VALUE"""),45540.3935360995)</f>
        <v>45540.393536099502</v>
      </c>
      <c r="B264" s="36" t="str">
        <f ca="1">IFERROR(__xludf.DUMMYFUNCTION("""COMPUTED_VALUE"""),"Jean Lucca")</f>
        <v>Jean Lucca</v>
      </c>
      <c r="C264" s="36" t="str">
        <f ca="1">IFERROR(__xludf.DUMMYFUNCTION("""COMPUTED_VALUE"""),"Reis Demartin")</f>
        <v>Reis Demartin</v>
      </c>
      <c r="D264" s="36" t="str">
        <f ca="1">IFERROR(__xludf.DUMMYFUNCTION("""COMPUTED_VALUE"""),"Martínez")</f>
        <v>Martínez</v>
      </c>
      <c r="E264" s="38" t="str">
        <f ca="1">IFERROR(__xludf.DUMMYFUNCTION("""COMPUTED_VALUE"""),"ARG")</f>
        <v>ARG</v>
      </c>
      <c r="F264" s="38">
        <f ca="1">IFERROR(__xludf.DUMMYFUNCTION("""COMPUTED_VALUE"""),50610292)</f>
        <v>50610292</v>
      </c>
      <c r="G264" s="37">
        <f ca="1">IFERROR(__xludf.DUMMYFUNCTION("""COMPUTED_VALUE"""),40551)</f>
        <v>40551</v>
      </c>
      <c r="H264" s="38">
        <f ca="1">IFERROR(__xludf.DUMMYFUNCTION("""COMPUTED_VALUE"""),1131876969)</f>
        <v>1131876969</v>
      </c>
      <c r="I264" s="38">
        <f ca="1">IFERROR(__xludf.DUMMYFUNCTION("""COMPUTED_VALUE"""),1131876969)</f>
        <v>1131876969</v>
      </c>
      <c r="J264" s="38" t="str">
        <f ca="1">IFERROR(__xludf.DUMMYFUNCTION("""COMPUTED_VALUE"""),"rafaeldemartin@gmail.com")</f>
        <v>rafaeldemartin@gmail.com</v>
      </c>
      <c r="K264" s="38" t="str">
        <f ca="1">IFERROR(__xludf.DUMMYFUNCTION("""COMPUTED_VALUE"""),"Masculino")</f>
        <v>Masculino</v>
      </c>
      <c r="L264" s="38" t="str">
        <f ca="1">IFERROR(__xludf.DUMMYFUNCTION("""COMPUTED_VALUE"""),"CVB")</f>
        <v>CVB</v>
      </c>
      <c r="M264" s="38"/>
      <c r="N264" s="6" t="str">
        <f ca="1">IFERROR(__xludf.DUMMYFUNCTION("""COMPUTED_VALUE"""),"OPTIMIST TIMONELES")</f>
        <v>OPTIMIST TIMONELES</v>
      </c>
      <c r="O264" s="6"/>
      <c r="P264" s="6">
        <f ca="1">IFERROR(__xludf.DUMMYFUNCTION("""COMPUTED_VALUE"""),3627)</f>
        <v>3627</v>
      </c>
      <c r="Q264" s="38"/>
      <c r="R264" s="38"/>
      <c r="S264" s="38"/>
      <c r="T264" s="38"/>
      <c r="U264" s="38"/>
      <c r="V264" s="38"/>
      <c r="W264" s="38"/>
      <c r="X264" s="40">
        <f ca="1">IFERROR(__xludf.DUMMYFUNCTION("""COMPUTED_VALUE"""),60841875604)</f>
        <v>60841875604</v>
      </c>
      <c r="Y264" s="6" t="str">
        <f ca="1">IFERROR(__xludf.DUMMYFUNCTION("""COMPUTED_VALUE"""),"Si")</f>
        <v>Si</v>
      </c>
      <c r="Z264" s="38" t="str">
        <f ca="1">IFERROR(__xludf.DUMMYFUNCTION("""COMPUTED_VALUE"""),"Acepto")</f>
        <v>Acepto</v>
      </c>
      <c r="AA264" s="38" t="str">
        <f ca="1">IFERROR(__xludf.DUMMYFUNCTION("""COMPUTED_VALUE"""),"Terminado")</f>
        <v>Terminado</v>
      </c>
      <c r="AB264" s="38">
        <f ca="1">IFERROR(__xludf.DUMMYFUNCTION("""COMPUTED_VALUE"""),50000)</f>
        <v>50000</v>
      </c>
      <c r="AC264" s="6">
        <f ca="1">IFERROR(__xludf.DUMMYFUNCTION("""COMPUTED_VALUE"""),205480)</f>
        <v>205480</v>
      </c>
      <c r="AD264" s="6" t="str">
        <f ca="1">IFERROR(__xludf.DUMMYFUNCTION("""COMPUTED_VALUE"""),"TRF 05-09")</f>
        <v>TRF 05-09</v>
      </c>
      <c r="AE264" s="6"/>
      <c r="AF264" s="6"/>
    </row>
    <row r="265" spans="1:32" ht="13.2">
      <c r="A265" s="35">
        <f ca="1">IFERROR(__xludf.DUMMYFUNCTION("""COMPUTED_VALUE"""),45533.3230571875)</f>
        <v>45533.323057187503</v>
      </c>
      <c r="B265" s="36" t="str">
        <f ca="1">IFERROR(__xludf.DUMMYFUNCTION("""COMPUTED_VALUE"""),"Eduardo ")</f>
        <v xml:space="preserve">Eduardo </v>
      </c>
      <c r="C265" s="36" t="str">
        <f ca="1">IFERROR(__xludf.DUMMYFUNCTION("""COMPUTED_VALUE"""),"Riancho ")</f>
        <v xml:space="preserve">Riancho </v>
      </c>
      <c r="D265" s="36" t="str">
        <f ca="1">IFERROR(__xludf.DUMMYFUNCTION("""COMPUTED_VALUE"""),"Caba")</f>
        <v>Caba</v>
      </c>
      <c r="E265" s="38" t="str">
        <f ca="1">IFERROR(__xludf.DUMMYFUNCTION("""COMPUTED_VALUE"""),"ARG")</f>
        <v>ARG</v>
      </c>
      <c r="F265" s="38">
        <f ca="1">IFERROR(__xludf.DUMMYFUNCTION("""COMPUTED_VALUE"""),17802518)</f>
        <v>17802518</v>
      </c>
      <c r="G265" s="37">
        <f ca="1">IFERROR(__xludf.DUMMYFUNCTION("""COMPUTED_VALUE"""),45520)</f>
        <v>45520</v>
      </c>
      <c r="H265" s="38">
        <f ca="1">IFERROR(__xludf.DUMMYFUNCTION("""COMPUTED_VALUE"""),1149799352)</f>
        <v>1149799352</v>
      </c>
      <c r="I265" s="38"/>
      <c r="J265" s="38" t="str">
        <f ca="1">IFERROR(__xludf.DUMMYFUNCTION("""COMPUTED_VALUE"""),"eduriancho@yahoo.com.ar")</f>
        <v>eduriancho@yahoo.com.ar</v>
      </c>
      <c r="K265" s="38" t="str">
        <f ca="1">IFERROR(__xludf.DUMMYFUNCTION("""COMPUTED_VALUE"""),"Masculino")</f>
        <v>Masculino</v>
      </c>
      <c r="L265" s="38" t="str">
        <f ca="1">IFERROR(__xludf.DUMMYFUNCTION("""COMPUTED_VALUE"""),"CPNLB")</f>
        <v>CPNLB</v>
      </c>
      <c r="M265" s="38"/>
      <c r="N265" s="6" t="str">
        <f ca="1">IFERROR(__xludf.DUMMYFUNCTION("""COMPUTED_VALUE"""),"GRUMETE")</f>
        <v>GRUMETE</v>
      </c>
      <c r="O265" s="6"/>
      <c r="P265" s="6">
        <f ca="1">IFERROR(__xludf.DUMMYFUNCTION("""COMPUTED_VALUE"""),89)</f>
        <v>89</v>
      </c>
      <c r="Q265" s="38" t="str">
        <f ca="1">IFERROR(__xludf.DUMMYFUNCTION("""COMPUTED_VALUE"""),"Lince")</f>
        <v>Lince</v>
      </c>
      <c r="R265" s="38"/>
      <c r="S265" s="38"/>
      <c r="T265" s="38"/>
      <c r="U265" s="38"/>
      <c r="V265" s="38"/>
      <c r="W265" s="38"/>
      <c r="X265" s="40"/>
      <c r="Y265" s="6" t="str">
        <f ca="1">IFERROR(__xludf.DUMMYFUNCTION("""COMPUTED_VALUE"""),"No")</f>
        <v>No</v>
      </c>
      <c r="Z265" s="38" t="str">
        <f ca="1">IFERROR(__xludf.DUMMYFUNCTION("""COMPUTED_VALUE"""),"Acepto")</f>
        <v>Acepto</v>
      </c>
      <c r="AA265" s="38" t="str">
        <f ca="1">IFERROR(__xludf.DUMMYFUNCTION("""COMPUTED_VALUE"""),"Terminado")</f>
        <v>Terminado</v>
      </c>
      <c r="AB265" s="38">
        <f ca="1">IFERROR(__xludf.DUMMYFUNCTION("""COMPUTED_VALUE"""),50000)</f>
        <v>50000</v>
      </c>
      <c r="AC265" s="6">
        <f ca="1">IFERROR(__xludf.DUMMYFUNCTION("""COMPUTED_VALUE"""),205517)</f>
        <v>205517</v>
      </c>
      <c r="AD265" s="6" t="str">
        <f ca="1">IFERROR(__xludf.DUMMYFUNCTION("""COMPUTED_VALUE"""),"TRF 05-09")</f>
        <v>TRF 05-09</v>
      </c>
      <c r="AE265" s="6"/>
      <c r="AF265" s="6"/>
    </row>
    <row r="266" spans="1:32" ht="13.2">
      <c r="A266" s="35">
        <f ca="1">IFERROR(__xludf.DUMMYFUNCTION("""COMPUTED_VALUE"""),45535.7114864467)</f>
        <v>45535.7114864467</v>
      </c>
      <c r="B266" s="36" t="str">
        <f ca="1">IFERROR(__xludf.DUMMYFUNCTION("""COMPUTED_VALUE"""),"Juan Cruz")</f>
        <v>Juan Cruz</v>
      </c>
      <c r="C266" s="36" t="str">
        <f ca="1">IFERROR(__xludf.DUMMYFUNCTION("""COMPUTED_VALUE"""),"Ricciardi")</f>
        <v>Ricciardi</v>
      </c>
      <c r="D266" s="36" t="str">
        <f ca="1">IFERROR(__xludf.DUMMYFUNCTION("""COMPUTED_VALUE"""),"Puerto Madryn")</f>
        <v>Puerto Madryn</v>
      </c>
      <c r="E266" s="38" t="str">
        <f ca="1">IFERROR(__xludf.DUMMYFUNCTION("""COMPUTED_VALUE"""),"ARG")</f>
        <v>ARG</v>
      </c>
      <c r="F266" s="38">
        <f ca="1">IFERROR(__xludf.DUMMYFUNCTION("""COMPUTED_VALUE"""),52650256)</f>
        <v>52650256</v>
      </c>
      <c r="G266" s="37">
        <f ca="1">IFERROR(__xludf.DUMMYFUNCTION("""COMPUTED_VALUE"""),41269)</f>
        <v>41269</v>
      </c>
      <c r="H266" s="38">
        <f ca="1">IFERROR(__xludf.DUMMYFUNCTION("""COMPUTED_VALUE"""),2804669491)</f>
        <v>2804669491</v>
      </c>
      <c r="I266" s="38">
        <f ca="1">IFERROR(__xludf.DUMMYFUNCTION("""COMPUTED_VALUE"""),2804602408)</f>
        <v>2804602408</v>
      </c>
      <c r="J266" s="38" t="str">
        <f ca="1">IFERROR(__xludf.DUMMYFUNCTION("""COMPUTED_VALUE"""),"marcosricciardi.patagonia@gmail.com")</f>
        <v>marcosricciardi.patagonia@gmail.com</v>
      </c>
      <c r="K266" s="38" t="str">
        <f ca="1">IFERROR(__xludf.DUMMYFUNCTION("""COMPUTED_VALUE"""),"Masculino")</f>
        <v>Masculino</v>
      </c>
      <c r="L266" s="38" t="str">
        <f ca="1">IFERROR(__xludf.DUMMYFUNCTION("""COMPUTED_VALUE"""),"CNAS")</f>
        <v>CNAS</v>
      </c>
      <c r="M266" s="38" t="str">
        <f ca="1">IFERROR(__xludf.DUMMYFUNCTION("""COMPUTED_VALUE"""),"Interior (Optimist)")</f>
        <v>Interior (Optimist)</v>
      </c>
      <c r="N266" s="6" t="str">
        <f ca="1">IFERROR(__xludf.DUMMYFUNCTION("""COMPUTED_VALUE"""),"OPTIMIST TIMONELES")</f>
        <v>OPTIMIST TIMONELES</v>
      </c>
      <c r="O266" s="6"/>
      <c r="P266" s="6">
        <f ca="1">IFERROR(__xludf.DUMMYFUNCTION("""COMPUTED_VALUE"""),4059)</f>
        <v>4059</v>
      </c>
      <c r="Q266" s="38" t="str">
        <f ca="1">IFERROR(__xludf.DUMMYFUNCTION("""COMPUTED_VALUE"""),"Poroto")</f>
        <v>Poroto</v>
      </c>
      <c r="R266" s="38"/>
      <c r="S266" s="38"/>
      <c r="T266" s="38"/>
      <c r="U266" s="38"/>
      <c r="V266" s="38"/>
      <c r="W266" s="38"/>
      <c r="X266" s="40" t="str">
        <f ca="1">IFERROR(__xludf.DUMMYFUNCTION("""COMPUTED_VALUE"""),"OSDE 61072813902")</f>
        <v>OSDE 61072813902</v>
      </c>
      <c r="Y266" s="6" t="str">
        <f ca="1">IFERROR(__xludf.DUMMYFUNCTION("""COMPUTED_VALUE"""),"Si")</f>
        <v>Si</v>
      </c>
      <c r="Z266" s="38" t="str">
        <f ca="1">IFERROR(__xludf.DUMMYFUNCTION("""COMPUTED_VALUE"""),"Acepto")</f>
        <v>Acepto</v>
      </c>
      <c r="AA266" s="38" t="str">
        <f ca="1">IFERROR(__xludf.DUMMYFUNCTION("""COMPUTED_VALUE"""),"Terminado")</f>
        <v>Terminado</v>
      </c>
      <c r="AB266" s="38">
        <f ca="1">IFERROR(__xludf.DUMMYFUNCTION("""COMPUTED_VALUE"""),42500)</f>
        <v>42500</v>
      </c>
      <c r="AC266" s="6">
        <f ca="1">IFERROR(__xludf.DUMMYFUNCTION("""COMPUTED_VALUE"""),205369)</f>
        <v>205369</v>
      </c>
      <c r="AD266" s="6" t="str">
        <f ca="1">IFERROR(__xludf.DUMMYFUNCTION("""COMPUTED_VALUE"""),"TRF 02-09")</f>
        <v>TRF 02-09</v>
      </c>
      <c r="AE266" s="6"/>
      <c r="AF266" s="6"/>
    </row>
    <row r="267" spans="1:32" ht="13.2">
      <c r="A267" s="35">
        <f ca="1">IFERROR(__xludf.DUMMYFUNCTION("""COMPUTED_VALUE"""),45540.6659543402)</f>
        <v>45540.665954340198</v>
      </c>
      <c r="B267" s="36" t="str">
        <f ca="1">IFERROR(__xludf.DUMMYFUNCTION("""COMPUTED_VALUE"""),"Roberto")</f>
        <v>Roberto</v>
      </c>
      <c r="C267" s="36" t="str">
        <f ca="1">IFERROR(__xludf.DUMMYFUNCTION("""COMPUTED_VALUE"""),"Ricoveri")</f>
        <v>Ricoveri</v>
      </c>
      <c r="D267" s="36" t="str">
        <f ca="1">IFERROR(__xludf.DUMMYFUNCTION("""COMPUTED_VALUE"""),"caba")</f>
        <v>caba</v>
      </c>
      <c r="E267" s="38" t="str">
        <f ca="1">IFERROR(__xludf.DUMMYFUNCTION("""COMPUTED_VALUE"""),"ARG")</f>
        <v>ARG</v>
      </c>
      <c r="F267" s="38">
        <f ca="1">IFERROR(__xludf.DUMMYFUNCTION("""COMPUTED_VALUE"""),13924228)</f>
        <v>13924228</v>
      </c>
      <c r="G267" s="37">
        <f ca="1">IFERROR(__xludf.DUMMYFUNCTION("""COMPUTED_VALUE"""),21610)</f>
        <v>21610</v>
      </c>
      <c r="H267" s="38">
        <f ca="1">IFERROR(__xludf.DUMMYFUNCTION("""COMPUTED_VALUE"""),1131247997)</f>
        <v>1131247997</v>
      </c>
      <c r="I267" s="38"/>
      <c r="J267" s="38" t="str">
        <f ca="1">IFERROR(__xludf.DUMMYFUNCTION("""COMPUTED_VALUE"""),"robertoricoveri@hotmail.com")</f>
        <v>robertoricoveri@hotmail.com</v>
      </c>
      <c r="K267" s="38" t="str">
        <f ca="1">IFERROR(__xludf.DUMMYFUNCTION("""COMPUTED_VALUE"""),"Masculino")</f>
        <v>Masculino</v>
      </c>
      <c r="L267" s="38" t="str">
        <f ca="1">IFERROR(__xludf.DUMMYFUNCTION("""COMPUTED_VALUE"""),"CUBA")</f>
        <v>CUBA</v>
      </c>
      <c r="M267" s="38"/>
      <c r="N267" s="6" t="str">
        <f ca="1">IFERROR(__xludf.DUMMYFUNCTION("""COMPUTED_VALUE"""),"GRUMETE")</f>
        <v>GRUMETE</v>
      </c>
      <c r="O267" s="6"/>
      <c r="P267" s="6">
        <f ca="1">IFERROR(__xludf.DUMMYFUNCTION("""COMPUTED_VALUE"""),300)</f>
        <v>300</v>
      </c>
      <c r="Q267" s="38" t="str">
        <f ca="1">IFERROR(__xludf.DUMMYFUNCTION("""COMPUTED_VALUE"""),"Antares")</f>
        <v>Antares</v>
      </c>
      <c r="R267" s="38" t="str">
        <f ca="1">IFERROR(__xludf.DUMMYFUNCTION("""COMPUTED_VALUE"""),"Jaime Bejarano")</f>
        <v>Jaime Bejarano</v>
      </c>
      <c r="S267" s="38" t="str">
        <f ca="1">IFERROR(__xludf.DUMMYFUNCTION("""COMPUTED_VALUE"""),"Verena Zagni")</f>
        <v>Verena Zagni</v>
      </c>
      <c r="T267" s="38"/>
      <c r="U267" s="38"/>
      <c r="V267" s="38"/>
      <c r="W267" s="38"/>
      <c r="X267" s="40" t="str">
        <f ca="1">IFERROR(__xludf.DUMMYFUNCTION("""COMPUTED_VALUE"""),"Galeno")</f>
        <v>Galeno</v>
      </c>
      <c r="Y267" s="6" t="str">
        <f ca="1">IFERROR(__xludf.DUMMYFUNCTION("""COMPUTED_VALUE"""),"No")</f>
        <v>No</v>
      </c>
      <c r="Z267" s="38" t="str">
        <f ca="1">IFERROR(__xludf.DUMMYFUNCTION("""COMPUTED_VALUE"""),"Acepto")</f>
        <v>Acepto</v>
      </c>
      <c r="AA267" s="38" t="str">
        <f ca="1">IFERROR(__xludf.DUMMYFUNCTION("""COMPUTED_VALUE"""),"Terminado")</f>
        <v>Terminado</v>
      </c>
      <c r="AB267" s="38">
        <f ca="1">IFERROR(__xludf.DUMMYFUNCTION("""COMPUTED_VALUE"""),60000)</f>
        <v>60000</v>
      </c>
      <c r="AC267" s="6">
        <f ca="1">IFERROR(__xludf.DUMMYFUNCTION("""COMPUTED_VALUE"""),205485)</f>
        <v>205485</v>
      </c>
      <c r="AD267" s="6" t="str">
        <f ca="1">IFERROR(__xludf.DUMMYFUNCTION("""COMPUTED_VALUE"""),"TRF 05-09")</f>
        <v>TRF 05-09</v>
      </c>
      <c r="AE267" s="6"/>
      <c r="AF267" s="6"/>
    </row>
    <row r="268" spans="1:32" ht="13.2">
      <c r="A268" s="35">
        <f ca="1">IFERROR(__xludf.DUMMYFUNCTION("""COMPUTED_VALUE"""),45519.7308971296)</f>
        <v>45519.730897129601</v>
      </c>
      <c r="B268" s="36" t="str">
        <f ca="1">IFERROR(__xludf.DUMMYFUNCTION("""COMPUTED_VALUE"""),"Santiago")</f>
        <v>Santiago</v>
      </c>
      <c r="C268" s="36" t="str">
        <f ca="1">IFERROR(__xludf.DUMMYFUNCTION("""COMPUTED_VALUE"""),"Rigoni")</f>
        <v>Rigoni</v>
      </c>
      <c r="D268" s="36" t="str">
        <f ca="1">IFERROR(__xludf.DUMMYFUNCTION("""COMPUTED_VALUE"""),"Buenos aires ")</f>
        <v xml:space="preserve">Buenos aires </v>
      </c>
      <c r="E268" s="38" t="str">
        <f ca="1">IFERROR(__xludf.DUMMYFUNCTION("""COMPUTED_VALUE"""),"ARG")</f>
        <v>ARG</v>
      </c>
      <c r="F268" s="38">
        <f ca="1">IFERROR(__xludf.DUMMYFUNCTION("""COMPUTED_VALUE"""),36728927)</f>
        <v>36728927</v>
      </c>
      <c r="G268" s="37">
        <f ca="1">IFERROR(__xludf.DUMMYFUNCTION("""COMPUTED_VALUE"""),33659)</f>
        <v>33659</v>
      </c>
      <c r="H268" s="38">
        <f ca="1">IFERROR(__xludf.DUMMYFUNCTION("""COMPUTED_VALUE"""),1161454936)</f>
        <v>1161454936</v>
      </c>
      <c r="I268" s="38"/>
      <c r="J268" s="38" t="str">
        <f ca="1">IFERROR(__xludf.DUMMYFUNCTION("""COMPUTED_VALUE"""),"santirigoni@gmail.com")</f>
        <v>santirigoni@gmail.com</v>
      </c>
      <c r="K268" s="38" t="str">
        <f ca="1">IFERROR(__xludf.DUMMYFUNCTION("""COMPUTED_VALUE"""),"Masculino")</f>
        <v>Masculino</v>
      </c>
      <c r="L268" s="38" t="str">
        <f ca="1">IFERROR(__xludf.DUMMYFUNCTION("""COMPUTED_VALUE"""),"CUBA")</f>
        <v>CUBA</v>
      </c>
      <c r="M268" s="38"/>
      <c r="N268" s="6" t="str">
        <f ca="1">IFERROR(__xludf.DUMMYFUNCTION("""COMPUTED_VALUE"""),"WING FOIL")</f>
        <v>WING FOIL</v>
      </c>
      <c r="O268" s="6"/>
      <c r="P268" s="6" t="str">
        <f ca="1">IFERROR(__xludf.DUMMYFUNCTION("""COMPUTED_VALUE"""),"03")</f>
        <v>03</v>
      </c>
      <c r="Q268" s="38"/>
      <c r="R268" s="38"/>
      <c r="S268" s="38"/>
      <c r="T268" s="38"/>
      <c r="U268" s="38"/>
      <c r="V268" s="38"/>
      <c r="W268" s="38"/>
      <c r="X268" s="40" t="str">
        <f ca="1">IFERROR(__xludf.DUMMYFUNCTION("""COMPUTED_VALUE"""),"Dosuba")</f>
        <v>Dosuba</v>
      </c>
      <c r="Y268" s="6" t="str">
        <f ca="1">IFERROR(__xludf.DUMMYFUNCTION("""COMPUTED_VALUE"""),"No")</f>
        <v>No</v>
      </c>
      <c r="Z268" s="38" t="str">
        <f ca="1">IFERROR(__xludf.DUMMYFUNCTION("""COMPUTED_VALUE"""),"Acepto")</f>
        <v>Acepto</v>
      </c>
      <c r="AA268" s="38" t="str">
        <f ca="1">IFERROR(__xludf.DUMMYFUNCTION("""COMPUTED_VALUE"""),"Pendiente")</f>
        <v>Pendiente</v>
      </c>
      <c r="AB268" s="38"/>
      <c r="AC268" s="6"/>
      <c r="AD268" s="6"/>
      <c r="AE268" s="6"/>
      <c r="AF268" s="6"/>
    </row>
    <row r="269" spans="1:32" ht="13.2">
      <c r="A269" s="35">
        <f ca="1">IFERROR(__xludf.DUMMYFUNCTION("""COMPUTED_VALUE"""),45535.474573206)</f>
        <v>45535.474573205996</v>
      </c>
      <c r="B269" s="36" t="str">
        <f ca="1">IFERROR(__xludf.DUMMYFUNCTION("""COMPUTED_VALUE"""),"Ignacio ")</f>
        <v xml:space="preserve">Ignacio </v>
      </c>
      <c r="C269" s="36" t="str">
        <f ca="1">IFERROR(__xludf.DUMMYFUNCTION("""COMPUTED_VALUE"""),"Rodriguez")</f>
        <v>Rodriguez</v>
      </c>
      <c r="D269" s="36" t="str">
        <f ca="1">IFERROR(__xludf.DUMMYFUNCTION("""COMPUTED_VALUE"""),"Montevideo")</f>
        <v>Montevideo</v>
      </c>
      <c r="E269" s="38" t="str">
        <f ca="1">IFERROR(__xludf.DUMMYFUNCTION("""COMPUTED_VALUE"""),"URU")</f>
        <v>URU</v>
      </c>
      <c r="F269" s="38">
        <f ca="1">IFERROR(__xludf.DUMMYFUNCTION("""COMPUTED_VALUE"""),49507645)</f>
        <v>49507645</v>
      </c>
      <c r="G269" s="37">
        <f ca="1">IFERROR(__xludf.DUMMYFUNCTION("""COMPUTED_VALUE"""),35476)</f>
        <v>35476</v>
      </c>
      <c r="H269" s="38" t="str">
        <f ca="1">IFERROR(__xludf.DUMMYFUNCTION("""COMPUTED_VALUE"""),"0059899127317")</f>
        <v>0059899127317</v>
      </c>
      <c r="I269" s="38" t="str">
        <f ca="1">IFERROR(__xludf.DUMMYFUNCTION("""COMPUTED_VALUE"""),"0059899668494")</f>
        <v>0059899668494</v>
      </c>
      <c r="J269" s="38" t="str">
        <f ca="1">IFERROR(__xludf.DUMMYFUNCTION("""COMPUTED_VALUE"""),"daniel@guayaqui.com.uy")</f>
        <v>daniel@guayaqui.com.uy</v>
      </c>
      <c r="K269" s="38" t="str">
        <f ca="1">IFERROR(__xludf.DUMMYFUNCTION("""COMPUTED_VALUE"""),"Masculino")</f>
        <v>Masculino</v>
      </c>
      <c r="L269" s="38" t="str">
        <f ca="1">IFERROR(__xludf.DUMMYFUNCTION("""COMPUTED_VALUE"""),"YCU")</f>
        <v>YCU</v>
      </c>
      <c r="M269" s="38" t="str">
        <f ca="1">IFERROR(__xludf.DUMMYFUNCTION("""COMPUTED_VALUE"""),"snipe mixto")</f>
        <v>snipe mixto</v>
      </c>
      <c r="N269" s="6" t="str">
        <f ca="1">IFERROR(__xludf.DUMMYFUNCTION("""COMPUTED_VALUE"""),"SNIPE")</f>
        <v>SNIPE</v>
      </c>
      <c r="O269" s="6"/>
      <c r="P269" s="6" t="str">
        <f ca="1">IFERROR(__xludf.DUMMYFUNCTION("""COMPUTED_VALUE"""),"URU 29785")</f>
        <v>URU 29785</v>
      </c>
      <c r="Q269" s="38"/>
      <c r="R269" s="38" t="str">
        <f ca="1">IFERROR(__xludf.DUMMYFUNCTION("""COMPUTED_VALUE"""),"Carolina Rodriguez")</f>
        <v>Carolina Rodriguez</v>
      </c>
      <c r="S269" s="38"/>
      <c r="T269" s="38"/>
      <c r="U269" s="38"/>
      <c r="V269" s="38"/>
      <c r="W269" s="38"/>
      <c r="X269" s="40" t="str">
        <f ca="1">IFERROR(__xludf.DUMMYFUNCTION("""COMPUTED_VALUE"""),"Medicina Personalizada Uruguay 49507645/49508417 ")</f>
        <v xml:space="preserve">Medicina Personalizada Uruguay 49507645/49508417 </v>
      </c>
      <c r="Y269" s="6" t="str">
        <f ca="1">IFERROR(__xludf.DUMMYFUNCTION("""COMPUTED_VALUE"""),"Si")</f>
        <v>Si</v>
      </c>
      <c r="Z269" s="38" t="str">
        <f ca="1">IFERROR(__xludf.DUMMYFUNCTION("""COMPUTED_VALUE"""),"Acepto")</f>
        <v>Acepto</v>
      </c>
      <c r="AA269" s="38" t="str">
        <f ca="1">IFERROR(__xludf.DUMMYFUNCTION("""COMPUTED_VALUE"""),"Pendiente")</f>
        <v>Pendiente</v>
      </c>
      <c r="AB269" s="38"/>
      <c r="AC269" s="6"/>
      <c r="AD269" s="6"/>
      <c r="AE269" s="6"/>
      <c r="AF269" s="6"/>
    </row>
    <row r="270" spans="1:32" ht="13.2">
      <c r="A270" s="35">
        <f ca="1">IFERROR(__xludf.DUMMYFUNCTION("""COMPUTED_VALUE"""),45535.4935211805)</f>
        <v>45535.493521180499</v>
      </c>
      <c r="B270" s="36" t="str">
        <f ca="1">IFERROR(__xludf.DUMMYFUNCTION("""COMPUTED_VALUE"""),"Pedro")</f>
        <v>Pedro</v>
      </c>
      <c r="C270" s="36" t="str">
        <f ca="1">IFERROR(__xludf.DUMMYFUNCTION("""COMPUTED_VALUE"""),"Rodriguez Reynoso")</f>
        <v>Rodriguez Reynoso</v>
      </c>
      <c r="D270" s="36" t="str">
        <f ca="1">IFERROR(__xludf.DUMMYFUNCTION("""COMPUTED_VALUE"""),"Buenos aires")</f>
        <v>Buenos aires</v>
      </c>
      <c r="E270" s="38" t="str">
        <f ca="1">IFERROR(__xludf.DUMMYFUNCTION("""COMPUTED_VALUE"""),"ARG")</f>
        <v>ARG</v>
      </c>
      <c r="F270" s="38">
        <f ca="1">IFERROR(__xludf.DUMMYFUNCTION("""COMPUTED_VALUE"""),47436764)</f>
        <v>47436764</v>
      </c>
      <c r="G270" s="37">
        <f ca="1">IFERROR(__xludf.DUMMYFUNCTION("""COMPUTED_VALUE"""),38945)</f>
        <v>38945</v>
      </c>
      <c r="H270" s="38">
        <f ca="1">IFERROR(__xludf.DUMMYFUNCTION("""COMPUTED_VALUE"""),1159460039)</f>
        <v>1159460039</v>
      </c>
      <c r="I270" s="38">
        <f ca="1">IFERROR(__xludf.DUMMYFUNCTION("""COMPUTED_VALUE"""),1151832001)</f>
        <v>1151832001</v>
      </c>
      <c r="J270" s="38" t="str">
        <f ca="1">IFERROR(__xludf.DUMMYFUNCTION("""COMPUTED_VALUE"""),"pedrorodriguezreynoso54@gmail.com")</f>
        <v>pedrorodriguezreynoso54@gmail.com</v>
      </c>
      <c r="K270" s="38" t="str">
        <f ca="1">IFERROR(__xludf.DUMMYFUNCTION("""COMPUTED_VALUE"""),"Masculino")</f>
        <v>Masculino</v>
      </c>
      <c r="L270" s="38" t="str">
        <f ca="1">IFERROR(__xludf.DUMMYFUNCTION("""COMPUTED_VALUE"""),"CNO")</f>
        <v>CNO</v>
      </c>
      <c r="M270" s="38" t="str">
        <f ca="1">IFERROR(__xludf.DUMMYFUNCTION("""COMPUTED_VALUE"""),"U21")</f>
        <v>U21</v>
      </c>
      <c r="N270" s="6" t="str">
        <f ca="1">IFERROR(__xludf.DUMMYFUNCTION("""COMPUTED_VALUE"""),"ILCA 7")</f>
        <v>ILCA 7</v>
      </c>
      <c r="O270" s="6" t="str">
        <f ca="1">IFERROR(__xludf.DUMMYFUNCTION("""COMPUTED_VALUE"""),".")</f>
        <v>.</v>
      </c>
      <c r="P270" s="6">
        <f ca="1">IFERROR(__xludf.DUMMYFUNCTION("""COMPUTED_VALUE"""),219355)</f>
        <v>219355</v>
      </c>
      <c r="Q270" s="38" t="str">
        <f ca="1">IFERROR(__xludf.DUMMYFUNCTION("""COMPUTED_VALUE"""),"Cruz diablo")</f>
        <v>Cruz diablo</v>
      </c>
      <c r="R270" s="38"/>
      <c r="S270" s="38"/>
      <c r="T270" s="38"/>
      <c r="U270" s="38"/>
      <c r="V270" s="38"/>
      <c r="W270" s="38"/>
      <c r="X270" s="40" t="str">
        <f ca="1">IFERROR(__xludf.DUMMYFUNCTION("""COMPUTED_VALUE"""),"Swiss medical")</f>
        <v>Swiss medical</v>
      </c>
      <c r="Y270" s="6" t="str">
        <f ca="1">IFERROR(__xludf.DUMMYFUNCTION("""COMPUTED_VALUE"""),"No")</f>
        <v>No</v>
      </c>
      <c r="Z270" s="38" t="str">
        <f ca="1">IFERROR(__xludf.DUMMYFUNCTION("""COMPUTED_VALUE"""),"Acepto")</f>
        <v>Acepto</v>
      </c>
      <c r="AA270" s="38" t="str">
        <f ca="1">IFERROR(__xludf.DUMMYFUNCTION("""COMPUTED_VALUE"""),"Pendiente")</f>
        <v>Pendiente</v>
      </c>
      <c r="AB270" s="38"/>
      <c r="AC270" s="6"/>
      <c r="AD270" s="6"/>
      <c r="AE270" s="6"/>
      <c r="AF270" s="6"/>
    </row>
    <row r="271" spans="1:32" ht="13.2">
      <c r="A271" s="35">
        <f ca="1">IFERROR(__xludf.DUMMYFUNCTION("""COMPUTED_VALUE"""),45534.7308323148)</f>
        <v>45534.730832314803</v>
      </c>
      <c r="B271" s="36" t="str">
        <f ca="1">IFERROR(__xludf.DUMMYFUNCTION("""COMPUTED_VALUE"""),"Pelado ")</f>
        <v xml:space="preserve">Pelado </v>
      </c>
      <c r="C271" s="36" t="str">
        <f ca="1">IFERROR(__xludf.DUMMYFUNCTION("""COMPUTED_VALUE"""),"Roldán ")</f>
        <v xml:space="preserve">Roldán </v>
      </c>
      <c r="D271" s="36" t="str">
        <f ca="1">IFERROR(__xludf.DUMMYFUNCTION("""COMPUTED_VALUE"""),"SAN ISIDRO - SAN ISIDRO")</f>
        <v>SAN ISIDRO - SAN ISIDRO</v>
      </c>
      <c r="E271" s="38" t="str">
        <f ca="1">IFERROR(__xludf.DUMMYFUNCTION("""COMPUTED_VALUE"""),"ARG")</f>
        <v>ARG</v>
      </c>
      <c r="F271" s="38">
        <f ca="1">IFERROR(__xludf.DUMMYFUNCTION("""COMPUTED_VALUE"""),41213730)</f>
        <v>41213730</v>
      </c>
      <c r="G271" s="37">
        <f ca="1">IFERROR(__xludf.DUMMYFUNCTION("""COMPUTED_VALUE"""),35993)</f>
        <v>35993</v>
      </c>
      <c r="H271" s="38">
        <f ca="1">IFERROR(__xludf.DUMMYFUNCTION("""COMPUTED_VALUE"""),1153082589)</f>
        <v>1153082589</v>
      </c>
      <c r="I271" s="38"/>
      <c r="J271" s="38" t="str">
        <f ca="1">IFERROR(__xludf.DUMMYFUNCTION("""COMPUTED_VALUE"""),"roldanmatu@gmail.com")</f>
        <v>roldanmatu@gmail.com</v>
      </c>
      <c r="K271" s="38" t="str">
        <f ca="1">IFERROR(__xludf.DUMMYFUNCTION("""COMPUTED_VALUE"""),"Masculino")</f>
        <v>Masculino</v>
      </c>
      <c r="L271" s="38" t="str">
        <f ca="1">IFERROR(__xludf.DUMMYFUNCTION("""COMPUTED_VALUE"""),"CNSI ")</f>
        <v xml:space="preserve">CNSI </v>
      </c>
      <c r="M271" s="38"/>
      <c r="N271" s="6">
        <f ca="1">IFERROR(__xludf.DUMMYFUNCTION("""COMPUTED_VALUE"""),420)</f>
        <v>420</v>
      </c>
      <c r="O271" s="6">
        <f ca="1">IFERROR(__xludf.DUMMYFUNCTION("""COMPUTED_VALUE"""),89)</f>
        <v>89</v>
      </c>
      <c r="P271" s="6">
        <f ca="1">IFERROR(__xludf.DUMMYFUNCTION("""COMPUTED_VALUE"""),52651)</f>
        <v>52651</v>
      </c>
      <c r="Q271" s="38" t="str">
        <f ca="1">IFERROR(__xludf.DUMMYFUNCTION("""COMPUTED_VALUE"""),"La rata")</f>
        <v>La rata</v>
      </c>
      <c r="R271" s="38" t="str">
        <f ca="1">IFERROR(__xludf.DUMMYFUNCTION("""COMPUTED_VALUE"""),"Indigo")</f>
        <v>Indigo</v>
      </c>
      <c r="S271" s="38"/>
      <c r="T271" s="38"/>
      <c r="U271" s="38"/>
      <c r="V271" s="38"/>
      <c r="W271" s="38"/>
      <c r="X271" s="40"/>
      <c r="Y271" s="6" t="str">
        <f ca="1">IFERROR(__xludf.DUMMYFUNCTION("""COMPUTED_VALUE"""),"No")</f>
        <v>No</v>
      </c>
      <c r="Z271" s="38" t="str">
        <f ca="1">IFERROR(__xludf.DUMMYFUNCTION("""COMPUTED_VALUE"""),"Acepto")</f>
        <v>Acepto</v>
      </c>
      <c r="AA271" s="38" t="str">
        <f ca="1">IFERROR(__xludf.DUMMYFUNCTION("""COMPUTED_VALUE"""),"Terminado")</f>
        <v>Terminado</v>
      </c>
      <c r="AB271" s="38">
        <f ca="1">IFERROR(__xludf.DUMMYFUNCTION("""COMPUTED_VALUE"""),65000)</f>
        <v>65000</v>
      </c>
      <c r="AC271" s="6">
        <f ca="1">IFERROR(__xludf.DUMMYFUNCTION("""COMPUTED_VALUE"""),205544)</f>
        <v>205544</v>
      </c>
      <c r="AD271" s="6" t="str">
        <f ca="1">IFERROR(__xludf.DUMMYFUNCTION("""COMPUTED_VALUE"""),"TRF 06-09")</f>
        <v>TRF 06-09</v>
      </c>
      <c r="AE271" s="6"/>
      <c r="AF271" s="6"/>
    </row>
    <row r="272" spans="1:32" ht="13.2">
      <c r="A272" s="35">
        <f ca="1">IFERROR(__xludf.DUMMYFUNCTION("""COMPUTED_VALUE"""),45533.9115653125)</f>
        <v>45533.911565312497</v>
      </c>
      <c r="B272" s="36" t="str">
        <f ca="1">IFERROR(__xludf.DUMMYFUNCTION("""COMPUTED_VALUE"""),"andreafde@gmail.com")</f>
        <v>andreafde@gmail.com</v>
      </c>
      <c r="C272" s="36" t="str">
        <f ca="1">IFERROR(__xludf.DUMMYFUNCTION("""COMPUTED_VALUE"""),"Ronchi De croce")</f>
        <v>Ronchi De croce</v>
      </c>
      <c r="D272" s="36" t="str">
        <f ca="1">IFERROR(__xludf.DUMMYFUNCTION("""COMPUTED_VALUE"""),"Buenos aires")</f>
        <v>Buenos aires</v>
      </c>
      <c r="E272" s="38" t="str">
        <f ca="1">IFERROR(__xludf.DUMMYFUNCTION("""COMPUTED_VALUE"""),"ARG")</f>
        <v>ARG</v>
      </c>
      <c r="F272" s="38">
        <f ca="1">IFERROR(__xludf.DUMMYFUNCTION("""COMPUTED_VALUE"""),49422694)</f>
        <v>49422694</v>
      </c>
      <c r="G272" s="37">
        <f ca="1">IFERROR(__xludf.DUMMYFUNCTION("""COMPUTED_VALUE"""),40127)</f>
        <v>40127</v>
      </c>
      <c r="H272" s="38">
        <f ca="1">IFERROR(__xludf.DUMMYFUNCTION("""COMPUTED_VALUE"""),1144293417)</f>
        <v>1144293417</v>
      </c>
      <c r="I272" s="38">
        <f ca="1">IFERROR(__xludf.DUMMYFUNCTION("""COMPUTED_VALUE"""),1144293417)</f>
        <v>1144293417</v>
      </c>
      <c r="J272" s="38" t="str">
        <f ca="1">IFERROR(__xludf.DUMMYFUNCTION("""COMPUTED_VALUE"""),"andreafde@gmail.com")</f>
        <v>andreafde@gmail.com</v>
      </c>
      <c r="K272" s="38" t="str">
        <f ca="1">IFERROR(__xludf.DUMMYFUNCTION("""COMPUTED_VALUE"""),"Masculino")</f>
        <v>Masculino</v>
      </c>
      <c r="L272" s="38" t="str">
        <f ca="1">IFERROR(__xludf.DUMMYFUNCTION("""COMPUTED_VALUE"""),"YCA")</f>
        <v>YCA</v>
      </c>
      <c r="M272" s="38" t="str">
        <f ca="1">IFERROR(__xludf.DUMMYFUNCTION("""COMPUTED_VALUE"""),"Master (ILCA)")</f>
        <v>Master (ILCA)</v>
      </c>
      <c r="N272" s="6" t="str">
        <f ca="1">IFERROR(__xludf.DUMMYFUNCTION("""COMPUTED_VALUE"""),"ILCA 4")</f>
        <v>ILCA 4</v>
      </c>
      <c r="O272" s="6"/>
      <c r="P272" s="6">
        <f ca="1">IFERROR(__xludf.DUMMYFUNCTION("""COMPUTED_VALUE"""),224587)</f>
        <v>224587</v>
      </c>
      <c r="Q272" s="38"/>
      <c r="R272" s="38" t="str">
        <f ca="1">IFERROR(__xludf.DUMMYFUNCTION("""COMPUTED_VALUE"""),"Santino Ronchi De Croce ")</f>
        <v xml:space="preserve">Santino Ronchi De Croce </v>
      </c>
      <c r="S272" s="38"/>
      <c r="T272" s="38"/>
      <c r="U272" s="38"/>
      <c r="V272" s="38"/>
      <c r="W272" s="38"/>
      <c r="X272" s="40"/>
      <c r="Y272" s="6" t="str">
        <f ca="1">IFERROR(__xludf.DUMMYFUNCTION("""COMPUTED_VALUE"""),"No")</f>
        <v>No</v>
      </c>
      <c r="Z272" s="38" t="str">
        <f ca="1">IFERROR(__xludf.DUMMYFUNCTION("""COMPUTED_VALUE"""),"Acepto")</f>
        <v>Acepto</v>
      </c>
      <c r="AA272" s="38" t="str">
        <f ca="1">IFERROR(__xludf.DUMMYFUNCTION("""COMPUTED_VALUE"""),"Terminado")</f>
        <v>Terminado</v>
      </c>
      <c r="AB272" s="38">
        <f ca="1">IFERROR(__xludf.DUMMYFUNCTION("""COMPUTED_VALUE"""),45000)</f>
        <v>45000</v>
      </c>
      <c r="AC272" s="6">
        <f ca="1">IFERROR(__xludf.DUMMYFUNCTION("""COMPUTED_VALUE"""),205095)</f>
        <v>205095</v>
      </c>
      <c r="AD272" s="6" t="str">
        <f ca="1">IFERROR(__xludf.DUMMYFUNCTION("""COMPUTED_VALUE"""),"TRF 30-08")</f>
        <v>TRF 30-08</v>
      </c>
      <c r="AE272" s="6"/>
      <c r="AF272" s="6"/>
    </row>
    <row r="273" spans="1:32" ht="13.2">
      <c r="A273" s="35">
        <f ca="1">IFERROR(__xludf.DUMMYFUNCTION("""COMPUTED_VALUE"""),45533.3957129051)</f>
        <v>45533.395712905098</v>
      </c>
      <c r="B273" s="36" t="str">
        <f ca="1">IFERROR(__xludf.DUMMYFUNCTION("""COMPUTED_VALUE"""),"Felicitas")</f>
        <v>Felicitas</v>
      </c>
      <c r="C273" s="36" t="str">
        <f ca="1">IFERROR(__xludf.DUMMYFUNCTION("""COMPUTED_VALUE"""),"Rooney")</f>
        <v>Rooney</v>
      </c>
      <c r="D273" s="36" t="str">
        <f ca="1">IFERROR(__xludf.DUMMYFUNCTION("""COMPUTED_VALUE"""),"Buenos Aires")</f>
        <v>Buenos Aires</v>
      </c>
      <c r="E273" s="38" t="str">
        <f ca="1">IFERROR(__xludf.DUMMYFUNCTION("""COMPUTED_VALUE"""),"ARG")</f>
        <v>ARG</v>
      </c>
      <c r="F273" s="38">
        <f ca="1">IFERROR(__xludf.DUMMYFUNCTION("""COMPUTED_VALUE"""),52951933)</f>
        <v>52951933</v>
      </c>
      <c r="G273" s="37">
        <f ca="1">IFERROR(__xludf.DUMMYFUNCTION("""COMPUTED_VALUE"""),41274)</f>
        <v>41274</v>
      </c>
      <c r="H273" s="38" t="str">
        <f ca="1">IFERROR(__xludf.DUMMYFUNCTION("""COMPUTED_VALUE"""),"011 5514 4722")</f>
        <v>011 5514 4722</v>
      </c>
      <c r="I273" s="38" t="str">
        <f ca="1">IFERROR(__xludf.DUMMYFUNCTION("""COMPUTED_VALUE"""),"011 5867 2903")</f>
        <v>011 5867 2903</v>
      </c>
      <c r="J273" s="38" t="str">
        <f ca="1">IFERROR(__xludf.DUMMYFUNCTION("""COMPUTED_VALUE"""),"julianrooney@yahoo.com")</f>
        <v>julianrooney@yahoo.com</v>
      </c>
      <c r="K273" s="38" t="str">
        <f ca="1">IFERROR(__xludf.DUMMYFUNCTION("""COMPUTED_VALUE"""),"Femenino")</f>
        <v>Femenino</v>
      </c>
      <c r="L273" s="38" t="str">
        <f ca="1">IFERROR(__xludf.DUMMYFUNCTION("""COMPUTED_VALUE"""),"CNSI")</f>
        <v>CNSI</v>
      </c>
      <c r="M273" s="38" t="str">
        <f ca="1">IFERROR(__xludf.DUMMYFUNCTION("""COMPUTED_VALUE"""),"Femenino")</f>
        <v>Femenino</v>
      </c>
      <c r="N273" s="6" t="str">
        <f ca="1">IFERROR(__xludf.DUMMYFUNCTION("""COMPUTED_VALUE"""),"OPTIMIST PRINCIPIANTES")</f>
        <v>OPTIMIST PRINCIPIANTES</v>
      </c>
      <c r="O273" s="6"/>
      <c r="P273" s="6" t="str">
        <f ca="1">IFERROR(__xludf.DUMMYFUNCTION("""COMPUTED_VALUE"""),"ARG 3954")</f>
        <v>ARG 3954</v>
      </c>
      <c r="Q273" s="38"/>
      <c r="R273" s="38"/>
      <c r="S273" s="38"/>
      <c r="T273" s="38"/>
      <c r="U273" s="38"/>
      <c r="V273" s="38"/>
      <c r="W273" s="38"/>
      <c r="X273" s="40" t="str">
        <f ca="1">IFERROR(__xludf.DUMMYFUNCTION("""COMPUTED_VALUE"""),"OSDE AZUL")</f>
        <v>OSDE AZUL</v>
      </c>
      <c r="Y273" s="6" t="str">
        <f ca="1">IFERROR(__xludf.DUMMYFUNCTION("""COMPUTED_VALUE"""),"Si")</f>
        <v>Si</v>
      </c>
      <c r="Z273" s="38" t="str">
        <f ca="1">IFERROR(__xludf.DUMMYFUNCTION("""COMPUTED_VALUE"""),"Acepto")</f>
        <v>Acepto</v>
      </c>
      <c r="AA273" s="38" t="str">
        <f ca="1">IFERROR(__xludf.DUMMYFUNCTION("""COMPUTED_VALUE"""),"Terminado")</f>
        <v>Terminado</v>
      </c>
      <c r="AB273" s="38">
        <f ca="1">IFERROR(__xludf.DUMMYFUNCTION("""COMPUTED_VALUE"""),50000)</f>
        <v>50000</v>
      </c>
      <c r="AC273" s="6">
        <f ca="1">IFERROR(__xludf.DUMMYFUNCTION("""COMPUTED_VALUE"""),205072)</f>
        <v>205072</v>
      </c>
      <c r="AD273" s="6" t="str">
        <f ca="1">IFERROR(__xludf.DUMMYFUNCTION("""COMPUTED_VALUE"""),"TRF 29-08")</f>
        <v>TRF 29-08</v>
      </c>
      <c r="AE273" s="6"/>
      <c r="AF273" s="6"/>
    </row>
    <row r="274" spans="1:32" ht="13.2">
      <c r="A274" s="35">
        <f ca="1">IFERROR(__xludf.DUMMYFUNCTION("""COMPUTED_VALUE"""),45530.433219456)</f>
        <v>45530.433219455997</v>
      </c>
      <c r="B274" s="36" t="str">
        <f ca="1">IFERROR(__xludf.DUMMYFUNCTION("""COMPUTED_VALUE"""),"Ignacio")</f>
        <v>Ignacio</v>
      </c>
      <c r="C274" s="36" t="str">
        <f ca="1">IFERROR(__xludf.DUMMYFUNCTION("""COMPUTED_VALUE"""),"Ruiz Moreno")</f>
        <v>Ruiz Moreno</v>
      </c>
      <c r="D274" s="36" t="str">
        <f ca="1">IFERROR(__xludf.DUMMYFUNCTION("""COMPUTED_VALUE"""),"Zarate")</f>
        <v>Zarate</v>
      </c>
      <c r="E274" s="38" t="str">
        <f ca="1">IFERROR(__xludf.DUMMYFUNCTION("""COMPUTED_VALUE"""),"ARG")</f>
        <v>ARG</v>
      </c>
      <c r="F274" s="38">
        <f ca="1">IFERROR(__xludf.DUMMYFUNCTION("""COMPUTED_VALUE"""),29557110)</f>
        <v>29557110</v>
      </c>
      <c r="G274" s="37">
        <f ca="1">IFERROR(__xludf.DUMMYFUNCTION("""COMPUTED_VALUE"""),30176)</f>
        <v>30176</v>
      </c>
      <c r="H274" s="38">
        <f ca="1">IFERROR(__xludf.DUMMYFUNCTION("""COMPUTED_VALUE"""),348715618569)</f>
        <v>348715618569</v>
      </c>
      <c r="I274" s="38">
        <f ca="1">IFERROR(__xludf.DUMMYFUNCTION("""COMPUTED_VALUE"""),348715686052)</f>
        <v>348715686052</v>
      </c>
      <c r="J274" s="38" t="str">
        <f ca="1">IFERROR(__xludf.DUMMYFUNCTION("""COMPUTED_VALUE"""),"nachoruizmoreno@gmail.com")</f>
        <v>nachoruizmoreno@gmail.com</v>
      </c>
      <c r="K274" s="38" t="str">
        <f ca="1">IFERROR(__xludf.DUMMYFUNCTION("""COMPUTED_VALUE"""),"Masculino")</f>
        <v>Masculino</v>
      </c>
      <c r="L274" s="38" t="str">
        <f ca="1">IFERROR(__xludf.DUMMYFUNCTION("""COMPUTED_VALUE"""),"CNAs")</f>
        <v>CNAs</v>
      </c>
      <c r="M274" s="38" t="str">
        <f ca="1">IFERROR(__xludf.DUMMYFUNCTION("""COMPUTED_VALUE"""),"Corinthians")</f>
        <v>Corinthians</v>
      </c>
      <c r="N274" s="6" t="str">
        <f ca="1">IFERROR(__xludf.DUMMYFUNCTION("""COMPUTED_VALUE"""),"J 70")</f>
        <v>J 70</v>
      </c>
      <c r="O274" s="6">
        <f ca="1">IFERROR(__xludf.DUMMYFUNCTION("""COMPUTED_VALUE"""),22)</f>
        <v>22</v>
      </c>
      <c r="P274" s="6" t="str">
        <f ca="1">IFERROR(__xludf.DUMMYFUNCTION("""COMPUTED_VALUE"""),"ARG 1296")</f>
        <v>ARG 1296</v>
      </c>
      <c r="Q274" s="38" t="str">
        <f ca="1">IFERROR(__xludf.DUMMYFUNCTION("""COMPUTED_VALUE"""),"Zaratoka")</f>
        <v>Zaratoka</v>
      </c>
      <c r="R274" s="38" t="str">
        <f ca="1">IFERROR(__xludf.DUMMYFUNCTION("""COMPUTED_VALUE"""),"Nicolas Guille")</f>
        <v>Nicolas Guille</v>
      </c>
      <c r="S274" s="38" t="str">
        <f ca="1">IFERROR(__xludf.DUMMYFUNCTION("""COMPUTED_VALUE"""),"Alejandro Juan de Paz")</f>
        <v>Alejandro Juan de Paz</v>
      </c>
      <c r="T274" s="38" t="str">
        <f ca="1">IFERROR(__xludf.DUMMYFUNCTION("""COMPUTED_VALUE"""),"Ezequiel Navari")</f>
        <v>Ezequiel Navari</v>
      </c>
      <c r="U274" s="38"/>
      <c r="V274" s="38"/>
      <c r="W274" s="38"/>
      <c r="X274" s="40" t="str">
        <f ca="1">IFERROR(__xludf.DUMMYFUNCTION("""COMPUTED_VALUE"""),"OSDE 61816818302")</f>
        <v>OSDE 61816818302</v>
      </c>
      <c r="Y274" s="6" t="str">
        <f ca="1">IFERROR(__xludf.DUMMYFUNCTION("""COMPUTED_VALUE"""),"No")</f>
        <v>No</v>
      </c>
      <c r="Z274" s="38" t="str">
        <f ca="1">IFERROR(__xludf.DUMMYFUNCTION("""COMPUTED_VALUE"""),"Acepto")</f>
        <v>Acepto</v>
      </c>
      <c r="AA274" s="38" t="str">
        <f ca="1">IFERROR(__xludf.DUMMYFUNCTION("""COMPUTED_VALUE"""),"Pendiente")</f>
        <v>Pendiente</v>
      </c>
      <c r="AB274" s="38"/>
      <c r="AC274" s="6"/>
      <c r="AD274" s="6"/>
      <c r="AE274" s="6"/>
      <c r="AF274" s="6"/>
    </row>
    <row r="275" spans="1:32" ht="13.2">
      <c r="A275" s="35">
        <f ca="1">IFERROR(__xludf.DUMMYFUNCTION("""COMPUTED_VALUE"""),45534.9621542824)</f>
        <v>45534.962154282402</v>
      </c>
      <c r="B275" s="36" t="str">
        <f ca="1">IFERROR(__xludf.DUMMYFUNCTION("""COMPUTED_VALUE"""),"Catalina ")</f>
        <v xml:space="preserve">Catalina </v>
      </c>
      <c r="C275" s="36" t="str">
        <f ca="1">IFERROR(__xludf.DUMMYFUNCTION("""COMPUTED_VALUE"""),"Ruiz Stepancic")</f>
        <v>Ruiz Stepancic</v>
      </c>
      <c r="D275" s="36" t="str">
        <f ca="1">IFERROR(__xludf.DUMMYFUNCTION("""COMPUTED_VALUE"""),"Hurlingham ")</f>
        <v xml:space="preserve">Hurlingham </v>
      </c>
      <c r="E275" s="38" t="str">
        <f ca="1">IFERROR(__xludf.DUMMYFUNCTION("""COMPUTED_VALUE"""),"ARG")</f>
        <v>ARG</v>
      </c>
      <c r="F275" s="38">
        <f ca="1">IFERROR(__xludf.DUMMYFUNCTION("""COMPUTED_VALUE"""),52954005)</f>
        <v>52954005</v>
      </c>
      <c r="G275" s="37">
        <f ca="1">IFERROR(__xludf.DUMMYFUNCTION("""COMPUTED_VALUE"""),41269)</f>
        <v>41269</v>
      </c>
      <c r="H275" s="38">
        <f ca="1">IFERROR(__xludf.DUMMYFUNCTION("""COMPUTED_VALUE"""),1140488904)</f>
        <v>1140488904</v>
      </c>
      <c r="I275" s="38">
        <f ca="1">IFERROR(__xludf.DUMMYFUNCTION("""COMPUTED_VALUE"""),1144246342)</f>
        <v>1144246342</v>
      </c>
      <c r="J275" s="38" t="str">
        <f ca="1">IFERROR(__xludf.DUMMYFUNCTION("""COMPUTED_VALUE"""),"Yesistepancic@hotmail.com ")</f>
        <v xml:space="preserve">Yesistepancic@hotmail.com </v>
      </c>
      <c r="K275" s="38" t="str">
        <f ca="1">IFERROR(__xludf.DUMMYFUNCTION("""COMPUTED_VALUE"""),"Femenino")</f>
        <v>Femenino</v>
      </c>
      <c r="L275" s="38" t="str">
        <f ca="1">IFERROR(__xludf.DUMMYFUNCTION("""COMPUTED_VALUE"""),"CVB ")</f>
        <v xml:space="preserve">CVB </v>
      </c>
      <c r="M275" s="38" t="str">
        <f ca="1">IFERROR(__xludf.DUMMYFUNCTION("""COMPUTED_VALUE"""),"Femenino, Sub 12")</f>
        <v>Femenino, Sub 12</v>
      </c>
      <c r="N275" s="6" t="str">
        <f ca="1">IFERROR(__xludf.DUMMYFUNCTION("""COMPUTED_VALUE"""),"OPTIMIST PRINCIPIANTES")</f>
        <v>OPTIMIST PRINCIPIANTES</v>
      </c>
      <c r="O275" s="6"/>
      <c r="P275" s="6">
        <f ca="1">IFERROR(__xludf.DUMMYFUNCTION("""COMPUTED_VALUE"""),3596)</f>
        <v>3596</v>
      </c>
      <c r="Q275" s="38"/>
      <c r="R275" s="38"/>
      <c r="S275" s="38"/>
      <c r="T275" s="38"/>
      <c r="U275" s="38"/>
      <c r="V275" s="38"/>
      <c r="W275" s="38"/>
      <c r="X275" s="40" t="str">
        <f ca="1">IFERROR(__xludf.DUMMYFUNCTION("""COMPUTED_VALUE"""),"Osde 60927005103")</f>
        <v>Osde 60927005103</v>
      </c>
      <c r="Y275" s="6" t="str">
        <f ca="1">IFERROR(__xludf.DUMMYFUNCTION("""COMPUTED_VALUE"""),"Si")</f>
        <v>Si</v>
      </c>
      <c r="Z275" s="38" t="str">
        <f ca="1">IFERROR(__xludf.DUMMYFUNCTION("""COMPUTED_VALUE"""),"Acepto")</f>
        <v>Acepto</v>
      </c>
      <c r="AA275" s="38" t="str">
        <f ca="1">IFERROR(__xludf.DUMMYFUNCTION("""COMPUTED_VALUE"""),"Terminado")</f>
        <v>Terminado</v>
      </c>
      <c r="AB275" s="38">
        <f ca="1">IFERROR(__xludf.DUMMYFUNCTION("""COMPUTED_VALUE"""),50000)</f>
        <v>50000</v>
      </c>
      <c r="AC275" s="6">
        <f ca="1">IFERROR(__xludf.DUMMYFUNCTION("""COMPUTED_VALUE"""),205119)</f>
        <v>205119</v>
      </c>
      <c r="AD275" s="6" t="str">
        <f ca="1">IFERROR(__xludf.DUMMYFUNCTION("""COMPUTED_VALUE"""),"TRF 30-08")</f>
        <v>TRF 30-08</v>
      </c>
      <c r="AE275" s="6"/>
      <c r="AF275" s="6"/>
    </row>
    <row r="276" spans="1:32" ht="13.2">
      <c r="A276" s="35">
        <f ca="1">IFERROR(__xludf.DUMMYFUNCTION("""COMPUTED_VALUE"""),45536.5906115972)</f>
        <v>45536.590611597203</v>
      </c>
      <c r="B276" s="36" t="str">
        <f ca="1">IFERROR(__xludf.DUMMYFUNCTION("""COMPUTED_VALUE"""),"VIOLETA ")</f>
        <v xml:space="preserve">VIOLETA </v>
      </c>
      <c r="C276" s="36" t="str">
        <f ca="1">IFERROR(__xludf.DUMMYFUNCTION("""COMPUTED_VALUE"""),"RUSSO LACERNA ")</f>
        <v xml:space="preserve">RUSSO LACERNA </v>
      </c>
      <c r="D276" s="36" t="str">
        <f ca="1">IFERROR(__xludf.DUMMYFUNCTION("""COMPUTED_VALUE"""),"CABA ")</f>
        <v xml:space="preserve">CABA </v>
      </c>
      <c r="E276" s="38" t="str">
        <f ca="1">IFERROR(__xludf.DUMMYFUNCTION("""COMPUTED_VALUE"""),"ARG")</f>
        <v>ARG</v>
      </c>
      <c r="F276" s="38">
        <f ca="1">IFERROR(__xludf.DUMMYFUNCTION("""COMPUTED_VALUE"""),50511744)</f>
        <v>50511744</v>
      </c>
      <c r="G276" s="37">
        <f ca="1">IFERROR(__xludf.DUMMYFUNCTION("""COMPUTED_VALUE"""),40449)</f>
        <v>40449</v>
      </c>
      <c r="H276" s="38">
        <f ca="1">IFERROR(__xludf.DUMMYFUNCTION("""COMPUTED_VALUE"""),1156388263)</f>
        <v>1156388263</v>
      </c>
      <c r="I276" s="38">
        <f ca="1">IFERROR(__xludf.DUMMYFUNCTION("""COMPUTED_VALUE"""),1166031922)</f>
        <v>1166031922</v>
      </c>
      <c r="J276" s="38" t="str">
        <f ca="1">IFERROR(__xludf.DUMMYFUNCTION("""COMPUTED_VALUE"""),"vanesaamaro@gmail.com")</f>
        <v>vanesaamaro@gmail.com</v>
      </c>
      <c r="K276" s="38" t="str">
        <f ca="1">IFERROR(__xludf.DUMMYFUNCTION("""COMPUTED_VALUE"""),"Femenino")</f>
        <v>Femenino</v>
      </c>
      <c r="L276" s="38" t="str">
        <f ca="1">IFERROR(__xludf.DUMMYFUNCTION("""COMPUTED_VALUE"""),"CNAZ")</f>
        <v>CNAZ</v>
      </c>
      <c r="M276" s="38" t="str">
        <f ca="1">IFERROR(__xludf.DUMMYFUNCTION("""COMPUTED_VALUE"""),"Interior (Optimist)")</f>
        <v>Interior (Optimist)</v>
      </c>
      <c r="N276" s="6" t="str">
        <f ca="1">IFERROR(__xludf.DUMMYFUNCTION("""COMPUTED_VALUE"""),"OPTIMIST PRINCIPIANTES")</f>
        <v>OPTIMIST PRINCIPIANTES</v>
      </c>
      <c r="O276" s="6"/>
      <c r="P276" s="6">
        <f ca="1">IFERROR(__xludf.DUMMYFUNCTION("""COMPUTED_VALUE"""),3729)</f>
        <v>3729</v>
      </c>
      <c r="Q276" s="38" t="str">
        <f ca="1">IFERROR(__xludf.DUMMYFUNCTION("""COMPUTED_VALUE"""),"Amore")</f>
        <v>Amore</v>
      </c>
      <c r="R276" s="38"/>
      <c r="S276" s="38"/>
      <c r="T276" s="38"/>
      <c r="U276" s="38"/>
      <c r="V276" s="38"/>
      <c r="W276" s="38"/>
      <c r="X276" s="40" t="str">
        <f ca="1">IFERROR(__xludf.DUMMYFUNCTION("""COMPUTED_VALUE"""),"OSDE")</f>
        <v>OSDE</v>
      </c>
      <c r="Y276" s="6" t="str">
        <f ca="1">IFERROR(__xludf.DUMMYFUNCTION("""COMPUTED_VALUE"""),"Si")</f>
        <v>Si</v>
      </c>
      <c r="Z276" s="38" t="str">
        <f ca="1">IFERROR(__xludf.DUMMYFUNCTION("""COMPUTED_VALUE"""),"Acepto")</f>
        <v>Acepto</v>
      </c>
      <c r="AA276" s="38" t="str">
        <f ca="1">IFERROR(__xludf.DUMMYFUNCTION("""COMPUTED_VALUE"""),"Pendiente")</f>
        <v>Pendiente</v>
      </c>
      <c r="AB276" s="38"/>
      <c r="AC276" s="6"/>
      <c r="AD276" s="6"/>
      <c r="AE276" s="6"/>
      <c r="AF276" s="6"/>
    </row>
    <row r="277" spans="1:32" ht="13.2">
      <c r="A277" s="35">
        <f ca="1">IFERROR(__xludf.DUMMYFUNCTION("""COMPUTED_VALUE"""),45532.442882662)</f>
        <v>45532.442882661999</v>
      </c>
      <c r="B277" s="36" t="str">
        <f ca="1">IFERROR(__xludf.DUMMYFUNCTION("""COMPUTED_VALUE"""),"HILARIO")</f>
        <v>HILARIO</v>
      </c>
      <c r="C277" s="36" t="str">
        <f ca="1">IFERROR(__xludf.DUMMYFUNCTION("""COMPUTED_VALUE"""),"SACCHI")</f>
        <v>SACCHI</v>
      </c>
      <c r="D277" s="36" t="str">
        <f ca="1">IFERROR(__xludf.DUMMYFUNCTION("""COMPUTED_VALUE"""),"CABA")</f>
        <v>CABA</v>
      </c>
      <c r="E277" s="38" t="str">
        <f ca="1">IFERROR(__xludf.DUMMYFUNCTION("""COMPUTED_VALUE"""),"ARG")</f>
        <v>ARG</v>
      </c>
      <c r="F277" s="38">
        <f ca="1">IFERROR(__xludf.DUMMYFUNCTION("""COMPUTED_VALUE"""),53084239)</f>
        <v>53084239</v>
      </c>
      <c r="G277" s="37">
        <f ca="1">IFERROR(__xludf.DUMMYFUNCTION("""COMPUTED_VALUE"""),41314)</f>
        <v>41314</v>
      </c>
      <c r="H277" s="38">
        <f ca="1">IFERROR(__xludf.DUMMYFUNCTION("""COMPUTED_VALUE"""),1151232356)</f>
        <v>1151232356</v>
      </c>
      <c r="I277" s="38">
        <f ca="1">IFERROR(__xludf.DUMMYFUNCTION("""COMPUTED_VALUE"""),1151232356)</f>
        <v>1151232356</v>
      </c>
      <c r="J277" s="38" t="str">
        <f ca="1">IFERROR(__xludf.DUMMYFUNCTION("""COMPUTED_VALUE"""),"msacchi@gmail.com")</f>
        <v>msacchi@gmail.com</v>
      </c>
      <c r="K277" s="38" t="str">
        <f ca="1">IFERROR(__xludf.DUMMYFUNCTION("""COMPUTED_VALUE"""),"Masculino")</f>
        <v>Masculino</v>
      </c>
      <c r="L277" s="38" t="str">
        <f ca="1">IFERROR(__xludf.DUMMYFUNCTION("""COMPUTED_VALUE"""),"YCA")</f>
        <v>YCA</v>
      </c>
      <c r="M277" s="38"/>
      <c r="N277" s="6" t="str">
        <f ca="1">IFERROR(__xludf.DUMMYFUNCTION("""COMPUTED_VALUE"""),"OPTIMIST PRINCIPIANTES")</f>
        <v>OPTIMIST PRINCIPIANTES</v>
      </c>
      <c r="O277" s="6"/>
      <c r="P277" s="6" t="str">
        <f ca="1">IFERROR(__xludf.DUMMYFUNCTION("""COMPUTED_VALUE"""),"ARG 3885")</f>
        <v>ARG 3885</v>
      </c>
      <c r="Q277" s="38" t="str">
        <f ca="1">IFERROR(__xludf.DUMMYFUNCTION("""COMPUTED_VALUE"""),"Sejlfisk")</f>
        <v>Sejlfisk</v>
      </c>
      <c r="R277" s="38"/>
      <c r="S277" s="38"/>
      <c r="T277" s="38"/>
      <c r="U277" s="38"/>
      <c r="V277" s="38"/>
      <c r="W277" s="38"/>
      <c r="X277" s="40" t="str">
        <f ca="1">IFERROR(__xludf.DUMMYFUNCTION("""COMPUTED_VALUE"""),"OSDE / 60 767640 9 04")</f>
        <v>OSDE / 60 767640 9 04</v>
      </c>
      <c r="Y277" s="6" t="str">
        <f ca="1">IFERROR(__xludf.DUMMYFUNCTION("""COMPUTED_VALUE"""),"Si")</f>
        <v>Si</v>
      </c>
      <c r="Z277" s="38" t="str">
        <f ca="1">IFERROR(__xludf.DUMMYFUNCTION("""COMPUTED_VALUE"""),"Acepto")</f>
        <v>Acepto</v>
      </c>
      <c r="AA277" s="38" t="str">
        <f ca="1">IFERROR(__xludf.DUMMYFUNCTION("""COMPUTED_VALUE"""),"Terminado")</f>
        <v>Terminado</v>
      </c>
      <c r="AB277" s="38">
        <f ca="1">IFERROR(__xludf.DUMMYFUNCTION("""COMPUTED_VALUE"""),50000)</f>
        <v>50000</v>
      </c>
      <c r="AC277" s="6">
        <f ca="1">IFERROR(__xludf.DUMMYFUNCTION("""COMPUTED_VALUE"""),205066)</f>
        <v>205066</v>
      </c>
      <c r="AD277" s="6" t="str">
        <f ca="1">IFERROR(__xludf.DUMMYFUNCTION("""COMPUTED_VALUE"""),"TRF 28-08")</f>
        <v>TRF 28-08</v>
      </c>
      <c r="AE277" s="6"/>
      <c r="AF277" s="6"/>
    </row>
    <row r="278" spans="1:32" ht="13.2">
      <c r="A278" s="35">
        <f ca="1">IFERROR(__xludf.DUMMYFUNCTION("""COMPUTED_VALUE"""),45534.5273338194)</f>
        <v>45534.527333819402</v>
      </c>
      <c r="B278" s="36" t="str">
        <f ca="1">IFERROR(__xludf.DUMMYFUNCTION("""COMPUTED_VALUE"""),"Alessandro Patricio")</f>
        <v>Alessandro Patricio</v>
      </c>
      <c r="C278" s="36" t="str">
        <f ca="1">IFERROR(__xludf.DUMMYFUNCTION("""COMPUTED_VALUE"""),"Saggion")</f>
        <v>Saggion</v>
      </c>
      <c r="D278" s="36" t="str">
        <f ca="1">IFERROR(__xludf.DUMMYFUNCTION("""COMPUTED_VALUE"""),"Buenos Aires")</f>
        <v>Buenos Aires</v>
      </c>
      <c r="E278" s="38" t="str">
        <f ca="1">IFERROR(__xludf.DUMMYFUNCTION("""COMPUTED_VALUE"""),"ARG")</f>
        <v>ARG</v>
      </c>
      <c r="F278" s="38">
        <f ca="1">IFERROR(__xludf.DUMMYFUNCTION("""COMPUTED_VALUE"""),51267409)</f>
        <v>51267409</v>
      </c>
      <c r="G278" s="37">
        <f ca="1">IFERROR(__xludf.DUMMYFUNCTION("""COMPUTED_VALUE"""),40705)</f>
        <v>40705</v>
      </c>
      <c r="H278" s="38">
        <f ca="1">IFERROR(__xludf.DUMMYFUNCTION("""COMPUTED_VALUE"""),1544705414)</f>
        <v>1544705414</v>
      </c>
      <c r="I278" s="38">
        <f ca="1">IFERROR(__xludf.DUMMYFUNCTION("""COMPUTED_VALUE"""),1535118500)</f>
        <v>1535118500</v>
      </c>
      <c r="J278" s="38" t="str">
        <f ca="1">IFERROR(__xludf.DUMMYFUNCTION("""COMPUTED_VALUE"""),"nancysagg@gmail.com")</f>
        <v>nancysagg@gmail.com</v>
      </c>
      <c r="K278" s="38" t="str">
        <f ca="1">IFERROR(__xludf.DUMMYFUNCTION("""COMPUTED_VALUE"""),"Masculino")</f>
        <v>Masculino</v>
      </c>
      <c r="L278" s="38" t="str">
        <f ca="1">IFERROR(__xludf.DUMMYFUNCTION("""COMPUTED_VALUE"""),"CNO")</f>
        <v>CNO</v>
      </c>
      <c r="M278" s="38" t="str">
        <f ca="1">IFERROR(__xludf.DUMMYFUNCTION("""COMPUTED_VALUE"""),"Interior (Optimist)")</f>
        <v>Interior (Optimist)</v>
      </c>
      <c r="N278" s="6" t="str">
        <f ca="1">IFERROR(__xludf.DUMMYFUNCTION("""COMPUTED_VALUE"""),"OPTIMIST PRINCIPIANTES")</f>
        <v>OPTIMIST PRINCIPIANTES</v>
      </c>
      <c r="O278" s="6"/>
      <c r="P278" s="6">
        <f ca="1">IFERROR(__xludf.DUMMYFUNCTION("""COMPUTED_VALUE"""),3969)</f>
        <v>3969</v>
      </c>
      <c r="Q278" s="38" t="str">
        <f ca="1">IFERROR(__xludf.DUMMYFUNCTION("""COMPUTED_VALUE"""),"Chimichurri")</f>
        <v>Chimichurri</v>
      </c>
      <c r="R278" s="38"/>
      <c r="S278" s="38"/>
      <c r="T278" s="38"/>
      <c r="U278" s="38"/>
      <c r="V278" s="38"/>
      <c r="W278" s="38"/>
      <c r="X278" s="40" t="str">
        <f ca="1">IFERROR(__xludf.DUMMYFUNCTION("""COMPUTED_VALUE"""),"Luis Pasteur plan P")</f>
        <v>Luis Pasteur plan P</v>
      </c>
      <c r="Y278" s="6" t="str">
        <f ca="1">IFERROR(__xludf.DUMMYFUNCTION("""COMPUTED_VALUE"""),"No")</f>
        <v>No</v>
      </c>
      <c r="Z278" s="38" t="str">
        <f ca="1">IFERROR(__xludf.DUMMYFUNCTION("""COMPUTED_VALUE"""),"Acepto")</f>
        <v>Acepto</v>
      </c>
      <c r="AA278" s="38" t="str">
        <f ca="1">IFERROR(__xludf.DUMMYFUNCTION("""COMPUTED_VALUE"""),"Terminado")</f>
        <v>Terminado</v>
      </c>
      <c r="AB278" s="38">
        <f ca="1">IFERROR(__xludf.DUMMYFUNCTION("""COMPUTED_VALUE"""),50000)</f>
        <v>50000</v>
      </c>
      <c r="AC278" s="6">
        <f ca="1">IFERROR(__xludf.DUMMYFUNCTION("""COMPUTED_VALUE"""),205097)</f>
        <v>205097</v>
      </c>
      <c r="AD278" s="6" t="str">
        <f ca="1">IFERROR(__xludf.DUMMYFUNCTION("""COMPUTED_VALUE"""),"TRF 30-08")</f>
        <v>TRF 30-08</v>
      </c>
      <c r="AE278" s="6"/>
      <c r="AF278" s="6"/>
    </row>
    <row r="279" spans="1:32" ht="13.2">
      <c r="A279" s="35">
        <f ca="1">IFERROR(__xludf.DUMMYFUNCTION("""COMPUTED_VALUE"""),45532.5483181018)</f>
        <v>45532.548318101799</v>
      </c>
      <c r="B279" s="36" t="str">
        <f ca="1">IFERROR(__xludf.DUMMYFUNCTION("""COMPUTED_VALUE"""),"Agustín")</f>
        <v>Agustín</v>
      </c>
      <c r="C279" s="36" t="str">
        <f ca="1">IFERROR(__xludf.DUMMYFUNCTION("""COMPUTED_VALUE"""),"Saguier")</f>
        <v>Saguier</v>
      </c>
      <c r="D279" s="36" t="str">
        <f ca="1">IFERROR(__xludf.DUMMYFUNCTION("""COMPUTED_VALUE"""),"Buenos Aires")</f>
        <v>Buenos Aires</v>
      </c>
      <c r="E279" s="38" t="str">
        <f ca="1">IFERROR(__xludf.DUMMYFUNCTION("""COMPUTED_VALUE"""),"ARG")</f>
        <v>ARG</v>
      </c>
      <c r="F279" s="38">
        <f ca="1">IFERROR(__xludf.DUMMYFUNCTION("""COMPUTED_VALUE"""),43030710)</f>
        <v>43030710</v>
      </c>
      <c r="G279" s="37">
        <f ca="1">IFERROR(__xludf.DUMMYFUNCTION("""COMPUTED_VALUE"""),36837)</f>
        <v>36837</v>
      </c>
      <c r="H279" s="38">
        <f ca="1">IFERROR(__xludf.DUMMYFUNCTION("""COMPUTED_VALUE"""),1138700673)</f>
        <v>1138700673</v>
      </c>
      <c r="I279" s="38"/>
      <c r="J279" s="38" t="str">
        <f ca="1">IFERROR(__xludf.DUMMYFUNCTION("""COMPUTED_VALUE"""),"asaguier2000@gmail.com")</f>
        <v>asaguier2000@gmail.com</v>
      </c>
      <c r="K279" s="38" t="str">
        <f ca="1">IFERROR(__xludf.DUMMYFUNCTION("""COMPUTED_VALUE"""),"Masculino")</f>
        <v>Masculino</v>
      </c>
      <c r="L279" s="38" t="str">
        <f ca="1">IFERROR(__xludf.DUMMYFUNCTION("""COMPUTED_VALUE"""),"YCA")</f>
        <v>YCA</v>
      </c>
      <c r="M279" s="38"/>
      <c r="N279" s="6" t="str">
        <f ca="1">IFERROR(__xludf.DUMMYFUNCTION("""COMPUTED_VALUE"""),"ILCA 6")</f>
        <v>ILCA 6</v>
      </c>
      <c r="O279" s="6"/>
      <c r="P279" s="6">
        <f ca="1">IFERROR(__xludf.DUMMYFUNCTION("""COMPUTED_VALUE"""),178188)</f>
        <v>178188</v>
      </c>
      <c r="Q279" s="38"/>
      <c r="R279" s="38"/>
      <c r="S279" s="38"/>
      <c r="T279" s="38"/>
      <c r="U279" s="38"/>
      <c r="V279" s="38"/>
      <c r="W279" s="38"/>
      <c r="X279" s="40"/>
      <c r="Y279" s="6" t="str">
        <f ca="1">IFERROR(__xludf.DUMMYFUNCTION("""COMPUTED_VALUE"""),"No")</f>
        <v>No</v>
      </c>
      <c r="Z279" s="38" t="str">
        <f ca="1">IFERROR(__xludf.DUMMYFUNCTION("""COMPUTED_VALUE"""),"Acepto")</f>
        <v>Acepto</v>
      </c>
      <c r="AA279" s="38" t="str">
        <f ca="1">IFERROR(__xludf.DUMMYFUNCTION("""COMPUTED_VALUE"""),"Terminado")</f>
        <v>Terminado</v>
      </c>
      <c r="AB279" s="38">
        <f ca="1">IFERROR(__xludf.DUMMYFUNCTION("""COMPUTED_VALUE"""),45000)</f>
        <v>45000</v>
      </c>
      <c r="AC279" s="6">
        <f ca="1">IFERROR(__xludf.DUMMYFUNCTION("""COMPUTED_VALUE"""),205068)</f>
        <v>205068</v>
      </c>
      <c r="AD279" s="6" t="str">
        <f ca="1">IFERROR(__xludf.DUMMYFUNCTION("""COMPUTED_VALUE"""),"TRF 28-08")</f>
        <v>TRF 28-08</v>
      </c>
      <c r="AE279" s="6"/>
      <c r="AF279" s="6"/>
    </row>
    <row r="280" spans="1:32" ht="13.2">
      <c r="A280" s="35">
        <f ca="1">IFERROR(__xludf.DUMMYFUNCTION("""COMPUTED_VALUE"""),45536.6792610416)</f>
        <v>45536.679261041601</v>
      </c>
      <c r="B280" s="36" t="str">
        <f ca="1">IFERROR(__xludf.DUMMYFUNCTION("""COMPUTED_VALUE"""),"Lian ")</f>
        <v xml:space="preserve">Lian </v>
      </c>
      <c r="C280" s="36" t="str">
        <f ca="1">IFERROR(__xludf.DUMMYFUNCTION("""COMPUTED_VALUE"""),"Sahlin")</f>
        <v>Sahlin</v>
      </c>
      <c r="D280" s="36" t="str">
        <f ca="1">IFERROR(__xludf.DUMMYFUNCTION("""COMPUTED_VALUE"""),"Berisso")</f>
        <v>Berisso</v>
      </c>
      <c r="E280" s="38" t="str">
        <f ca="1">IFERROR(__xludf.DUMMYFUNCTION("""COMPUTED_VALUE"""),"ARG")</f>
        <v>ARG</v>
      </c>
      <c r="F280" s="38">
        <f ca="1">IFERROR(__xludf.DUMMYFUNCTION("""COMPUTED_VALUE"""),50977925)</f>
        <v>50977925</v>
      </c>
      <c r="G280" s="37">
        <f ca="1">IFERROR(__xludf.DUMMYFUNCTION("""COMPUTED_VALUE"""),40654)</f>
        <v>40654</v>
      </c>
      <c r="H280" s="38">
        <f ca="1">IFERROR(__xludf.DUMMYFUNCTION("""COMPUTED_VALUE"""),2213645199)</f>
        <v>2213645199</v>
      </c>
      <c r="I280" s="38">
        <f ca="1">IFERROR(__xludf.DUMMYFUNCTION("""COMPUTED_VALUE"""),2215577978)</f>
        <v>2215577978</v>
      </c>
      <c r="J280" s="38" t="str">
        <f ca="1">IFERROR(__xludf.DUMMYFUNCTION("""COMPUTED_VALUE"""),"Sanchezmariaale@gmail.com")</f>
        <v>Sanchezmariaale@gmail.com</v>
      </c>
      <c r="K280" s="38" t="str">
        <f ca="1">IFERROR(__xludf.DUMMYFUNCTION("""COMPUTED_VALUE"""),"Masculino")</f>
        <v>Masculino</v>
      </c>
      <c r="L280" s="38" t="str">
        <f ca="1">IFERROR(__xludf.DUMMYFUNCTION("""COMPUTED_VALUE"""),"CRLP")</f>
        <v>CRLP</v>
      </c>
      <c r="M280" s="38" t="str">
        <f ca="1">IFERROR(__xludf.DUMMYFUNCTION("""COMPUTED_VALUE"""),"Interior (Optimist)")</f>
        <v>Interior (Optimist)</v>
      </c>
      <c r="N280" s="6" t="str">
        <f ca="1">IFERROR(__xludf.DUMMYFUNCTION("""COMPUTED_VALUE"""),"OPTIMIST PRINCIPIANTES")</f>
        <v>OPTIMIST PRINCIPIANTES</v>
      </c>
      <c r="O280" s="6"/>
      <c r="P280" s="6">
        <f ca="1">IFERROR(__xludf.DUMMYFUNCTION("""COMPUTED_VALUE"""),3121)</f>
        <v>3121</v>
      </c>
      <c r="Q280" s="38"/>
      <c r="R280" s="38" t="str">
        <f ca="1">IFERROR(__xludf.DUMMYFUNCTION("""COMPUTED_VALUE"""),"Lian Sahlin Joaquin Ignacio ")</f>
        <v xml:space="preserve">Lian Sahlin Joaquin Ignacio </v>
      </c>
      <c r="S280" s="38"/>
      <c r="T280" s="38"/>
      <c r="U280" s="38"/>
      <c r="V280" s="38"/>
      <c r="W280" s="38"/>
      <c r="X280" s="40"/>
      <c r="Y280" s="6" t="str">
        <f ca="1">IFERROR(__xludf.DUMMYFUNCTION("""COMPUTED_VALUE"""),"Si")</f>
        <v>Si</v>
      </c>
      <c r="Z280" s="38" t="str">
        <f ca="1">IFERROR(__xludf.DUMMYFUNCTION("""COMPUTED_VALUE"""),"Acepto")</f>
        <v>Acepto</v>
      </c>
      <c r="AA280" s="38" t="str">
        <f ca="1">IFERROR(__xludf.DUMMYFUNCTION("""COMPUTED_VALUE"""),"Terminado")</f>
        <v>Terminado</v>
      </c>
      <c r="AB280" s="38">
        <f ca="1">IFERROR(__xludf.DUMMYFUNCTION("""COMPUTED_VALUE"""),50000)</f>
        <v>50000</v>
      </c>
      <c r="AC280" s="6">
        <f ca="1">IFERROR(__xludf.DUMMYFUNCTION("""COMPUTED_VALUE"""),205439)</f>
        <v>205439</v>
      </c>
      <c r="AD280" s="6" t="str">
        <f ca="1">IFERROR(__xludf.DUMMYFUNCTION("""COMPUTED_VALUE"""),"TRF 04-09")</f>
        <v>TRF 04-09</v>
      </c>
      <c r="AE280" s="6"/>
      <c r="AF280" s="6"/>
    </row>
    <row r="281" spans="1:32" ht="13.2">
      <c r="A281" s="35">
        <f ca="1">IFERROR(__xludf.DUMMYFUNCTION("""COMPUTED_VALUE"""),45537.9006959606)</f>
        <v>45537.900695960598</v>
      </c>
      <c r="B281" s="36" t="str">
        <f ca="1">IFERROR(__xludf.DUMMYFUNCTION("""COMPUTED_VALUE"""),"Florencia")</f>
        <v>Florencia</v>
      </c>
      <c r="C281" s="36" t="str">
        <f ca="1">IFERROR(__xludf.DUMMYFUNCTION("""COMPUTED_VALUE"""),"Saldaña")</f>
        <v>Saldaña</v>
      </c>
      <c r="D281" s="36" t="str">
        <f ca="1">IFERROR(__xludf.DUMMYFUNCTION("""COMPUTED_VALUE"""),"Montevideo")</f>
        <v>Montevideo</v>
      </c>
      <c r="E281" s="38" t="str">
        <f ca="1">IFERROR(__xludf.DUMMYFUNCTION("""COMPUTED_VALUE"""),"URU")</f>
        <v>URU</v>
      </c>
      <c r="F281" s="38">
        <f ca="1">IFERROR(__xludf.DUMMYFUNCTION("""COMPUTED_VALUE"""),58083082)</f>
        <v>58083082</v>
      </c>
      <c r="G281" s="37">
        <f ca="1">IFERROR(__xludf.DUMMYFUNCTION("""COMPUTED_VALUE"""),40018)</f>
        <v>40018</v>
      </c>
      <c r="H281" s="38" t="str">
        <f ca="1">IFERROR(__xludf.DUMMYFUNCTION("""COMPUTED_VALUE"""),"+59898847424")</f>
        <v>+59898847424</v>
      </c>
      <c r="I281" s="38" t="str">
        <f ca="1">IFERROR(__xludf.DUMMYFUNCTION("""COMPUTED_VALUE"""),"+59898847424")</f>
        <v>+59898847424</v>
      </c>
      <c r="J281" s="38" t="str">
        <f ca="1">IFERROR(__xludf.DUMMYFUNCTION("""COMPUTED_VALUE"""),"Jpsaldana@berkes.com.uy")</f>
        <v>Jpsaldana@berkes.com.uy</v>
      </c>
      <c r="K281" s="38" t="str">
        <f ca="1">IFERROR(__xludf.DUMMYFUNCTION("""COMPUTED_VALUE"""),"Femenino")</f>
        <v>Femenino</v>
      </c>
      <c r="L281" s="38" t="str">
        <f ca="1">IFERROR(__xludf.DUMMYFUNCTION("""COMPUTED_VALUE"""),"NYC")</f>
        <v>NYC</v>
      </c>
      <c r="M281" s="38" t="str">
        <f ca="1">IFERROR(__xludf.DUMMYFUNCTION("""COMPUTED_VALUE"""),"Interior (Optimist)")</f>
        <v>Interior (Optimist)</v>
      </c>
      <c r="N281" s="6" t="str">
        <f ca="1">IFERROR(__xludf.DUMMYFUNCTION("""COMPUTED_VALUE"""),"OPTIMIST PRINCIPIANTES")</f>
        <v>OPTIMIST PRINCIPIANTES</v>
      </c>
      <c r="O281" s="6"/>
      <c r="P281" s="6" t="str">
        <f ca="1">IFERROR(__xludf.DUMMYFUNCTION("""COMPUTED_VALUE"""),"NYC")</f>
        <v>NYC</v>
      </c>
      <c r="Q281" s="38"/>
      <c r="R281" s="38"/>
      <c r="S281" s="38"/>
      <c r="T281" s="38"/>
      <c r="U281" s="38"/>
      <c r="V281" s="38"/>
      <c r="W281" s="38"/>
      <c r="X281" s="40"/>
      <c r="Y281" s="6" t="str">
        <f ca="1">IFERROR(__xludf.DUMMYFUNCTION("""COMPUTED_VALUE"""),"Si")</f>
        <v>Si</v>
      </c>
      <c r="Z281" s="38" t="str">
        <f ca="1">IFERROR(__xludf.DUMMYFUNCTION("""COMPUTED_VALUE"""),"Acepto")</f>
        <v>Acepto</v>
      </c>
      <c r="AA281" s="38" t="str">
        <f ca="1">IFERROR(__xludf.DUMMYFUNCTION("""COMPUTED_VALUE"""),"Terminado")</f>
        <v>Terminado</v>
      </c>
      <c r="AB281" s="38">
        <f ca="1">IFERROR(__xludf.DUMMYFUNCTION("""COMPUTED_VALUE"""),42500)</f>
        <v>42500</v>
      </c>
      <c r="AC281" s="6">
        <f ca="1">IFERROR(__xludf.DUMMYFUNCTION("""COMPUTED_VALUE"""),205391)</f>
        <v>205391</v>
      </c>
      <c r="AD281" s="6" t="str">
        <f ca="1">IFERROR(__xludf.DUMMYFUNCTION("""COMPUTED_VALUE"""),"TRF 02-09")</f>
        <v>TRF 02-09</v>
      </c>
      <c r="AE281" s="6"/>
      <c r="AF281" s="6"/>
    </row>
    <row r="282" spans="1:32" ht="13.2">
      <c r="A282" s="35">
        <f ca="1">IFERROR(__xludf.DUMMYFUNCTION("""COMPUTED_VALUE"""),45533.7954466088)</f>
        <v>45533.795446608798</v>
      </c>
      <c r="B282" s="36" t="str">
        <f ca="1">IFERROR(__xludf.DUMMYFUNCTION("""COMPUTED_VALUE"""),"Luca")</f>
        <v>Luca</v>
      </c>
      <c r="C282" s="36" t="str">
        <f ca="1">IFERROR(__xludf.DUMMYFUNCTION("""COMPUTED_VALUE"""),"Salvatierra")</f>
        <v>Salvatierra</v>
      </c>
      <c r="D282" s="36" t="str">
        <f ca="1">IFERROR(__xludf.DUMMYFUNCTION("""COMPUTED_VALUE"""),"San Isidro")</f>
        <v>San Isidro</v>
      </c>
      <c r="E282" s="38" t="str">
        <f ca="1">IFERROR(__xludf.DUMMYFUNCTION("""COMPUTED_VALUE"""),"ARG")</f>
        <v>ARG</v>
      </c>
      <c r="F282" s="38">
        <f ca="1">IFERROR(__xludf.DUMMYFUNCTION("""COMPUTED_VALUE"""),53285019)</f>
        <v>53285019</v>
      </c>
      <c r="G282" s="37">
        <f ca="1">IFERROR(__xludf.DUMMYFUNCTION("""COMPUTED_VALUE"""),41412)</f>
        <v>41412</v>
      </c>
      <c r="H282" s="38">
        <f ca="1">IFERROR(__xludf.DUMMYFUNCTION("""COMPUTED_VALUE"""),1133688160)</f>
        <v>1133688160</v>
      </c>
      <c r="I282" s="38">
        <f ca="1">IFERROR(__xludf.DUMMYFUNCTION("""COMPUTED_VALUE"""),1160151345)</f>
        <v>1160151345</v>
      </c>
      <c r="J282" s="38" t="str">
        <f ca="1">IFERROR(__xludf.DUMMYFUNCTION("""COMPUTED_VALUE"""),"anabellasg33@gmail.com")</f>
        <v>anabellasg33@gmail.com</v>
      </c>
      <c r="K282" s="38" t="str">
        <f ca="1">IFERROR(__xludf.DUMMYFUNCTION("""COMPUTED_VALUE"""),"Masculino")</f>
        <v>Masculino</v>
      </c>
      <c r="L282" s="38" t="str">
        <f ca="1">IFERROR(__xludf.DUMMYFUNCTION("""COMPUTED_VALUE"""),"CPNLB")</f>
        <v>CPNLB</v>
      </c>
      <c r="M282" s="38" t="str">
        <f ca="1">IFERROR(__xludf.DUMMYFUNCTION("""COMPUTED_VALUE"""),"sub 12")</f>
        <v>sub 12</v>
      </c>
      <c r="N282" s="6" t="str">
        <f ca="1">IFERROR(__xludf.DUMMYFUNCTION("""COMPUTED_VALUE"""),"OPTIMIST PRINCIPIANTES")</f>
        <v>OPTIMIST PRINCIPIANTES</v>
      </c>
      <c r="O282" s="6"/>
      <c r="P282" s="6">
        <f ca="1">IFERROR(__xludf.DUMMYFUNCTION("""COMPUTED_VALUE"""),3022)</f>
        <v>3022</v>
      </c>
      <c r="Q282" s="38"/>
      <c r="R282" s="38"/>
      <c r="S282" s="38"/>
      <c r="T282" s="38"/>
      <c r="U282" s="38"/>
      <c r="V282" s="38"/>
      <c r="W282" s="38"/>
      <c r="X282" s="40" t="str">
        <f ca="1">IFERROR(__xludf.DUMMYFUNCTION("""COMPUTED_VALUE"""),"omint 1820230900011")</f>
        <v>omint 1820230900011</v>
      </c>
      <c r="Y282" s="6" t="str">
        <f ca="1">IFERROR(__xludf.DUMMYFUNCTION("""COMPUTED_VALUE"""),"Si")</f>
        <v>Si</v>
      </c>
      <c r="Z282" s="38" t="str">
        <f ca="1">IFERROR(__xludf.DUMMYFUNCTION("""COMPUTED_VALUE"""),"Acepto")</f>
        <v>Acepto</v>
      </c>
      <c r="AA282" s="38" t="str">
        <f ca="1">IFERROR(__xludf.DUMMYFUNCTION("""COMPUTED_VALUE"""),"Terminado")</f>
        <v>Terminado</v>
      </c>
      <c r="AB282" s="38">
        <f ca="1">IFERROR(__xludf.DUMMYFUNCTION("""COMPUTED_VALUE"""),50000)</f>
        <v>50000</v>
      </c>
      <c r="AC282" s="6">
        <f ca="1">IFERROR(__xludf.DUMMYFUNCTION("""COMPUTED_VALUE"""),205084)</f>
        <v>205084</v>
      </c>
      <c r="AD282" s="6" t="str">
        <f ca="1">IFERROR(__xludf.DUMMYFUNCTION("""COMPUTED_VALUE"""),"TRF 29-08")</f>
        <v>TRF 29-08</v>
      </c>
      <c r="AE282" s="6"/>
      <c r="AF282" s="6"/>
    </row>
    <row r="283" spans="1:32" ht="13.2">
      <c r="A283" s="35">
        <f ca="1">IFERROR(__xludf.DUMMYFUNCTION("""COMPUTED_VALUE"""),45528.4443155902)</f>
        <v>45528.444315590197</v>
      </c>
      <c r="B283" s="36" t="str">
        <f ca="1">IFERROR(__xludf.DUMMYFUNCTION("""COMPUTED_VALUE"""),"Federico")</f>
        <v>Federico</v>
      </c>
      <c r="C283" s="36" t="str">
        <f ca="1">IFERROR(__xludf.DUMMYFUNCTION("""COMPUTED_VALUE"""),"Sanchez")</f>
        <v>Sanchez</v>
      </c>
      <c r="D283" s="36" t="str">
        <f ca="1">IFERROR(__xludf.DUMMYFUNCTION("""COMPUTED_VALUE"""),"CABA")</f>
        <v>CABA</v>
      </c>
      <c r="E283" s="38" t="str">
        <f ca="1">IFERROR(__xludf.DUMMYFUNCTION("""COMPUTED_VALUE"""),"ARG")</f>
        <v>ARG</v>
      </c>
      <c r="F283" s="38">
        <f ca="1">IFERROR(__xludf.DUMMYFUNCTION("""COMPUTED_VALUE"""),22920734)</f>
        <v>22920734</v>
      </c>
      <c r="G283" s="37">
        <f ca="1">IFERROR(__xludf.DUMMYFUNCTION("""COMPUTED_VALUE"""),26614)</f>
        <v>26614</v>
      </c>
      <c r="H283" s="38">
        <f ca="1">IFERROR(__xludf.DUMMYFUNCTION("""COMPUTED_VALUE"""),2984539480)</f>
        <v>2984539480</v>
      </c>
      <c r="I283" s="38">
        <f ca="1">IFERROR(__xludf.DUMMYFUNCTION("""COMPUTED_VALUE"""),2984657777)</f>
        <v>2984657777</v>
      </c>
      <c r="J283" s="38" t="str">
        <f ca="1">IFERROR(__xludf.DUMMYFUNCTION("""COMPUTED_VALUE"""),"fedhugsan@gmail.com")</f>
        <v>fedhugsan@gmail.com</v>
      </c>
      <c r="K283" s="38" t="str">
        <f ca="1">IFERROR(__xludf.DUMMYFUNCTION("""COMPUTED_VALUE"""),"Masculino")</f>
        <v>Masculino</v>
      </c>
      <c r="L283" s="38" t="str">
        <f ca="1">IFERROR(__xludf.DUMMYFUNCTION("""COMPUTED_VALUE"""),"YCA")</f>
        <v>YCA</v>
      </c>
      <c r="M283" s="38" t="str">
        <f ca="1">IFERROR(__xludf.DUMMYFUNCTION("""COMPUTED_VALUE"""),"Corinthians")</f>
        <v>Corinthians</v>
      </c>
      <c r="N283" s="6" t="str">
        <f ca="1">IFERROR(__xludf.DUMMYFUNCTION("""COMPUTED_VALUE"""),"J 70")</f>
        <v>J 70</v>
      </c>
      <c r="O283" s="6">
        <f ca="1">IFERROR(__xludf.DUMMYFUNCTION("""COMPUTED_VALUE"""),29)</f>
        <v>29</v>
      </c>
      <c r="P283" s="6">
        <f ca="1">IFERROR(__xludf.DUMMYFUNCTION("""COMPUTED_VALUE"""),1433)</f>
        <v>1433</v>
      </c>
      <c r="Q283" s="38" t="str">
        <f ca="1">IFERROR(__xludf.DUMMYFUNCTION("""COMPUTED_VALUE"""),"Spinetta")</f>
        <v>Spinetta</v>
      </c>
      <c r="R283" s="38" t="str">
        <f ca="1">IFERROR(__xludf.DUMMYFUNCTION("""COMPUTED_VALUE"""),"Federico Sánchez")</f>
        <v>Federico Sánchez</v>
      </c>
      <c r="S283" s="38" t="str">
        <f ca="1">IFERROR(__xludf.DUMMYFUNCTION("""COMPUTED_VALUE"""),"Guillermo de Barrio")</f>
        <v>Guillermo de Barrio</v>
      </c>
      <c r="T283" s="38" t="str">
        <f ca="1">IFERROR(__xludf.DUMMYFUNCTION("""COMPUTED_VALUE"""),"Ignacio Bertolini")</f>
        <v>Ignacio Bertolini</v>
      </c>
      <c r="U283" s="38" t="str">
        <f ca="1">IFERROR(__xludf.DUMMYFUNCTION("""COMPUTED_VALUE"""),"Fernando Iguerategui")</f>
        <v>Fernando Iguerategui</v>
      </c>
      <c r="V283" s="38"/>
      <c r="W283" s="38"/>
      <c r="X283" s="40" t="str">
        <f ca="1">IFERROR(__xludf.DUMMYFUNCTION("""COMPUTED_VALUE"""),"Osde30208973410")</f>
        <v>Osde30208973410</v>
      </c>
      <c r="Y283" s="6" t="str">
        <f ca="1">IFERROR(__xludf.DUMMYFUNCTION("""COMPUTED_VALUE"""),"No")</f>
        <v>No</v>
      </c>
      <c r="Z283" s="38" t="str">
        <f ca="1">IFERROR(__xludf.DUMMYFUNCTION("""COMPUTED_VALUE"""),"Acepto")</f>
        <v>Acepto</v>
      </c>
      <c r="AA283" s="38" t="str">
        <f ca="1">IFERROR(__xludf.DUMMYFUNCTION("""COMPUTED_VALUE"""),"Terminado")</f>
        <v>Terminado</v>
      </c>
      <c r="AB283" s="38">
        <f ca="1">IFERROR(__xludf.DUMMYFUNCTION("""COMPUTED_VALUE"""),80000)</f>
        <v>80000</v>
      </c>
      <c r="AC283" s="6">
        <f ca="1">IFERROR(__xludf.DUMMYFUNCTION("""COMPUTED_VALUE"""),205050)</f>
        <v>205050</v>
      </c>
      <c r="AD283" s="6" t="str">
        <f ca="1">IFERROR(__xludf.DUMMYFUNCTION("""COMPUTED_VALUE"""),"TRF 23-08")</f>
        <v>TRF 23-08</v>
      </c>
      <c r="AE283" s="6"/>
      <c r="AF283" s="6"/>
    </row>
    <row r="284" spans="1:32" ht="13.2">
      <c r="A284" s="35">
        <f ca="1">IFERROR(__xludf.DUMMYFUNCTION("""COMPUTED_VALUE"""),45538.752400868)</f>
        <v>45538.752400867997</v>
      </c>
      <c r="B284" s="36" t="str">
        <f ca="1">IFERROR(__xludf.DUMMYFUNCTION("""COMPUTED_VALUE"""),"Eduardo")</f>
        <v>Eduardo</v>
      </c>
      <c r="C284" s="36" t="str">
        <f ca="1">IFERROR(__xludf.DUMMYFUNCTION("""COMPUTED_VALUE"""),"Santambrogio ")</f>
        <v xml:space="preserve">Santambrogio </v>
      </c>
      <c r="D284" s="36" t="str">
        <f ca="1">IFERROR(__xludf.DUMMYFUNCTION("""COMPUTED_VALUE""")," Beccar Buenos Aires")</f>
        <v xml:space="preserve"> Beccar Buenos Aires</v>
      </c>
      <c r="E284" s="38" t="str">
        <f ca="1">IFERROR(__xludf.DUMMYFUNCTION("""COMPUTED_VALUE"""),"ARG")</f>
        <v>ARG</v>
      </c>
      <c r="F284" s="38">
        <f ca="1">IFERROR(__xludf.DUMMYFUNCTION("""COMPUTED_VALUE"""),17200545)</f>
        <v>17200545</v>
      </c>
      <c r="G284" s="37">
        <f ca="1">IFERROR(__xludf.DUMMYFUNCTION("""COMPUTED_VALUE"""),23516)</f>
        <v>23516</v>
      </c>
      <c r="H284" s="38">
        <f ca="1">IFERROR(__xludf.DUMMYFUNCTION("""COMPUTED_VALUE"""),1130863230)</f>
        <v>1130863230</v>
      </c>
      <c r="I284" s="38">
        <f ca="1">IFERROR(__xludf.DUMMYFUNCTION("""COMPUTED_VALUE"""),1145639000)</f>
        <v>1145639000</v>
      </c>
      <c r="J284" s="38" t="str">
        <f ca="1">IFERROR(__xludf.DUMMYFUNCTION("""COMPUTED_VALUE"""),"esinex@esinex.com")</f>
        <v>esinex@esinex.com</v>
      </c>
      <c r="K284" s="38" t="str">
        <f ca="1">IFERROR(__xludf.DUMMYFUNCTION("""COMPUTED_VALUE"""),"Masculino")</f>
        <v>Masculino</v>
      </c>
      <c r="L284" s="38" t="str">
        <f ca="1">IFERROR(__xludf.DUMMYFUNCTION("""COMPUTED_VALUE"""),"YCO YCA")</f>
        <v>YCO YCA</v>
      </c>
      <c r="M284" s="38" t="str">
        <f ca="1">IFERROR(__xludf.DUMMYFUNCTION("""COMPUTED_VALUE"""),"Master (ILCA)")</f>
        <v>Master (ILCA)</v>
      </c>
      <c r="N284" s="6" t="str">
        <f ca="1">IFERROR(__xludf.DUMMYFUNCTION("""COMPUTED_VALUE"""),"ILCA 6")</f>
        <v>ILCA 6</v>
      </c>
      <c r="O284" s="6"/>
      <c r="P284" s="6">
        <f ca="1">IFERROR(__xludf.DUMMYFUNCTION("""COMPUTED_VALUE"""),220571)</f>
        <v>220571</v>
      </c>
      <c r="Q284" s="38" t="str">
        <f ca="1">IFERROR(__xludf.DUMMYFUNCTION("""COMPUTED_VALUE"""),"Esinex")</f>
        <v>Esinex</v>
      </c>
      <c r="R284" s="38"/>
      <c r="S284" s="38"/>
      <c r="T284" s="38"/>
      <c r="U284" s="38"/>
      <c r="V284" s="38"/>
      <c r="W284" s="38"/>
      <c r="X284" s="40" t="str">
        <f ca="1">IFERROR(__xludf.DUMMYFUNCTION("""COMPUTED_VALUE"""),"OSDE ")</f>
        <v xml:space="preserve">OSDE </v>
      </c>
      <c r="Y284" s="6" t="str">
        <f ca="1">IFERROR(__xludf.DUMMYFUNCTION("""COMPUTED_VALUE"""),"Si")</f>
        <v>Si</v>
      </c>
      <c r="Z284" s="38" t="str">
        <f ca="1">IFERROR(__xludf.DUMMYFUNCTION("""COMPUTED_VALUE"""),"Acepto")</f>
        <v>Acepto</v>
      </c>
      <c r="AA284" s="38" t="str">
        <f ca="1">IFERROR(__xludf.DUMMYFUNCTION("""COMPUTED_VALUE"""),"Pendiente")</f>
        <v>Pendiente</v>
      </c>
      <c r="AB284" s="38"/>
      <c r="AC284" s="6"/>
      <c r="AD284" s="6"/>
      <c r="AE284" s="6"/>
      <c r="AF284" s="6"/>
    </row>
    <row r="285" spans="1:32" ht="13.2">
      <c r="A285" s="35">
        <f ca="1">IFERROR(__xludf.DUMMYFUNCTION("""COMPUTED_VALUE"""),45535.6139611226)</f>
        <v>45535.613961122603</v>
      </c>
      <c r="B285" s="36" t="str">
        <f ca="1">IFERROR(__xludf.DUMMYFUNCTION("""COMPUTED_VALUE"""),"Lucia")</f>
        <v>Lucia</v>
      </c>
      <c r="C285" s="36" t="str">
        <f ca="1">IFERROR(__xludf.DUMMYFUNCTION("""COMPUTED_VALUE"""),"Santoro Calvi ")</f>
        <v xml:space="preserve">Santoro Calvi </v>
      </c>
      <c r="D285" s="36" t="str">
        <f ca="1">IFERROR(__xludf.DUMMYFUNCTION("""COMPUTED_VALUE"""),"Zarate ")</f>
        <v xml:space="preserve">Zarate </v>
      </c>
      <c r="E285" s="38" t="str">
        <f ca="1">IFERROR(__xludf.DUMMYFUNCTION("""COMPUTED_VALUE"""),"ARG")</f>
        <v>ARG</v>
      </c>
      <c r="F285" s="38">
        <f ca="1">IFERROR(__xludf.DUMMYFUNCTION("""COMPUTED_VALUE"""),50487891)</f>
        <v>50487891</v>
      </c>
      <c r="G285" s="37">
        <f ca="1">IFERROR(__xludf.DUMMYFUNCTION("""COMPUTED_VALUE"""),40500)</f>
        <v>40500</v>
      </c>
      <c r="H285" s="38">
        <f ca="1">IFERROR(__xludf.DUMMYFUNCTION("""COMPUTED_VALUE"""),3487509311)</f>
        <v>3487509311</v>
      </c>
      <c r="I285" s="38">
        <f ca="1">IFERROR(__xludf.DUMMYFUNCTION("""COMPUTED_VALUE"""),3497622019)</f>
        <v>3497622019</v>
      </c>
      <c r="J285" s="38" t="str">
        <f ca="1">IFERROR(__xludf.DUMMYFUNCTION("""COMPUTED_VALUE"""),"jpablosantoro@gmail.com")</f>
        <v>jpablosantoro@gmail.com</v>
      </c>
      <c r="K285" s="38" t="str">
        <f ca="1">IFERROR(__xludf.DUMMYFUNCTION("""COMPUTED_VALUE"""),"Femenino")</f>
        <v>Femenino</v>
      </c>
      <c r="L285" s="38" t="str">
        <f ca="1">IFERROR(__xludf.DUMMYFUNCTION("""COMPUTED_VALUE"""),"CNZ")</f>
        <v>CNZ</v>
      </c>
      <c r="M285" s="38" t="str">
        <f ca="1">IFERROR(__xludf.DUMMYFUNCTION("""COMPUTED_VALUE"""),"Femenino, Interior (Optimist)")</f>
        <v>Femenino, Interior (Optimist)</v>
      </c>
      <c r="N285" s="6" t="str">
        <f ca="1">IFERROR(__xludf.DUMMYFUNCTION("""COMPUTED_VALUE"""),"OPTIMIST TIMONELES")</f>
        <v>OPTIMIST TIMONELES</v>
      </c>
      <c r="O285" s="6"/>
      <c r="P285" s="6">
        <f ca="1">IFERROR(__xludf.DUMMYFUNCTION("""COMPUTED_VALUE"""),3826)</f>
        <v>3826</v>
      </c>
      <c r="Q285" s="38"/>
      <c r="R285" s="38"/>
      <c r="S285" s="38"/>
      <c r="T285" s="38"/>
      <c r="U285" s="38"/>
      <c r="V285" s="38"/>
      <c r="W285" s="38"/>
      <c r="X285" s="40" t="str">
        <f ca="1">IFERROR(__xludf.DUMMYFUNCTION("""COMPUTED_VALUE"""),"OSDE")</f>
        <v>OSDE</v>
      </c>
      <c r="Y285" s="6" t="str">
        <f ca="1">IFERROR(__xludf.DUMMYFUNCTION("""COMPUTED_VALUE"""),"Si")</f>
        <v>Si</v>
      </c>
      <c r="Z285" s="38" t="str">
        <f ca="1">IFERROR(__xludf.DUMMYFUNCTION("""COMPUTED_VALUE"""),"Acepto")</f>
        <v>Acepto</v>
      </c>
      <c r="AA285" s="38" t="str">
        <f ca="1">IFERROR(__xludf.DUMMYFUNCTION("""COMPUTED_VALUE"""),"Terminado")</f>
        <v>Terminado</v>
      </c>
      <c r="AB285" s="38">
        <f ca="1">IFERROR(__xludf.DUMMYFUNCTION("""COMPUTED_VALUE"""),50000)</f>
        <v>50000</v>
      </c>
      <c r="AC285" s="6">
        <f ca="1">IFERROR(__xludf.DUMMYFUNCTION("""COMPUTED_VALUE"""),205165)</f>
        <v>205165</v>
      </c>
      <c r="AD285" s="6" t="str">
        <f ca="1">IFERROR(__xludf.DUMMYFUNCTION("""COMPUTED_VALUE"""),"TRF 31-08")</f>
        <v>TRF 31-08</v>
      </c>
      <c r="AE285" s="6"/>
      <c r="AF285" s="6"/>
    </row>
    <row r="286" spans="1:32" ht="13.2">
      <c r="A286" s="35">
        <f ca="1">IFERROR(__xludf.DUMMYFUNCTION("""COMPUTED_VALUE"""),45535.5726220023)</f>
        <v>45535.572622002299</v>
      </c>
      <c r="B286" s="36" t="str">
        <f ca="1">IFERROR(__xludf.DUMMYFUNCTION("""COMPUTED_VALUE"""),"Matias")</f>
        <v>Matias</v>
      </c>
      <c r="C286" s="36" t="str">
        <f ca="1">IFERROR(__xludf.DUMMYFUNCTION("""COMPUTED_VALUE"""),"Sapia")</f>
        <v>Sapia</v>
      </c>
      <c r="D286" s="36" t="str">
        <f ca="1">IFERROR(__xludf.DUMMYFUNCTION("""COMPUTED_VALUE"""),"Buenos Aires")</f>
        <v>Buenos Aires</v>
      </c>
      <c r="E286" s="38" t="str">
        <f ca="1">IFERROR(__xludf.DUMMYFUNCTION("""COMPUTED_VALUE"""),"ARG")</f>
        <v>ARG</v>
      </c>
      <c r="F286" s="38">
        <f ca="1">IFERROR(__xludf.DUMMYFUNCTION("""COMPUTED_VALUE"""),50032653)</f>
        <v>50032653</v>
      </c>
      <c r="G286" s="37">
        <f ca="1">IFERROR(__xludf.DUMMYFUNCTION("""COMPUTED_VALUE"""),40254)</f>
        <v>40254</v>
      </c>
      <c r="H286" s="38">
        <f ca="1">IFERROR(__xludf.DUMMYFUNCTION("""COMPUTED_VALUE"""),1154662255)</f>
        <v>1154662255</v>
      </c>
      <c r="I286" s="38">
        <f ca="1">IFERROR(__xludf.DUMMYFUNCTION("""COMPUTED_VALUE"""),1160374897)</f>
        <v>1160374897</v>
      </c>
      <c r="J286" s="38" t="str">
        <f ca="1">IFERROR(__xludf.DUMMYFUNCTION("""COMPUTED_VALUE"""),"Matiasimagina@gmail.com")</f>
        <v>Matiasimagina@gmail.com</v>
      </c>
      <c r="K286" s="38" t="str">
        <f ca="1">IFERROR(__xludf.DUMMYFUNCTION("""COMPUTED_VALUE"""),"Masculino")</f>
        <v>Masculino</v>
      </c>
      <c r="L286" s="38" t="str">
        <f ca="1">IFERROR(__xludf.DUMMYFUNCTION("""COMPUTED_VALUE"""),"CNGSM")</f>
        <v>CNGSM</v>
      </c>
      <c r="M286" s="38" t="str">
        <f ca="1">IFERROR(__xludf.DUMMYFUNCTION("""COMPUTED_VALUE"""),"Interior (Optimist)")</f>
        <v>Interior (Optimist)</v>
      </c>
      <c r="N286" s="6" t="str">
        <f ca="1">IFERROR(__xludf.DUMMYFUNCTION("""COMPUTED_VALUE"""),"OPTIMIST TIMONELES")</f>
        <v>OPTIMIST TIMONELES</v>
      </c>
      <c r="O286" s="6"/>
      <c r="P286" s="6">
        <f ca="1">IFERROR(__xludf.DUMMYFUNCTION("""COMPUTED_VALUE"""),3539)</f>
        <v>3539</v>
      </c>
      <c r="Q286" s="38" t="str">
        <f ca="1">IFERROR(__xludf.DUMMYFUNCTION("""COMPUTED_VALUE"""),"Milito 22")</f>
        <v>Milito 22</v>
      </c>
      <c r="R286" s="38" t="str">
        <f ca="1">IFERROR(__xludf.DUMMYFUNCTION("""COMPUTED_VALUE"""),"Matías Sapia")</f>
        <v>Matías Sapia</v>
      </c>
      <c r="S286" s="38"/>
      <c r="T286" s="38"/>
      <c r="U286" s="38"/>
      <c r="V286" s="38"/>
      <c r="W286" s="38"/>
      <c r="X286" s="40">
        <f ca="1">IFERROR(__xludf.DUMMYFUNCTION("""COMPUTED_VALUE"""),377448)</f>
        <v>377448</v>
      </c>
      <c r="Y286" s="6" t="str">
        <f ca="1">IFERROR(__xludf.DUMMYFUNCTION("""COMPUTED_VALUE"""),"No")</f>
        <v>No</v>
      </c>
      <c r="Z286" s="38" t="str">
        <f ca="1">IFERROR(__xludf.DUMMYFUNCTION("""COMPUTED_VALUE"""),"Acepto")</f>
        <v>Acepto</v>
      </c>
      <c r="AA286" s="38" t="str">
        <f ca="1">IFERROR(__xludf.DUMMYFUNCTION("""COMPUTED_VALUE"""),"Repetido")</f>
        <v>Repetido</v>
      </c>
      <c r="AB286" s="38"/>
      <c r="AC286" s="6"/>
      <c r="AD286" s="6"/>
      <c r="AE286" s="6"/>
      <c r="AF286" s="6"/>
    </row>
    <row r="287" spans="1:32" ht="13.2">
      <c r="A287" s="35">
        <f ca="1">IFERROR(__xludf.DUMMYFUNCTION("""COMPUTED_VALUE"""),45535.5762434606)</f>
        <v>45535.5762434606</v>
      </c>
      <c r="B287" s="36" t="str">
        <f ca="1">IFERROR(__xludf.DUMMYFUNCTION("""COMPUTED_VALUE"""),"Matias")</f>
        <v>Matias</v>
      </c>
      <c r="C287" s="36" t="str">
        <f ca="1">IFERROR(__xludf.DUMMYFUNCTION("""COMPUTED_VALUE"""),"Sapia")</f>
        <v>Sapia</v>
      </c>
      <c r="D287" s="36" t="str">
        <f ca="1">IFERROR(__xludf.DUMMYFUNCTION("""COMPUTED_VALUE"""),"Buenos Aires ")</f>
        <v xml:space="preserve">Buenos Aires </v>
      </c>
      <c r="E287" s="38" t="str">
        <f ca="1">IFERROR(__xludf.DUMMYFUNCTION("""COMPUTED_VALUE"""),"ARG")</f>
        <v>ARG</v>
      </c>
      <c r="F287" s="38">
        <f ca="1">IFERROR(__xludf.DUMMYFUNCTION("""COMPUTED_VALUE"""),50032653)</f>
        <v>50032653</v>
      </c>
      <c r="G287" s="37">
        <f ca="1">IFERROR(__xludf.DUMMYFUNCTION("""COMPUTED_VALUE"""),40254)</f>
        <v>40254</v>
      </c>
      <c r="H287" s="38">
        <f ca="1">IFERROR(__xludf.DUMMYFUNCTION("""COMPUTED_VALUE"""),1154662255)</f>
        <v>1154662255</v>
      </c>
      <c r="I287" s="38">
        <f ca="1">IFERROR(__xludf.DUMMYFUNCTION("""COMPUTED_VALUE"""),1160374897)</f>
        <v>1160374897</v>
      </c>
      <c r="J287" s="38" t="str">
        <f ca="1">IFERROR(__xludf.DUMMYFUNCTION("""COMPUTED_VALUE"""),"Matiasimagina@gmail.com")</f>
        <v>Matiasimagina@gmail.com</v>
      </c>
      <c r="K287" s="38" t="str">
        <f ca="1">IFERROR(__xludf.DUMMYFUNCTION("""COMPUTED_VALUE"""),"Masculino")</f>
        <v>Masculino</v>
      </c>
      <c r="L287" s="38" t="str">
        <f ca="1">IFERROR(__xludf.DUMMYFUNCTION("""COMPUTED_VALUE"""),"CNGSM")</f>
        <v>CNGSM</v>
      </c>
      <c r="M287" s="38" t="str">
        <f ca="1">IFERROR(__xludf.DUMMYFUNCTION("""COMPUTED_VALUE"""),"Interior (Optimist)")</f>
        <v>Interior (Optimist)</v>
      </c>
      <c r="N287" s="6" t="str">
        <f ca="1">IFERROR(__xludf.DUMMYFUNCTION("""COMPUTED_VALUE"""),"OPTIMIST TIMONELES")</f>
        <v>OPTIMIST TIMONELES</v>
      </c>
      <c r="O287" s="6"/>
      <c r="P287" s="6">
        <f ca="1">IFERROR(__xludf.DUMMYFUNCTION("""COMPUTED_VALUE"""),3539)</f>
        <v>3539</v>
      </c>
      <c r="Q287" s="38" t="str">
        <f ca="1">IFERROR(__xludf.DUMMYFUNCTION("""COMPUTED_VALUE"""),"Milito 22")</f>
        <v>Milito 22</v>
      </c>
      <c r="R287" s="38" t="str">
        <f ca="1">IFERROR(__xludf.DUMMYFUNCTION("""COMPUTED_VALUE"""),"Matías Sapia")</f>
        <v>Matías Sapia</v>
      </c>
      <c r="S287" s="38"/>
      <c r="T287" s="38"/>
      <c r="U287" s="38"/>
      <c r="V287" s="38"/>
      <c r="W287" s="38"/>
      <c r="X287" s="40"/>
      <c r="Y287" s="6" t="str">
        <f ca="1">IFERROR(__xludf.DUMMYFUNCTION("""COMPUTED_VALUE"""),"No")</f>
        <v>No</v>
      </c>
      <c r="Z287" s="38" t="str">
        <f ca="1">IFERROR(__xludf.DUMMYFUNCTION("""COMPUTED_VALUE"""),"Acepto")</f>
        <v>Acepto</v>
      </c>
      <c r="AA287" s="38" t="str">
        <f ca="1">IFERROR(__xludf.DUMMYFUNCTION("""COMPUTED_VALUE"""),"Pendiente")</f>
        <v>Pendiente</v>
      </c>
      <c r="AB287" s="38"/>
      <c r="AC287" s="6"/>
      <c r="AD287" s="6"/>
      <c r="AE287" s="6"/>
      <c r="AF287" s="6"/>
    </row>
    <row r="288" spans="1:32" ht="13.2">
      <c r="A288" s="35">
        <f ca="1">IFERROR(__xludf.DUMMYFUNCTION("""COMPUTED_VALUE"""),45534.8265059143)</f>
        <v>45534.826505914301</v>
      </c>
      <c r="B288" s="36" t="str">
        <f ca="1">IFERROR(__xludf.DUMMYFUNCTION("""COMPUTED_VALUE"""),"Santiago ")</f>
        <v xml:space="preserve">Santiago </v>
      </c>
      <c r="C288" s="36" t="str">
        <f ca="1">IFERROR(__xludf.DUMMYFUNCTION("""COMPUTED_VALUE"""),"Saraví ")</f>
        <v xml:space="preserve">Saraví </v>
      </c>
      <c r="D288" s="36" t="str">
        <f ca="1">IFERROR(__xludf.DUMMYFUNCTION("""COMPUTED_VALUE"""),"La Plata ")</f>
        <v xml:space="preserve">La Plata </v>
      </c>
      <c r="E288" s="38" t="str">
        <f ca="1">IFERROR(__xludf.DUMMYFUNCTION("""COMPUTED_VALUE"""),"ARG")</f>
        <v>ARG</v>
      </c>
      <c r="F288" s="38">
        <f ca="1">IFERROR(__xludf.DUMMYFUNCTION("""COMPUTED_VALUE"""),50098931)</f>
        <v>50098931</v>
      </c>
      <c r="G288" s="37">
        <f ca="1">IFERROR(__xludf.DUMMYFUNCTION("""COMPUTED_VALUE"""),40221)</f>
        <v>40221</v>
      </c>
      <c r="H288" s="38">
        <f ca="1">IFERROR(__xludf.DUMMYFUNCTION("""COMPUTED_VALUE"""),2215584734)</f>
        <v>2215584734</v>
      </c>
      <c r="I288" s="38">
        <f ca="1">IFERROR(__xludf.DUMMYFUNCTION("""COMPUTED_VALUE"""),2215584734)</f>
        <v>2215584734</v>
      </c>
      <c r="J288" s="38" t="str">
        <f ca="1">IFERROR(__xludf.DUMMYFUNCTION("""COMPUTED_VALUE"""),"pauladargenio@hotmail.com")</f>
        <v>pauladargenio@hotmail.com</v>
      </c>
      <c r="K288" s="38" t="str">
        <f ca="1">IFERROR(__xludf.DUMMYFUNCTION("""COMPUTED_VALUE"""),"Masculino")</f>
        <v>Masculino</v>
      </c>
      <c r="L288" s="38" t="str">
        <f ca="1">IFERROR(__xludf.DUMMYFUNCTION("""COMPUTED_VALUE"""),"CRLP")</f>
        <v>CRLP</v>
      </c>
      <c r="M288" s="38" t="str">
        <f ca="1">IFERROR(__xludf.DUMMYFUNCTION("""COMPUTED_VALUE"""),"Interior (Optimist)")</f>
        <v>Interior (Optimist)</v>
      </c>
      <c r="N288" s="6" t="str">
        <f ca="1">IFERROR(__xludf.DUMMYFUNCTION("""COMPUTED_VALUE"""),"OPTIMIST TIMONELES")</f>
        <v>OPTIMIST TIMONELES</v>
      </c>
      <c r="O288" s="6"/>
      <c r="P288" s="6">
        <f ca="1">IFERROR(__xludf.DUMMYFUNCTION("""COMPUTED_VALUE"""),3591)</f>
        <v>3591</v>
      </c>
      <c r="Q288" s="38"/>
      <c r="R288" s="38"/>
      <c r="S288" s="38"/>
      <c r="T288" s="38"/>
      <c r="U288" s="38"/>
      <c r="V288" s="38"/>
      <c r="W288" s="38"/>
      <c r="X288" s="40" t="str">
        <f ca="1">IFERROR(__xludf.DUMMYFUNCTION("""COMPUTED_VALUE"""),"IOMA / K251906063/02")</f>
        <v>IOMA / K251906063/02</v>
      </c>
      <c r="Y288" s="6" t="str">
        <f ca="1">IFERROR(__xludf.DUMMYFUNCTION("""COMPUTED_VALUE"""),"Si")</f>
        <v>Si</v>
      </c>
      <c r="Z288" s="38" t="str">
        <f ca="1">IFERROR(__xludf.DUMMYFUNCTION("""COMPUTED_VALUE"""),"Acepto")</f>
        <v>Acepto</v>
      </c>
      <c r="AA288" s="38" t="str">
        <f ca="1">IFERROR(__xludf.DUMMYFUNCTION("""COMPUTED_VALUE"""),"Terminado")</f>
        <v>Terminado</v>
      </c>
      <c r="AB288" s="38">
        <f ca="1">IFERROR(__xludf.DUMMYFUNCTION("""COMPUTED_VALUE"""),50000)</f>
        <v>50000</v>
      </c>
      <c r="AC288" s="6">
        <f ca="1">IFERROR(__xludf.DUMMYFUNCTION("""COMPUTED_VALUE"""),205162)</f>
        <v>205162</v>
      </c>
      <c r="AD288" s="6" t="str">
        <f ca="1">IFERROR(__xludf.DUMMYFUNCTION("""COMPUTED_VALUE"""),"TRF 31/08")</f>
        <v>TRF 31/08</v>
      </c>
      <c r="AE288" s="6"/>
      <c r="AF288" s="6"/>
    </row>
    <row r="289" spans="1:32" ht="13.2">
      <c r="A289" s="35">
        <f ca="1">IFERROR(__xludf.DUMMYFUNCTION("""COMPUTED_VALUE"""),45525.7099145138)</f>
        <v>45525.709914513798</v>
      </c>
      <c r="B289" s="36" t="str">
        <f ca="1">IFERROR(__xludf.DUMMYFUNCTION("""COMPUTED_VALUE"""),"Maximiliano")</f>
        <v>Maximiliano</v>
      </c>
      <c r="C289" s="36" t="str">
        <f ca="1">IFERROR(__xludf.DUMMYFUNCTION("""COMPUTED_VALUE"""),"Sastre")</f>
        <v>Sastre</v>
      </c>
      <c r="D289" s="36" t="str">
        <f ca="1">IFERROR(__xludf.DUMMYFUNCTION("""COMPUTED_VALUE"""),"Ciudad Autónoma de Buenos Aires")</f>
        <v>Ciudad Autónoma de Buenos Aires</v>
      </c>
      <c r="E289" s="38" t="str">
        <f ca="1">IFERROR(__xludf.DUMMYFUNCTION("""COMPUTED_VALUE"""),"ARG")</f>
        <v>ARG</v>
      </c>
      <c r="F289" s="38">
        <f ca="1">IFERROR(__xludf.DUMMYFUNCTION("""COMPUTED_VALUE"""),24914586)</f>
        <v>24914586</v>
      </c>
      <c r="G289" s="37">
        <f ca="1">IFERROR(__xludf.DUMMYFUNCTION("""COMPUTED_VALUE"""),27727)</f>
        <v>27727</v>
      </c>
      <c r="H289" s="38" t="str">
        <f ca="1">IFERROR(__xludf.DUMMYFUNCTION("""COMPUTED_VALUE"""),"11 6511-2132")</f>
        <v>11 6511-2132</v>
      </c>
      <c r="I289" s="38" t="str">
        <f ca="1">IFERROR(__xludf.DUMMYFUNCTION("""COMPUTED_VALUE"""),"11 4143-9707")</f>
        <v>11 4143-9707</v>
      </c>
      <c r="J289" s="38" t="str">
        <f ca="1">IFERROR(__xludf.DUMMYFUNCTION("""COMPUTED_VALUE"""),"masastre75@hotmail.com")</f>
        <v>masastre75@hotmail.com</v>
      </c>
      <c r="K289" s="38" t="str">
        <f ca="1">IFERROR(__xludf.DUMMYFUNCTION("""COMPUTED_VALUE"""),"Masculino")</f>
        <v>Masculino</v>
      </c>
      <c r="L289" s="38" t="str">
        <f ca="1">IFERROR(__xludf.DUMMYFUNCTION("""COMPUTED_VALUE"""),"YCCN")</f>
        <v>YCCN</v>
      </c>
      <c r="M289" s="38" t="str">
        <f ca="1">IFERROR(__xludf.DUMMYFUNCTION("""COMPUTED_VALUE"""),"Mixto")</f>
        <v>Mixto</v>
      </c>
      <c r="N289" s="6" t="str">
        <f ca="1">IFERROR(__xludf.DUMMYFUNCTION("""COMPUTED_VALUE"""),"PAMPERO")</f>
        <v>PAMPERO</v>
      </c>
      <c r="O289" s="6"/>
      <c r="P289" s="6">
        <f ca="1">IFERROR(__xludf.DUMMYFUNCTION("""COMPUTED_VALUE"""),2022)</f>
        <v>2022</v>
      </c>
      <c r="Q289" s="38" t="str">
        <f ca="1">IFERROR(__xludf.DUMMYFUNCTION("""COMPUTED_VALUE"""),"NÓMADE")</f>
        <v>NÓMADE</v>
      </c>
      <c r="R289" s="38" t="str">
        <f ca="1">IFERROR(__xludf.DUMMYFUNCTION("""COMPUTED_VALUE"""),"Victoria Abril Sastre")</f>
        <v>Victoria Abril Sastre</v>
      </c>
      <c r="S289" s="38"/>
      <c r="T289" s="38"/>
      <c r="U289" s="38"/>
      <c r="V289" s="38"/>
      <c r="W289" s="38"/>
      <c r="X289" s="40" t="str">
        <f ca="1">IFERROR(__xludf.DUMMYFUNCTION("""COMPUTED_VALUE"""),"IOSFA")</f>
        <v>IOSFA</v>
      </c>
      <c r="Y289" s="6" t="str">
        <f ca="1">IFERROR(__xludf.DUMMYFUNCTION("""COMPUTED_VALUE"""),"No")</f>
        <v>No</v>
      </c>
      <c r="Z289" s="38" t="str">
        <f ca="1">IFERROR(__xludf.DUMMYFUNCTION("""COMPUTED_VALUE"""),"Acepto")</f>
        <v>Acepto</v>
      </c>
      <c r="AA289" s="38" t="str">
        <f ca="1">IFERROR(__xludf.DUMMYFUNCTION("""COMPUTED_VALUE"""),"Terminado")</f>
        <v>Terminado</v>
      </c>
      <c r="AB289" s="38">
        <f ca="1">IFERROR(__xludf.DUMMYFUNCTION("""COMPUTED_VALUE"""),60000)</f>
        <v>60000</v>
      </c>
      <c r="AC289" s="6">
        <f ca="1">IFERROR(__xludf.DUMMYFUNCTION("""COMPUTED_VALUE"""),205024)</f>
        <v>205024</v>
      </c>
      <c r="AD289" s="6" t="str">
        <f ca="1">IFERROR(__xludf.DUMMYFUNCTION("""COMPUTED_VALUE"""),"TRF 21-08")</f>
        <v>TRF 21-08</v>
      </c>
      <c r="AE289" s="6"/>
      <c r="AF289" s="6" t="str">
        <f ca="1">IFERROR(__xludf.DUMMYFUNCTION("""COMPUTED_VALUE"""),"Si")</f>
        <v>Si</v>
      </c>
    </row>
    <row r="290" spans="1:32" ht="13.2">
      <c r="A290" s="35">
        <f ca="1">IFERROR(__xludf.DUMMYFUNCTION("""COMPUTED_VALUE"""),45540.6187827199)</f>
        <v>45540.618782719903</v>
      </c>
      <c r="B290" s="36" t="str">
        <f ca="1">IFERROR(__xludf.DUMMYFUNCTION("""COMPUTED_VALUE"""),"Mariano")</f>
        <v>Mariano</v>
      </c>
      <c r="C290" s="36" t="str">
        <f ca="1">IFERROR(__xludf.DUMMYFUNCTION("""COMPUTED_VALUE"""),"Saul")</f>
        <v>Saul</v>
      </c>
      <c r="D290" s="36" t="str">
        <f ca="1">IFERROR(__xludf.DUMMYFUNCTION("""COMPUTED_VALUE"""),"Vicente Lopez")</f>
        <v>Vicente Lopez</v>
      </c>
      <c r="E290" s="38" t="str">
        <f ca="1">IFERROR(__xludf.DUMMYFUNCTION("""COMPUTED_VALUE"""),"ARG")</f>
        <v>ARG</v>
      </c>
      <c r="F290" s="38">
        <f ca="1">IFERROR(__xludf.DUMMYFUNCTION("""COMPUTED_VALUE"""),23374203)</f>
        <v>23374203</v>
      </c>
      <c r="G290" s="37">
        <f ca="1">IFERROR(__xludf.DUMMYFUNCTION("""COMPUTED_VALUE"""),26786)</f>
        <v>26786</v>
      </c>
      <c r="H290" s="38">
        <f ca="1">IFERROR(__xludf.DUMMYFUNCTION("""COMPUTED_VALUE"""),1557131286)</f>
        <v>1557131286</v>
      </c>
      <c r="I290" s="38">
        <f ca="1">IFERROR(__xludf.DUMMYFUNCTION("""COMPUTED_VALUE"""),1563668146)</f>
        <v>1563668146</v>
      </c>
      <c r="J290" s="38" t="str">
        <f ca="1">IFERROR(__xludf.DUMMYFUNCTION("""COMPUTED_VALUE"""),"mariguard02@yahoo.com.ar")</f>
        <v>mariguard02@yahoo.com.ar</v>
      </c>
      <c r="K290" s="38" t="str">
        <f ca="1">IFERROR(__xludf.DUMMYFUNCTION("""COMPUTED_VALUE"""),"Masculino")</f>
        <v>Masculino</v>
      </c>
      <c r="L290" s="38" t="str">
        <f ca="1">IFERROR(__xludf.DUMMYFUNCTION("""COMPUTED_VALUE"""),"YCO")</f>
        <v>YCO</v>
      </c>
      <c r="M290" s="38" t="str">
        <f ca="1">IFERROR(__xludf.DUMMYFUNCTION("""COMPUTED_VALUE"""),"Master (ILCA)")</f>
        <v>Master (ILCA)</v>
      </c>
      <c r="N290" s="6" t="str">
        <f ca="1">IFERROR(__xludf.DUMMYFUNCTION("""COMPUTED_VALUE"""),"ILCA 7")</f>
        <v>ILCA 7</v>
      </c>
      <c r="O290" s="6"/>
      <c r="P290" s="6">
        <f ca="1">IFERROR(__xludf.DUMMYFUNCTION("""COMPUTED_VALUE"""),211981)</f>
        <v>211981</v>
      </c>
      <c r="Q290" s="38"/>
      <c r="R290" s="38"/>
      <c r="S290" s="38"/>
      <c r="T290" s="38"/>
      <c r="U290" s="38"/>
      <c r="V290" s="38"/>
      <c r="W290" s="38"/>
      <c r="X290" s="40"/>
      <c r="Y290" s="6" t="str">
        <f ca="1">IFERROR(__xludf.DUMMYFUNCTION("""COMPUTED_VALUE"""),"Si")</f>
        <v>Si</v>
      </c>
      <c r="Z290" s="38" t="str">
        <f ca="1">IFERROR(__xludf.DUMMYFUNCTION("""COMPUTED_VALUE"""),"Acepto")</f>
        <v>Acepto</v>
      </c>
      <c r="AA290" s="38" t="str">
        <f ca="1">IFERROR(__xludf.DUMMYFUNCTION("""COMPUTED_VALUE"""),"Pendiente")</f>
        <v>Pendiente</v>
      </c>
      <c r="AB290" s="38"/>
      <c r="AC290" s="6"/>
      <c r="AD290" s="6"/>
      <c r="AE290" s="6"/>
      <c r="AF290" s="6"/>
    </row>
    <row r="291" spans="1:32" ht="13.2">
      <c r="A291" s="35">
        <f ca="1">IFERROR(__xludf.DUMMYFUNCTION("""COMPUTED_VALUE"""),45536.9059219675)</f>
        <v>45536.905921967496</v>
      </c>
      <c r="B291" s="36" t="str">
        <f ca="1">IFERROR(__xludf.DUMMYFUNCTION("""COMPUTED_VALUE"""),"FABIO")</f>
        <v>FABIO</v>
      </c>
      <c r="C291" s="36" t="str">
        <f ca="1">IFERROR(__xludf.DUMMYFUNCTION("""COMPUTED_VALUE"""),"SCARPATI")</f>
        <v>SCARPATI</v>
      </c>
      <c r="D291" s="36" t="str">
        <f ca="1">IFERROR(__xludf.DUMMYFUNCTION("""COMPUTED_VALUE"""),"Bs as")</f>
        <v>Bs as</v>
      </c>
      <c r="E291" s="38" t="str">
        <f ca="1">IFERROR(__xludf.DUMMYFUNCTION("""COMPUTED_VALUE"""),"ARG")</f>
        <v>ARG</v>
      </c>
      <c r="F291" s="38">
        <f ca="1">IFERROR(__xludf.DUMMYFUNCTION("""COMPUTED_VALUE"""),17962134)</f>
        <v>17962134</v>
      </c>
      <c r="G291" s="37">
        <f ca="1">IFERROR(__xludf.DUMMYFUNCTION("""COMPUTED_VALUE"""),24104)</f>
        <v>24104</v>
      </c>
      <c r="H291" s="38">
        <f ca="1">IFERROR(__xludf.DUMMYFUNCTION("""COMPUTED_VALUE"""),1135720818)</f>
        <v>1135720818</v>
      </c>
      <c r="I291" s="38">
        <f ca="1">IFERROR(__xludf.DUMMYFUNCTION("""COMPUTED_VALUE"""),1150041298)</f>
        <v>1150041298</v>
      </c>
      <c r="J291" s="38" t="str">
        <f ca="1">IFERROR(__xludf.DUMMYFUNCTION("""COMPUTED_VALUE"""),"scarpatifabio@hotmail.com")</f>
        <v>scarpatifabio@hotmail.com</v>
      </c>
      <c r="K291" s="38" t="str">
        <f ca="1">IFERROR(__xludf.DUMMYFUNCTION("""COMPUTED_VALUE"""),"Masculino")</f>
        <v>Masculino</v>
      </c>
      <c r="L291" s="38" t="str">
        <f ca="1">IFERROR(__xludf.DUMMYFUNCTION("""COMPUTED_VALUE"""),"CNO/CNGSM")</f>
        <v>CNO/CNGSM</v>
      </c>
      <c r="M291" s="38" t="str">
        <f ca="1">IFERROR(__xludf.DUMMYFUNCTION("""COMPUTED_VALUE"""),"Mixto")</f>
        <v>Mixto</v>
      </c>
      <c r="N291" s="6" t="str">
        <f ca="1">IFERROR(__xludf.DUMMYFUNCTION("""COMPUTED_VALUE"""),"STAR")</f>
        <v>STAR</v>
      </c>
      <c r="O291" s="6"/>
      <c r="P291" s="6" t="str">
        <f ca="1">IFERROR(__xludf.DUMMYFUNCTION("""COMPUTED_VALUE"""),"ARG 8061")</f>
        <v>ARG 8061</v>
      </c>
      <c r="Q291" s="38" t="str">
        <f ca="1">IFERROR(__xludf.DUMMYFUNCTION("""COMPUTED_VALUE"""),"ES DE ELLA")</f>
        <v>ES DE ELLA</v>
      </c>
      <c r="R291" s="38" t="str">
        <f ca="1">IFERROR(__xludf.DUMMYFUNCTION("""COMPUTED_VALUE"""),"SILVINA OTADO")</f>
        <v>SILVINA OTADO</v>
      </c>
      <c r="S291" s="38"/>
      <c r="T291" s="38"/>
      <c r="U291" s="38"/>
      <c r="V291" s="38"/>
      <c r="W291" s="38"/>
      <c r="X291" s="40"/>
      <c r="Y291" s="6" t="str">
        <f ca="1">IFERROR(__xludf.DUMMYFUNCTION("""COMPUTED_VALUE"""),"No")</f>
        <v>No</v>
      </c>
      <c r="Z291" s="38" t="str">
        <f ca="1">IFERROR(__xludf.DUMMYFUNCTION("""COMPUTED_VALUE"""),"Acepto")</f>
        <v>Acepto</v>
      </c>
      <c r="AA291" s="38" t="str">
        <f ca="1">IFERROR(__xludf.DUMMYFUNCTION("""COMPUTED_VALUE"""),"Terminado")</f>
        <v>Terminado</v>
      </c>
      <c r="AB291" s="38">
        <f ca="1">IFERROR(__xludf.DUMMYFUNCTION("""COMPUTED_VALUE"""),60000)</f>
        <v>60000</v>
      </c>
      <c r="AC291" s="6">
        <f ca="1">IFERROR(__xludf.DUMMYFUNCTION("""COMPUTED_VALUE"""),205392)</f>
        <v>205392</v>
      </c>
      <c r="AD291" s="6" t="str">
        <f ca="1">IFERROR(__xludf.DUMMYFUNCTION("""COMPUTED_VALUE"""),"TRF 02-09")</f>
        <v>TRF 02-09</v>
      </c>
      <c r="AE291" s="6"/>
      <c r="AF291" s="6"/>
    </row>
    <row r="292" spans="1:32" ht="13.2">
      <c r="A292" s="35">
        <f ca="1">IFERROR(__xludf.DUMMYFUNCTION("""COMPUTED_VALUE"""),45534.7465164814)</f>
        <v>45534.746516481398</v>
      </c>
      <c r="B292" s="36" t="str">
        <f ca="1">IFERROR(__xludf.DUMMYFUNCTION("""COMPUTED_VALUE"""),"Gabriel ")</f>
        <v xml:space="preserve">Gabriel </v>
      </c>
      <c r="C292" s="36" t="str">
        <f ca="1">IFERROR(__xludf.DUMMYFUNCTION("""COMPUTED_VALUE"""),"Schebor ")</f>
        <v xml:space="preserve">Schebor </v>
      </c>
      <c r="D292" s="36" t="str">
        <f ca="1">IFERROR(__xludf.DUMMYFUNCTION("""COMPUTED_VALUE"""),"Beccar, san Isidro ")</f>
        <v xml:space="preserve">Beccar, san Isidro </v>
      </c>
      <c r="E292" s="38" t="str">
        <f ca="1">IFERROR(__xludf.DUMMYFUNCTION("""COMPUTED_VALUE"""),"ARG")</f>
        <v>ARG</v>
      </c>
      <c r="F292" s="38">
        <f ca="1">IFERROR(__xludf.DUMMYFUNCTION("""COMPUTED_VALUE"""),17543579)</f>
        <v>17543579</v>
      </c>
      <c r="G292" s="37">
        <f ca="1">IFERROR(__xludf.DUMMYFUNCTION("""COMPUTED_VALUE"""),23995)</f>
        <v>23995</v>
      </c>
      <c r="H292" s="38">
        <f ca="1">IFERROR(__xludf.DUMMYFUNCTION("""COMPUTED_VALUE"""),1150615721)</f>
        <v>1150615721</v>
      </c>
      <c r="I292" s="38">
        <f ca="1">IFERROR(__xludf.DUMMYFUNCTION("""COMPUTED_VALUE"""),1163606183)</f>
        <v>1163606183</v>
      </c>
      <c r="J292" s="38" t="str">
        <f ca="1">IFERROR(__xludf.DUMMYFUNCTION("""COMPUTED_VALUE"""),"Gabrielschebor@gmail.com")</f>
        <v>Gabrielschebor@gmail.com</v>
      </c>
      <c r="K292" s="38" t="str">
        <f ca="1">IFERROR(__xludf.DUMMYFUNCTION("""COMPUTED_VALUE"""),"Masculino")</f>
        <v>Masculino</v>
      </c>
      <c r="L292" s="38" t="str">
        <f ca="1">IFERROR(__xludf.DUMMYFUNCTION("""COMPUTED_VALUE"""),"Azopardo ")</f>
        <v xml:space="preserve">Azopardo </v>
      </c>
      <c r="M292" s="38" t="str">
        <f ca="1">IFERROR(__xludf.DUMMYFUNCTION("""COMPUTED_VALUE"""),"Senior mixto")</f>
        <v>Senior mixto</v>
      </c>
      <c r="N292" s="6" t="str">
        <f ca="1">IFERROR(__xludf.DUMMYFUNCTION("""COMPUTED_VALUE"""),"SNIPE")</f>
        <v>SNIPE</v>
      </c>
      <c r="O292" s="6"/>
      <c r="P292" s="6">
        <f ca="1">IFERROR(__xludf.DUMMYFUNCTION("""COMPUTED_VALUE"""),30635)</f>
        <v>30635</v>
      </c>
      <c r="Q292" s="38" t="str">
        <f ca="1">IFERROR(__xludf.DUMMYFUNCTION("""COMPUTED_VALUE"""),"Pour ung plaisir ")</f>
        <v xml:space="preserve">Pour ung plaisir </v>
      </c>
      <c r="R292" s="38" t="str">
        <f ca="1">IFERROR(__xludf.DUMMYFUNCTION("""COMPUTED_VALUE"""),"Josefina Casella")</f>
        <v>Josefina Casella</v>
      </c>
      <c r="S292" s="38"/>
      <c r="T292" s="38"/>
      <c r="U292" s="38"/>
      <c r="V292" s="38"/>
      <c r="W292" s="38"/>
      <c r="X292" s="40" t="str">
        <f ca="1">IFERROR(__xludf.DUMMYFUNCTION("""COMPUTED_VALUE"""),"IOMA 117543579200")</f>
        <v>IOMA 117543579200</v>
      </c>
      <c r="Y292" s="6" t="str">
        <f ca="1">IFERROR(__xludf.DUMMYFUNCTION("""COMPUTED_VALUE"""),"No")</f>
        <v>No</v>
      </c>
      <c r="Z292" s="38" t="str">
        <f ca="1">IFERROR(__xludf.DUMMYFUNCTION("""COMPUTED_VALUE"""),"Acepto")</f>
        <v>Acepto</v>
      </c>
      <c r="AA292" s="38" t="str">
        <f ca="1">IFERROR(__xludf.DUMMYFUNCTION("""COMPUTED_VALUE"""),"Terminado")</f>
        <v>Terminado</v>
      </c>
      <c r="AB292" s="38">
        <f ca="1">IFERROR(__xludf.DUMMYFUNCTION("""COMPUTED_VALUE"""),60000)</f>
        <v>60000</v>
      </c>
      <c r="AC292" s="6">
        <f ca="1">IFERROR(__xludf.DUMMYFUNCTION("""COMPUTED_VALUE"""),205127)</f>
        <v>205127</v>
      </c>
      <c r="AD292" s="6" t="str">
        <f ca="1">IFERROR(__xludf.DUMMYFUNCTION("""COMPUTED_VALUE"""),"TRF 30-08")</f>
        <v>TRF 30-08</v>
      </c>
      <c r="AE292" s="6"/>
      <c r="AF292" s="6"/>
    </row>
    <row r="293" spans="1:32" ht="13.2">
      <c r="A293" s="35">
        <f ca="1">IFERROR(__xludf.DUMMYFUNCTION("""COMPUTED_VALUE"""),45534.5610017361)</f>
        <v>45534.561001736103</v>
      </c>
      <c r="B293" s="36" t="str">
        <f ca="1">IFERROR(__xludf.DUMMYFUNCTION("""COMPUTED_VALUE"""),"Agustina")</f>
        <v>Agustina</v>
      </c>
      <c r="C293" s="36" t="str">
        <f ca="1">IFERROR(__xludf.DUMMYFUNCTION("""COMPUTED_VALUE"""),"Schere Pena")</f>
        <v>Schere Pena</v>
      </c>
      <c r="D293" s="36" t="str">
        <f ca="1">IFERROR(__xludf.DUMMYFUNCTION("""COMPUTED_VALUE"""),"CABA")</f>
        <v>CABA</v>
      </c>
      <c r="E293" s="38" t="str">
        <f ca="1">IFERROR(__xludf.DUMMYFUNCTION("""COMPUTED_VALUE"""),"ARG")</f>
        <v>ARG</v>
      </c>
      <c r="F293" s="38">
        <f ca="1">IFERROR(__xludf.DUMMYFUNCTION("""COMPUTED_VALUE"""),53087006)</f>
        <v>53087006</v>
      </c>
      <c r="G293" s="37">
        <f ca="1">IFERROR(__xludf.DUMMYFUNCTION("""COMPUTED_VALUE"""),41308)</f>
        <v>41308</v>
      </c>
      <c r="H293" s="38">
        <f ca="1">IFERROR(__xludf.DUMMYFUNCTION("""COMPUTED_VALUE"""),1144915661)</f>
        <v>1144915661</v>
      </c>
      <c r="I293" s="38">
        <f ca="1">IFERROR(__xludf.DUMMYFUNCTION("""COMPUTED_VALUE"""),1144915661)</f>
        <v>1144915661</v>
      </c>
      <c r="J293" s="38" t="str">
        <f ca="1">IFERROR(__xludf.DUMMYFUNCTION("""COMPUTED_VALUE"""),"luciano.schere@gmail.com")</f>
        <v>luciano.schere@gmail.com</v>
      </c>
      <c r="K293" s="38" t="str">
        <f ca="1">IFERROR(__xludf.DUMMYFUNCTION("""COMPUTED_VALUE"""),"Femenino")</f>
        <v>Femenino</v>
      </c>
      <c r="L293" s="38" t="str">
        <f ca="1">IFERROR(__xludf.DUMMYFUNCTION("""COMPUTED_VALUE"""),"YCA")</f>
        <v>YCA</v>
      </c>
      <c r="M293" s="38" t="str">
        <f ca="1">IFERROR(__xludf.DUMMYFUNCTION("""COMPUTED_VALUE"""),"Femenino")</f>
        <v>Femenino</v>
      </c>
      <c r="N293" s="6" t="str">
        <f ca="1">IFERROR(__xludf.DUMMYFUNCTION("""COMPUTED_VALUE"""),"OPTIMIST PRINCIPIANTES")</f>
        <v>OPTIMIST PRINCIPIANTES</v>
      </c>
      <c r="O293" s="6"/>
      <c r="P293" s="6">
        <f ca="1">IFERROR(__xludf.DUMMYFUNCTION("""COMPUTED_VALUE"""),3681)</f>
        <v>3681</v>
      </c>
      <c r="Q293" s="38" t="str">
        <f ca="1">IFERROR(__xludf.DUMMYFUNCTION("""COMPUTED_VALUE"""),"Aguamarina")</f>
        <v>Aguamarina</v>
      </c>
      <c r="R293" s="38" t="str">
        <f ca="1">IFERROR(__xludf.DUMMYFUNCTION("""COMPUTED_VALUE"""),"Agustina Schere Pena")</f>
        <v>Agustina Schere Pena</v>
      </c>
      <c r="S293" s="38"/>
      <c r="T293" s="38"/>
      <c r="U293" s="38"/>
      <c r="V293" s="38"/>
      <c r="W293" s="38"/>
      <c r="X293" s="40" t="str">
        <f ca="1">IFERROR(__xludf.DUMMYFUNCTION("""COMPUTED_VALUE"""),"OSDE / 60 950760 4 03")</f>
        <v>OSDE / 60 950760 4 03</v>
      </c>
      <c r="Y293" s="6" t="str">
        <f ca="1">IFERROR(__xludf.DUMMYFUNCTION("""COMPUTED_VALUE"""),"Si")</f>
        <v>Si</v>
      </c>
      <c r="Z293" s="38" t="str">
        <f ca="1">IFERROR(__xludf.DUMMYFUNCTION("""COMPUTED_VALUE"""),"Acepto")</f>
        <v>Acepto</v>
      </c>
      <c r="AA293" s="38" t="str">
        <f ca="1">IFERROR(__xludf.DUMMYFUNCTION("""COMPUTED_VALUE"""),"Terminado")</f>
        <v>Terminado</v>
      </c>
      <c r="AB293" s="38">
        <f ca="1">IFERROR(__xludf.DUMMYFUNCTION("""COMPUTED_VALUE"""),50000)</f>
        <v>50000</v>
      </c>
      <c r="AC293" s="6">
        <f ca="1">IFERROR(__xludf.DUMMYFUNCTION("""COMPUTED_VALUE"""),205102)</f>
        <v>205102</v>
      </c>
      <c r="AD293" s="6" t="str">
        <f ca="1">IFERROR(__xludf.DUMMYFUNCTION("""COMPUTED_VALUE"""),"TRF 30-08")</f>
        <v>TRF 30-08</v>
      </c>
      <c r="AE293" s="6"/>
      <c r="AF293" s="6"/>
    </row>
    <row r="294" spans="1:32" ht="13.2">
      <c r="A294" s="35">
        <f ca="1">IFERROR(__xludf.DUMMYFUNCTION("""COMPUTED_VALUE"""),45538.4913655439)</f>
        <v>45538.491365543901</v>
      </c>
      <c r="B294" s="36" t="str">
        <f ca="1">IFERROR(__xludf.DUMMYFUNCTION("""COMPUTED_VALUE"""),"Leo ")</f>
        <v xml:space="preserve">Leo </v>
      </c>
      <c r="C294" s="36" t="str">
        <f ca="1">IFERROR(__xludf.DUMMYFUNCTION("""COMPUTED_VALUE"""),"Semenzato ")</f>
        <v xml:space="preserve">Semenzato </v>
      </c>
      <c r="D294" s="36" t="str">
        <f ca="1">IFERROR(__xludf.DUMMYFUNCTION("""COMPUTED_VALUE"""),"Buenos Aires ")</f>
        <v xml:space="preserve">Buenos Aires </v>
      </c>
      <c r="E294" s="38" t="str">
        <f ca="1">IFERROR(__xludf.DUMMYFUNCTION("""COMPUTED_VALUE"""),"ARG")</f>
        <v>ARG</v>
      </c>
      <c r="F294" s="38">
        <f ca="1">IFERROR(__xludf.DUMMYFUNCTION("""COMPUTED_VALUE"""),14755163)</f>
        <v>14755163</v>
      </c>
      <c r="G294" s="37">
        <f ca="1">IFERROR(__xludf.DUMMYFUNCTION("""COMPUTED_VALUE"""),22677)</f>
        <v>22677</v>
      </c>
      <c r="H294" s="38" t="str">
        <f ca="1">IFERROR(__xludf.DUMMYFUNCTION("""COMPUTED_VALUE"""),"116 760 7651 ")</f>
        <v xml:space="preserve">116 760 7651 </v>
      </c>
      <c r="I294" s="38" t="str">
        <f ca="1">IFERROR(__xludf.DUMMYFUNCTION("""COMPUTED_VALUE"""),"113 660 5576 ")</f>
        <v xml:space="preserve">113 660 5576 </v>
      </c>
      <c r="J294" s="38" t="str">
        <f ca="1">IFERROR(__xludf.DUMMYFUNCTION("""COMPUTED_VALUE"""),"Leosemenzato@gmail.com")</f>
        <v>Leosemenzato@gmail.com</v>
      </c>
      <c r="K294" s="38" t="str">
        <f ca="1">IFERROR(__xludf.DUMMYFUNCTION("""COMPUTED_VALUE"""),"Masculino")</f>
        <v>Masculino</v>
      </c>
      <c r="L294" s="38" t="str">
        <f ca="1">IFERROR(__xludf.DUMMYFUNCTION("""COMPUTED_VALUE"""),"CNAZ ")</f>
        <v xml:space="preserve">CNAZ </v>
      </c>
      <c r="M294" s="38"/>
      <c r="N294" s="6" t="str">
        <f ca="1">IFERROR(__xludf.DUMMYFUNCTION("""COMPUTED_VALUE"""),"PAMPERO")</f>
        <v>PAMPERO</v>
      </c>
      <c r="O294" s="6"/>
      <c r="P294" s="6" t="str">
        <f ca="1">IFERROR(__xludf.DUMMYFUNCTION("""COMPUTED_VALUE"""),"No lo sé ")</f>
        <v xml:space="preserve">No lo sé </v>
      </c>
      <c r="Q294" s="38" t="str">
        <f ca="1">IFERROR(__xludf.DUMMYFUNCTION("""COMPUTED_VALUE"""),"ALKA ")</f>
        <v xml:space="preserve">ALKA </v>
      </c>
      <c r="R294" s="38" t="str">
        <f ca="1">IFERROR(__xludf.DUMMYFUNCTION("""COMPUTED_VALUE"""),"Ricardo Diego Claverie")</f>
        <v>Ricardo Diego Claverie</v>
      </c>
      <c r="S294" s="38"/>
      <c r="T294" s="38"/>
      <c r="U294" s="38"/>
      <c r="V294" s="38"/>
      <c r="W294" s="38"/>
      <c r="X294" s="40"/>
      <c r="Y294" s="6" t="str">
        <f ca="1">IFERROR(__xludf.DUMMYFUNCTION("""COMPUTED_VALUE"""),"Si")</f>
        <v>Si</v>
      </c>
      <c r="Z294" s="38" t="str">
        <f ca="1">IFERROR(__xludf.DUMMYFUNCTION("""COMPUTED_VALUE"""),"Acepto")</f>
        <v>Acepto</v>
      </c>
      <c r="AA294" s="38" t="str">
        <f ca="1">IFERROR(__xludf.DUMMYFUNCTION("""COMPUTED_VALUE"""),"Terminado")</f>
        <v>Terminado</v>
      </c>
      <c r="AB294" s="38">
        <f ca="1">IFERROR(__xludf.DUMMYFUNCTION("""COMPUTED_VALUE"""),70000)</f>
        <v>70000</v>
      </c>
      <c r="AC294" s="6">
        <f ca="1">IFERROR(__xludf.DUMMYFUNCTION("""COMPUTED_VALUE"""),205415)</f>
        <v>205415</v>
      </c>
      <c r="AD294" s="6" t="str">
        <f ca="1">IFERROR(__xludf.DUMMYFUNCTION("""COMPUTED_VALUE"""),"TRF 03-09")</f>
        <v>TRF 03-09</v>
      </c>
      <c r="AE294" s="6"/>
      <c r="AF294" s="6" t="str">
        <f ca="1">IFERROR(__xludf.DUMMYFUNCTION("""COMPUTED_VALUE"""),"Si")</f>
        <v>Si</v>
      </c>
    </row>
    <row r="295" spans="1:32" ht="13.2">
      <c r="A295" s="35">
        <f ca="1">IFERROR(__xludf.DUMMYFUNCTION("""COMPUTED_VALUE"""),45535.3905644791)</f>
        <v>45535.390564479101</v>
      </c>
      <c r="B295" s="36" t="str">
        <f ca="1">IFERROR(__xludf.DUMMYFUNCTION("""COMPUTED_VALUE"""),"Felipe ")</f>
        <v xml:space="preserve">Felipe </v>
      </c>
      <c r="C295" s="36" t="str">
        <f ca="1">IFERROR(__xludf.DUMMYFUNCTION("""COMPUTED_VALUE"""),"Serrano")</f>
        <v>Serrano</v>
      </c>
      <c r="D295" s="36" t="str">
        <f ca="1">IFERROR(__xludf.DUMMYFUNCTION("""COMPUTED_VALUE"""),"Rosario")</f>
        <v>Rosario</v>
      </c>
      <c r="E295" s="38" t="str">
        <f ca="1">IFERROR(__xludf.DUMMYFUNCTION("""COMPUTED_VALUE"""),"ARG")</f>
        <v>ARG</v>
      </c>
      <c r="F295" s="38">
        <f ca="1">IFERROR(__xludf.DUMMYFUNCTION("""COMPUTED_VALUE"""),49635810)</f>
        <v>49635810</v>
      </c>
      <c r="G295" s="37">
        <f ca="1">IFERROR(__xludf.DUMMYFUNCTION("""COMPUTED_VALUE"""),39983)</f>
        <v>39983</v>
      </c>
      <c r="H295" s="38">
        <f ca="1">IFERROR(__xludf.DUMMYFUNCTION("""COMPUTED_VALUE"""),3415894151)</f>
        <v>3415894151</v>
      </c>
      <c r="I295" s="38">
        <f ca="1">IFERROR(__xludf.DUMMYFUNCTION("""COMPUTED_VALUE"""),3415851480)</f>
        <v>3415851480</v>
      </c>
      <c r="J295" s="38" t="str">
        <f ca="1">IFERROR(__xludf.DUMMYFUNCTION("""COMPUTED_VALUE"""),"danielapeccia@hotmail.com")</f>
        <v>danielapeccia@hotmail.com</v>
      </c>
      <c r="K295" s="38" t="str">
        <f ca="1">IFERROR(__xludf.DUMMYFUNCTION("""COMPUTED_VALUE"""),"Masculino")</f>
        <v>Masculino</v>
      </c>
      <c r="L295" s="38" t="str">
        <f ca="1">IFERROR(__xludf.DUMMYFUNCTION("""COMPUTED_VALUE"""),"YCO")</f>
        <v>YCO</v>
      </c>
      <c r="M295" s="38" t="str">
        <f ca="1">IFERROR(__xludf.DUMMYFUNCTION("""COMPUTED_VALUE"""),"Interior (Optimist)")</f>
        <v>Interior (Optimist)</v>
      </c>
      <c r="N295" s="6" t="str">
        <f ca="1">IFERROR(__xludf.DUMMYFUNCTION("""COMPUTED_VALUE"""),"OPTIMIST TIMONELES")</f>
        <v>OPTIMIST TIMONELES</v>
      </c>
      <c r="O295" s="6"/>
      <c r="P295" s="6">
        <f ca="1">IFERROR(__xludf.DUMMYFUNCTION("""COMPUTED_VALUE"""),3987)</f>
        <v>3987</v>
      </c>
      <c r="Q295" s="38"/>
      <c r="R295" s="38"/>
      <c r="S295" s="38"/>
      <c r="T295" s="38"/>
      <c r="U295" s="38"/>
      <c r="V295" s="38"/>
      <c r="W295" s="38"/>
      <c r="X295" s="40" t="str">
        <f ca="1">IFERROR(__xludf.DUMMYFUNCTION("""COMPUTED_VALUE"""),"AVALIAN Nº 27022625")</f>
        <v>AVALIAN Nº 27022625</v>
      </c>
      <c r="Y295" s="6" t="str">
        <f ca="1">IFERROR(__xludf.DUMMYFUNCTION("""COMPUTED_VALUE"""),"Si")</f>
        <v>Si</v>
      </c>
      <c r="Z295" s="38" t="str">
        <f ca="1">IFERROR(__xludf.DUMMYFUNCTION("""COMPUTED_VALUE"""),"Acepto")</f>
        <v>Acepto</v>
      </c>
      <c r="AA295" s="38" t="str">
        <f ca="1">IFERROR(__xludf.DUMMYFUNCTION("""COMPUTED_VALUE"""),"Terminado")</f>
        <v>Terminado</v>
      </c>
      <c r="AB295" s="38">
        <f ca="1">IFERROR(__xludf.DUMMYFUNCTION("""COMPUTED_VALUE"""),50000)</f>
        <v>50000</v>
      </c>
      <c r="AC295" s="6">
        <f ca="1">IFERROR(__xludf.DUMMYFUNCTION("""COMPUTED_VALUE"""),205108)</f>
        <v>205108</v>
      </c>
      <c r="AD295" s="6" t="str">
        <f ca="1">IFERROR(__xludf.DUMMYFUNCTION("""COMPUTED_VALUE"""),"Tarj 31-08")</f>
        <v>Tarj 31-08</v>
      </c>
      <c r="AE295" s="6"/>
      <c r="AF295" s="6"/>
    </row>
    <row r="296" spans="1:32" ht="13.2">
      <c r="A296" s="35">
        <f ca="1">IFERROR(__xludf.DUMMYFUNCTION("""COMPUTED_VALUE"""),45532.9697056713)</f>
        <v>45532.969705671298</v>
      </c>
      <c r="B296" s="36" t="str">
        <f ca="1">IFERROR(__xludf.DUMMYFUNCTION("""COMPUTED_VALUE"""),"Alejandro")</f>
        <v>Alejandro</v>
      </c>
      <c r="C296" s="36" t="str">
        <f ca="1">IFERROR(__xludf.DUMMYFUNCTION("""COMPUTED_VALUE"""),"Sessarego")</f>
        <v>Sessarego</v>
      </c>
      <c r="D296" s="36" t="str">
        <f ca="1">IFERROR(__xludf.DUMMYFUNCTION("""COMPUTED_VALUE"""),"Buenos Aires")</f>
        <v>Buenos Aires</v>
      </c>
      <c r="E296" s="38" t="str">
        <f ca="1">IFERROR(__xludf.DUMMYFUNCTION("""COMPUTED_VALUE"""),"ARG")</f>
        <v>ARG</v>
      </c>
      <c r="F296" s="38">
        <f ca="1">IFERROR(__xludf.DUMMYFUNCTION("""COMPUTED_VALUE"""),16124872)</f>
        <v>16124872</v>
      </c>
      <c r="G296" s="37">
        <f ca="1">IFERROR(__xludf.DUMMYFUNCTION("""COMPUTED_VALUE"""),22855)</f>
        <v>22855</v>
      </c>
      <c r="H296" s="38">
        <f ca="1">IFERROR(__xludf.DUMMYFUNCTION("""COMPUTED_VALUE"""),1141714032)</f>
        <v>1141714032</v>
      </c>
      <c r="I296" s="38">
        <f ca="1">IFERROR(__xludf.DUMMYFUNCTION("""COMPUTED_VALUE"""),1167598764)</f>
        <v>1167598764</v>
      </c>
      <c r="J296" s="38" t="str">
        <f ca="1">IFERROR(__xludf.DUMMYFUNCTION("""COMPUTED_VALUE"""),"asessarego@remax.com.ar")</f>
        <v>asessarego@remax.com.ar</v>
      </c>
      <c r="K296" s="38" t="str">
        <f ca="1">IFERROR(__xludf.DUMMYFUNCTION("""COMPUTED_VALUE"""),"Masculino")</f>
        <v>Masculino</v>
      </c>
      <c r="L296" s="38" t="str">
        <f ca="1">IFERROR(__xludf.DUMMYFUNCTION("""COMPUTED_VALUE"""),"CVSI CNSE")</f>
        <v>CVSI CNSE</v>
      </c>
      <c r="M296" s="38" t="str">
        <f ca="1">IFERROR(__xludf.DUMMYFUNCTION("""COMPUTED_VALUE"""),"J70 open")</f>
        <v>J70 open</v>
      </c>
      <c r="N296" s="6" t="str">
        <f ca="1">IFERROR(__xludf.DUMMYFUNCTION("""COMPUTED_VALUE"""),"J 70")</f>
        <v>J 70</v>
      </c>
      <c r="O296" s="6">
        <f ca="1">IFERROR(__xludf.DUMMYFUNCTION("""COMPUTED_VALUE"""),23)</f>
        <v>23</v>
      </c>
      <c r="P296" s="6">
        <f ca="1">IFERROR(__xludf.DUMMYFUNCTION("""COMPUTED_VALUE"""),1738)</f>
        <v>1738</v>
      </c>
      <c r="Q296" s="38" t="str">
        <f ca="1">IFERROR(__xludf.DUMMYFUNCTION("""COMPUTED_VALUE"""),"Macarena")</f>
        <v>Macarena</v>
      </c>
      <c r="R296" s="38" t="str">
        <f ca="1">IFERROR(__xludf.DUMMYFUNCTION("""COMPUTED_VALUE"""),"Alejandro Sessarego")</f>
        <v>Alejandro Sessarego</v>
      </c>
      <c r="S296" s="38" t="str">
        <f ca="1">IFERROR(__xludf.DUMMYFUNCTION("""COMPUTED_VALUE"""),"Ezequiel Vescio")</f>
        <v>Ezequiel Vescio</v>
      </c>
      <c r="T296" s="38" t="str">
        <f ca="1">IFERROR(__xludf.DUMMYFUNCTION("""COMPUTED_VALUE"""),"Carlos Barone")</f>
        <v>Carlos Barone</v>
      </c>
      <c r="U296" s="38" t="str">
        <f ca="1">IFERROR(__xludf.DUMMYFUNCTION("""COMPUTED_VALUE"""),"Esteban Afonso")</f>
        <v>Esteban Afonso</v>
      </c>
      <c r="V296" s="38"/>
      <c r="W296" s="38"/>
      <c r="X296" s="40" t="str">
        <f ca="1">IFERROR(__xludf.DUMMYFUNCTION("""COMPUTED_VALUE"""),"Swiss Medical 8000060239590 01")</f>
        <v>Swiss Medical 8000060239590 01</v>
      </c>
      <c r="Y296" s="6" t="str">
        <f ca="1">IFERROR(__xludf.DUMMYFUNCTION("""COMPUTED_VALUE"""),"No")</f>
        <v>No</v>
      </c>
      <c r="Z296" s="38" t="str">
        <f ca="1">IFERROR(__xludf.DUMMYFUNCTION("""COMPUTED_VALUE"""),"Acepto")</f>
        <v>Acepto</v>
      </c>
      <c r="AA296" s="38" t="str">
        <f ca="1">IFERROR(__xludf.DUMMYFUNCTION("""COMPUTED_VALUE"""),"Terminado")</f>
        <v>Terminado</v>
      </c>
      <c r="AB296" s="38">
        <f ca="1">IFERROR(__xludf.DUMMYFUNCTION("""COMPUTED_VALUE"""),90000)</f>
        <v>90000</v>
      </c>
      <c r="AC296" s="6">
        <f ca="1">IFERROR(__xludf.DUMMYFUNCTION("""COMPUTED_VALUE"""),205456)</f>
        <v>205456</v>
      </c>
      <c r="AD296" s="6" t="str">
        <f ca="1">IFERROR(__xludf.DUMMYFUNCTION("""COMPUTED_VALUE"""),"TRF 04-09")</f>
        <v>TRF 04-09</v>
      </c>
      <c r="AE296" s="6"/>
      <c r="AF296" s="6"/>
    </row>
    <row r="297" spans="1:32" ht="13.2">
      <c r="A297" s="35">
        <f ca="1">IFERROR(__xludf.DUMMYFUNCTION("""COMPUTED_VALUE"""),45531.3648272685)</f>
        <v>45531.364827268502</v>
      </c>
      <c r="B297" s="36" t="str">
        <f ca="1">IFERROR(__xludf.DUMMYFUNCTION("""COMPUTED_VALUE"""),"Agustín ")</f>
        <v xml:space="preserve">Agustín </v>
      </c>
      <c r="C297" s="36" t="str">
        <f ca="1">IFERROR(__xludf.DUMMYFUNCTION("""COMPUTED_VALUE"""),"Solano ")</f>
        <v xml:space="preserve">Solano </v>
      </c>
      <c r="D297" s="36" t="str">
        <f ca="1">IFERROR(__xludf.DUMMYFUNCTION("""COMPUTED_VALUE"""),"ensenada")</f>
        <v>ensenada</v>
      </c>
      <c r="E297" s="38" t="str">
        <f ca="1">IFERROR(__xludf.DUMMYFUNCTION("""COMPUTED_VALUE"""),"ARG")</f>
        <v>ARG</v>
      </c>
      <c r="F297" s="38">
        <f ca="1">IFERROR(__xludf.DUMMYFUNCTION("""COMPUTED_VALUE"""),37802812)</f>
        <v>37802812</v>
      </c>
      <c r="G297" s="37">
        <f ca="1">IFERROR(__xludf.DUMMYFUNCTION("""COMPUTED_VALUE"""),34184)</f>
        <v>34184</v>
      </c>
      <c r="H297" s="38">
        <f ca="1">IFERROR(__xludf.DUMMYFUNCTION("""COMPUTED_VALUE"""),2213141286)</f>
        <v>2213141286</v>
      </c>
      <c r="I297" s="38">
        <f ca="1">IFERROR(__xludf.DUMMYFUNCTION("""COMPUTED_VALUE"""),2216164356)</f>
        <v>2216164356</v>
      </c>
      <c r="J297" s="38" t="str">
        <f ca="1">IFERROR(__xludf.DUMMYFUNCTION("""COMPUTED_VALUE"""),"agus.maiden@hotmaik.com")</f>
        <v>agus.maiden@hotmaik.com</v>
      </c>
      <c r="K297" s="38" t="str">
        <f ca="1">IFERROR(__xludf.DUMMYFUNCTION("""COMPUTED_VALUE"""),"Masculino")</f>
        <v>Masculino</v>
      </c>
      <c r="L297" s="38" t="str">
        <f ca="1">IFERROR(__xludf.DUMMYFUNCTION("""COMPUTED_VALUE"""),"GASAV")</f>
        <v>GASAV</v>
      </c>
      <c r="M297" s="38" t="str">
        <f ca="1">IFERROR(__xludf.DUMMYFUNCTION("""COMPUTED_VALUE"""),"Master (ILCA)")</f>
        <v>Master (ILCA)</v>
      </c>
      <c r="N297" s="6" t="str">
        <f ca="1">IFERROR(__xludf.DUMMYFUNCTION("""COMPUTED_VALUE"""),"ILCA 6")</f>
        <v>ILCA 6</v>
      </c>
      <c r="O297" s="6"/>
      <c r="P297" s="6">
        <f ca="1">IFERROR(__xludf.DUMMYFUNCTION("""COMPUTED_VALUE"""),13)</f>
        <v>13</v>
      </c>
      <c r="Q297" s="38"/>
      <c r="R297" s="38"/>
      <c r="S297" s="38"/>
      <c r="T297" s="38"/>
      <c r="U297" s="38"/>
      <c r="V297" s="38"/>
      <c r="W297" s="38"/>
      <c r="X297" s="40"/>
      <c r="Y297" s="6" t="str">
        <f ca="1">IFERROR(__xludf.DUMMYFUNCTION("""COMPUTED_VALUE"""),"Si")</f>
        <v>Si</v>
      </c>
      <c r="Z297" s="38" t="str">
        <f ca="1">IFERROR(__xludf.DUMMYFUNCTION("""COMPUTED_VALUE"""),"Acepto")</f>
        <v>Acepto</v>
      </c>
      <c r="AA297" s="38" t="str">
        <f ca="1">IFERROR(__xludf.DUMMYFUNCTION("""COMPUTED_VALUE"""),"Pendiente")</f>
        <v>Pendiente</v>
      </c>
      <c r="AB297" s="38"/>
      <c r="AC297" s="6"/>
      <c r="AD297" s="6"/>
      <c r="AE297" s="6"/>
      <c r="AF297" s="6"/>
    </row>
    <row r="298" spans="1:32" ht="13.2">
      <c r="A298" s="35">
        <f ca="1">IFERROR(__xludf.DUMMYFUNCTION("""COMPUTED_VALUE"""),45537.4380198263)</f>
        <v>45537.438019826302</v>
      </c>
      <c r="B298" s="36" t="str">
        <f ca="1">IFERROR(__xludf.DUMMYFUNCTION("""COMPUTED_VALUE"""),"Juana")</f>
        <v>Juana</v>
      </c>
      <c r="C298" s="36" t="str">
        <f ca="1">IFERROR(__xludf.DUMMYFUNCTION("""COMPUTED_VALUE"""),"Stella")</f>
        <v>Stella</v>
      </c>
      <c r="D298" s="36" t="str">
        <f ca="1">IFERROR(__xludf.DUMMYFUNCTION("""COMPUTED_VALUE"""),"Caba")</f>
        <v>Caba</v>
      </c>
      <c r="E298" s="38" t="str">
        <f ca="1">IFERROR(__xludf.DUMMYFUNCTION("""COMPUTED_VALUE"""),"ARG")</f>
        <v>ARG</v>
      </c>
      <c r="F298" s="38">
        <f ca="1">IFERROR(__xludf.DUMMYFUNCTION("""COMPUTED_VALUE"""),53856601)</f>
        <v>53856601</v>
      </c>
      <c r="G298" s="37">
        <f ca="1">IFERROR(__xludf.DUMMYFUNCTION("""COMPUTED_VALUE"""),41714)</f>
        <v>41714</v>
      </c>
      <c r="H298" s="38">
        <f ca="1">IFERROR(__xludf.DUMMYFUNCTION("""COMPUTED_VALUE"""),1144006748)</f>
        <v>1144006748</v>
      </c>
      <c r="I298" s="38" t="str">
        <f ca="1">IFERROR(__xludf.DUMMYFUNCTION("""COMPUTED_VALUE"""),"1144734415 / 1144006748")</f>
        <v>1144734415 / 1144006748</v>
      </c>
      <c r="J298" s="38" t="str">
        <f ca="1">IFERROR(__xludf.DUMMYFUNCTION("""COMPUTED_VALUE"""),"Macarenafe@hotmail.com")</f>
        <v>Macarenafe@hotmail.com</v>
      </c>
      <c r="K298" s="38" t="str">
        <f ca="1">IFERROR(__xludf.DUMMYFUNCTION("""COMPUTED_VALUE"""),"Femenino")</f>
        <v>Femenino</v>
      </c>
      <c r="L298" s="38" t="str">
        <f ca="1">IFERROR(__xludf.DUMMYFUNCTION("""COMPUTED_VALUE"""),"CVB")</f>
        <v>CVB</v>
      </c>
      <c r="M298" s="38" t="str">
        <f ca="1">IFERROR(__xludf.DUMMYFUNCTION("""COMPUTED_VALUE"""),"Optimist principiante")</f>
        <v>Optimist principiante</v>
      </c>
      <c r="N298" s="6" t="str">
        <f ca="1">IFERROR(__xludf.DUMMYFUNCTION("""COMPUTED_VALUE"""),"OPTIMIST PRINCIPIANTES")</f>
        <v>OPTIMIST PRINCIPIANTES</v>
      </c>
      <c r="O298" s="6"/>
      <c r="P298" s="6">
        <f ca="1">IFERROR(__xludf.DUMMYFUNCTION("""COMPUTED_VALUE"""),3633)</f>
        <v>3633</v>
      </c>
      <c r="Q298" s="38" t="str">
        <f ca="1">IFERROR(__xludf.DUMMYFUNCTION("""COMPUTED_VALUE"""),"Tsunami")</f>
        <v>Tsunami</v>
      </c>
      <c r="R298" s="38"/>
      <c r="S298" s="38"/>
      <c r="T298" s="38"/>
      <c r="U298" s="38"/>
      <c r="V298" s="38"/>
      <c r="W298" s="38"/>
      <c r="X298" s="40" t="str">
        <f ca="1">IFERROR(__xludf.DUMMYFUNCTION("""COMPUTED_VALUE"""),"Swiss Medical ")</f>
        <v xml:space="preserve">Swiss Medical </v>
      </c>
      <c r="Y298" s="6" t="str">
        <f ca="1">IFERROR(__xludf.DUMMYFUNCTION("""COMPUTED_VALUE"""),"Si")</f>
        <v>Si</v>
      </c>
      <c r="Z298" s="38" t="str">
        <f ca="1">IFERROR(__xludf.DUMMYFUNCTION("""COMPUTED_VALUE"""),"Acepto")</f>
        <v>Acepto</v>
      </c>
      <c r="AA298" s="38" t="str">
        <f ca="1">IFERROR(__xludf.DUMMYFUNCTION("""COMPUTED_VALUE"""),"Pendiente")</f>
        <v>Pendiente</v>
      </c>
      <c r="AB298" s="38"/>
      <c r="AC298" s="6"/>
      <c r="AD298" s="6"/>
      <c r="AE298" s="6"/>
      <c r="AF298" s="6"/>
    </row>
    <row r="299" spans="1:32" ht="13.2">
      <c r="A299" s="35">
        <f ca="1">IFERROR(__xludf.DUMMYFUNCTION("""COMPUTED_VALUE"""),45534.7200884143)</f>
        <v>45534.720088414302</v>
      </c>
      <c r="B299" s="36" t="str">
        <f ca="1">IFERROR(__xludf.DUMMYFUNCTION("""COMPUTED_VALUE"""),"ramiro")</f>
        <v>ramiro</v>
      </c>
      <c r="C299" s="36" t="str">
        <f ca="1">IFERROR(__xludf.DUMMYFUNCTION("""COMPUTED_VALUE"""),"Suarez Fabbro")</f>
        <v>Suarez Fabbro</v>
      </c>
      <c r="D299" s="36" t="str">
        <f ca="1">IFERROR(__xludf.DUMMYFUNCTION("""COMPUTED_VALUE"""),"cordoba")</f>
        <v>cordoba</v>
      </c>
      <c r="E299" s="38" t="str">
        <f ca="1">IFERROR(__xludf.DUMMYFUNCTION("""COMPUTED_VALUE"""),"ARG")</f>
        <v>ARG</v>
      </c>
      <c r="F299" s="38">
        <f ca="1">IFERROR(__xludf.DUMMYFUNCTION("""COMPUTED_VALUE"""),43142102)</f>
        <v>43142102</v>
      </c>
      <c r="G299" s="37">
        <f ca="1">IFERROR(__xludf.DUMMYFUNCTION("""COMPUTED_VALUE"""),36864)</f>
        <v>36864</v>
      </c>
      <c r="H299" s="38">
        <f ca="1">IFERROR(__xludf.DUMMYFUNCTION("""COMPUTED_VALUE"""),3512025971)</f>
        <v>3512025971</v>
      </c>
      <c r="I299" s="38">
        <f ca="1">IFERROR(__xludf.DUMMYFUNCTION("""COMPUTED_VALUE"""),3512025968)</f>
        <v>3512025968</v>
      </c>
      <c r="J299" s="38" t="str">
        <f ca="1">IFERROR(__xludf.DUMMYFUNCTION("""COMPUTED_VALUE"""),"Rsuarezfabbro@gmail.com")</f>
        <v>Rsuarezfabbro@gmail.com</v>
      </c>
      <c r="K299" s="38" t="str">
        <f ca="1">IFERROR(__xludf.DUMMYFUNCTION("""COMPUTED_VALUE"""),"Masculino")</f>
        <v>Masculino</v>
      </c>
      <c r="L299" s="38" t="str">
        <f ca="1">IFERROR(__xludf.DUMMYFUNCTION("""COMPUTED_VALUE"""),"CNC")</f>
        <v>CNC</v>
      </c>
      <c r="M299" s="38" t="str">
        <f ca="1">IFERROR(__xludf.DUMMYFUNCTION("""COMPUTED_VALUE"""),"senior")</f>
        <v>senior</v>
      </c>
      <c r="N299" s="6" t="str">
        <f ca="1">IFERROR(__xludf.DUMMYFUNCTION("""COMPUTED_VALUE"""),"ILCA 7")</f>
        <v>ILCA 7</v>
      </c>
      <c r="O299" s="6"/>
      <c r="P299" s="6">
        <f ca="1">IFERROR(__xludf.DUMMYFUNCTION("""COMPUTED_VALUE"""),203212)</f>
        <v>203212</v>
      </c>
      <c r="Q299" s="38"/>
      <c r="R299" s="38"/>
      <c r="S299" s="38"/>
      <c r="T299" s="38"/>
      <c r="U299" s="38"/>
      <c r="V299" s="38"/>
      <c r="W299" s="38"/>
      <c r="X299" s="40" t="str">
        <f ca="1">IFERROR(__xludf.DUMMYFUNCTION("""COMPUTED_VALUE"""),"DASPU")</f>
        <v>DASPU</v>
      </c>
      <c r="Y299" s="6" t="str">
        <f ca="1">IFERROR(__xludf.DUMMYFUNCTION("""COMPUTED_VALUE"""),"No")</f>
        <v>No</v>
      </c>
      <c r="Z299" s="38" t="str">
        <f ca="1">IFERROR(__xludf.DUMMYFUNCTION("""COMPUTED_VALUE"""),"Acepto")</f>
        <v>Acepto</v>
      </c>
      <c r="AA299" s="38" t="str">
        <f ca="1">IFERROR(__xludf.DUMMYFUNCTION("""COMPUTED_VALUE"""),"Repetido")</f>
        <v>Repetido</v>
      </c>
      <c r="AB299" s="38"/>
      <c r="AC299" s="6"/>
      <c r="AD299" s="6"/>
      <c r="AE299" s="6"/>
      <c r="AF299" s="6"/>
    </row>
    <row r="300" spans="1:32" ht="13.2">
      <c r="A300" s="35">
        <f ca="1">IFERROR(__xludf.DUMMYFUNCTION("""COMPUTED_VALUE"""),45534.7263531481)</f>
        <v>45534.7263531481</v>
      </c>
      <c r="B300" s="36" t="str">
        <f ca="1">IFERROR(__xludf.DUMMYFUNCTION("""COMPUTED_VALUE"""),"Ramiro")</f>
        <v>Ramiro</v>
      </c>
      <c r="C300" s="36" t="str">
        <f ca="1">IFERROR(__xludf.DUMMYFUNCTION("""COMPUTED_VALUE"""),"Suarez Fabbro")</f>
        <v>Suarez Fabbro</v>
      </c>
      <c r="D300" s="36" t="str">
        <f ca="1">IFERROR(__xludf.DUMMYFUNCTION("""COMPUTED_VALUE"""),"Córdoba")</f>
        <v>Córdoba</v>
      </c>
      <c r="E300" s="38" t="str">
        <f ca="1">IFERROR(__xludf.DUMMYFUNCTION("""COMPUTED_VALUE"""),"ARG")</f>
        <v>ARG</v>
      </c>
      <c r="F300" s="38">
        <f ca="1">IFERROR(__xludf.DUMMYFUNCTION("""COMPUTED_VALUE"""),43142102)</f>
        <v>43142102</v>
      </c>
      <c r="G300" s="37">
        <f ca="1">IFERROR(__xludf.DUMMYFUNCTION("""COMPUTED_VALUE"""),36864)</f>
        <v>36864</v>
      </c>
      <c r="H300" s="38">
        <f ca="1">IFERROR(__xludf.DUMMYFUNCTION("""COMPUTED_VALUE"""),3512025971)</f>
        <v>3512025971</v>
      </c>
      <c r="I300" s="38">
        <f ca="1">IFERROR(__xludf.DUMMYFUNCTION("""COMPUTED_VALUE"""),3512025968)</f>
        <v>3512025968</v>
      </c>
      <c r="J300" s="38" t="str">
        <f ca="1">IFERROR(__xludf.DUMMYFUNCTION("""COMPUTED_VALUE"""),"rsuarezfabbro@gmail.com")</f>
        <v>rsuarezfabbro@gmail.com</v>
      </c>
      <c r="K300" s="38" t="str">
        <f ca="1">IFERROR(__xludf.DUMMYFUNCTION("""COMPUTED_VALUE"""),"Masculino")</f>
        <v>Masculino</v>
      </c>
      <c r="L300" s="38" t="str">
        <f ca="1">IFERROR(__xludf.DUMMYFUNCTION("""COMPUTED_VALUE"""),"CNC")</f>
        <v>CNC</v>
      </c>
      <c r="M300" s="38" t="str">
        <f ca="1">IFERROR(__xludf.DUMMYFUNCTION("""COMPUTED_VALUE"""),"SENIOR")</f>
        <v>SENIOR</v>
      </c>
      <c r="N300" s="6" t="str">
        <f ca="1">IFERROR(__xludf.DUMMYFUNCTION("""COMPUTED_VALUE"""),"ILCA 7")</f>
        <v>ILCA 7</v>
      </c>
      <c r="O300" s="6"/>
      <c r="P300" s="6">
        <f ca="1">IFERROR(__xludf.DUMMYFUNCTION("""COMPUTED_VALUE"""),203212)</f>
        <v>203212</v>
      </c>
      <c r="Q300" s="38"/>
      <c r="R300" s="38"/>
      <c r="S300" s="38"/>
      <c r="T300" s="38"/>
      <c r="U300" s="38"/>
      <c r="V300" s="38"/>
      <c r="W300" s="38"/>
      <c r="X300" s="40" t="str">
        <f ca="1">IFERROR(__xludf.DUMMYFUNCTION("""COMPUTED_VALUE"""),"DASPU")</f>
        <v>DASPU</v>
      </c>
      <c r="Y300" s="6" t="str">
        <f ca="1">IFERROR(__xludf.DUMMYFUNCTION("""COMPUTED_VALUE"""),"No")</f>
        <v>No</v>
      </c>
      <c r="Z300" s="38" t="str">
        <f ca="1">IFERROR(__xludf.DUMMYFUNCTION("""COMPUTED_VALUE"""),"Acepto")</f>
        <v>Acepto</v>
      </c>
      <c r="AA300" s="38" t="str">
        <f ca="1">IFERROR(__xludf.DUMMYFUNCTION("""COMPUTED_VALUE"""),"Terminado")</f>
        <v>Terminado</v>
      </c>
      <c r="AB300" s="38">
        <f ca="1">IFERROR(__xludf.DUMMYFUNCTION("""COMPUTED_VALUE"""),38250)</f>
        <v>38250</v>
      </c>
      <c r="AC300" s="6">
        <f ca="1">IFERROR(__xludf.DUMMYFUNCTION("""COMPUTED_VALUE"""),205137)</f>
        <v>205137</v>
      </c>
      <c r="AD300" s="6" t="str">
        <f ca="1">IFERROR(__xludf.DUMMYFUNCTION("""COMPUTED_VALUE"""),"TRF 30-08")</f>
        <v>TRF 30-08</v>
      </c>
      <c r="AE300" s="6"/>
      <c r="AF300" s="6"/>
    </row>
    <row r="301" spans="1:32" ht="13.2">
      <c r="A301" s="35">
        <f ca="1">IFERROR(__xludf.DUMMYFUNCTION("""COMPUTED_VALUE"""),45535.7493977083)</f>
        <v>45535.7493977083</v>
      </c>
      <c r="B301" s="36" t="str">
        <f ca="1">IFERROR(__xludf.DUMMYFUNCTION("""COMPUTED_VALUE"""),"Pilar")</f>
        <v>Pilar</v>
      </c>
      <c r="C301" s="36" t="str">
        <f ca="1">IFERROR(__xludf.DUMMYFUNCTION("""COMPUTED_VALUE"""),"Taborda")</f>
        <v>Taborda</v>
      </c>
      <c r="D301" s="36" t="str">
        <f ca="1">IFERROR(__xludf.DUMMYFUNCTION("""COMPUTED_VALUE"""),"Quilmes")</f>
        <v>Quilmes</v>
      </c>
      <c r="E301" s="38" t="str">
        <f ca="1">IFERROR(__xludf.DUMMYFUNCTION("""COMPUTED_VALUE"""),"ARG")</f>
        <v>ARG</v>
      </c>
      <c r="F301" s="38">
        <f ca="1">IFERROR(__xludf.DUMMYFUNCTION("""COMPUTED_VALUE"""),51124069)</f>
        <v>51124069</v>
      </c>
      <c r="G301" s="37">
        <f ca="1">IFERROR(__xludf.DUMMYFUNCTION("""COMPUTED_VALUE"""),40669)</f>
        <v>40669</v>
      </c>
      <c r="H301" s="38">
        <f ca="1">IFERROR(__xludf.DUMMYFUNCTION("""COMPUTED_VALUE"""),1161239522)</f>
        <v>1161239522</v>
      </c>
      <c r="I301" s="38">
        <f ca="1">IFERROR(__xludf.DUMMYFUNCTION("""COMPUTED_VALUE"""),1161239522)</f>
        <v>1161239522</v>
      </c>
      <c r="J301" s="38" t="str">
        <f ca="1">IFERROR(__xludf.DUMMYFUNCTION("""COMPUTED_VALUE"""),"marielavmendiburu@hotmail.com")</f>
        <v>marielavmendiburu@hotmail.com</v>
      </c>
      <c r="K301" s="38" t="str">
        <f ca="1">IFERROR(__xludf.DUMMYFUNCTION("""COMPUTED_VALUE"""),"Femenino")</f>
        <v>Femenino</v>
      </c>
      <c r="L301" s="38" t="str">
        <f ca="1">IFERROR(__xludf.DUMMYFUNCTION("""COMPUTED_VALUE"""),"CNQ")</f>
        <v>CNQ</v>
      </c>
      <c r="M301" s="38" t="str">
        <f ca="1">IFERROR(__xludf.DUMMYFUNCTION("""COMPUTED_VALUE"""),"Interior (Optimist)")</f>
        <v>Interior (Optimist)</v>
      </c>
      <c r="N301" s="6" t="str">
        <f ca="1">IFERROR(__xludf.DUMMYFUNCTION("""COMPUTED_VALUE"""),"OPTIMIST PRINCIPIANTES")</f>
        <v>OPTIMIST PRINCIPIANTES</v>
      </c>
      <c r="O301" s="6"/>
      <c r="P301" s="6">
        <f ca="1">IFERROR(__xludf.DUMMYFUNCTION("""COMPUTED_VALUE"""),3983)</f>
        <v>3983</v>
      </c>
      <c r="Q301" s="38"/>
      <c r="R301" s="38"/>
      <c r="S301" s="38"/>
      <c r="T301" s="38"/>
      <c r="U301" s="38"/>
      <c r="V301" s="38"/>
      <c r="W301" s="38"/>
      <c r="X301" s="40" t="str">
        <f ca="1">IFERROR(__xludf.DUMMYFUNCTION("""COMPUTED_VALUE"""),"Osde")</f>
        <v>Osde</v>
      </c>
      <c r="Y301" s="6" t="str">
        <f ca="1">IFERROR(__xludf.DUMMYFUNCTION("""COMPUTED_VALUE"""),"Si")</f>
        <v>Si</v>
      </c>
      <c r="Z301" s="38" t="str">
        <f ca="1">IFERROR(__xludf.DUMMYFUNCTION("""COMPUTED_VALUE"""),"Acepto")</f>
        <v>Acepto</v>
      </c>
      <c r="AA301" s="38" t="str">
        <f ca="1">IFERROR(__xludf.DUMMYFUNCTION("""COMPUTED_VALUE"""),"Terminado")</f>
        <v>Terminado</v>
      </c>
      <c r="AB301" s="38">
        <f ca="1">IFERROR(__xludf.DUMMYFUNCTION("""COMPUTED_VALUE"""),50000)</f>
        <v>50000</v>
      </c>
      <c r="AC301" s="6">
        <f ca="1">IFERROR(__xludf.DUMMYFUNCTION("""COMPUTED_VALUE"""),205351)</f>
        <v>205351</v>
      </c>
      <c r="AD301" s="6" t="str">
        <f ca="1">IFERROR(__xludf.DUMMYFUNCTION("""COMPUTED_VALUE"""),"TRF 31-08")</f>
        <v>TRF 31-08</v>
      </c>
      <c r="AE301" s="6"/>
      <c r="AF301" s="6"/>
    </row>
    <row r="302" spans="1:32" ht="13.2">
      <c r="A302" s="35">
        <f ca="1">IFERROR(__xludf.DUMMYFUNCTION("""COMPUTED_VALUE"""),45538.4933579629)</f>
        <v>45538.4933579629</v>
      </c>
      <c r="B302" s="36" t="str">
        <f ca="1">IFERROR(__xludf.DUMMYFUNCTION("""COMPUTED_VALUE"""),"Mariano")</f>
        <v>Mariano</v>
      </c>
      <c r="C302" s="36" t="str">
        <f ca="1">IFERROR(__xludf.DUMMYFUNCTION("""COMPUTED_VALUE"""),"Tavelli")</f>
        <v>Tavelli</v>
      </c>
      <c r="D302" s="36" t="str">
        <f ca="1">IFERROR(__xludf.DUMMYFUNCTION("""COMPUTED_VALUE"""),"C.A.B.A")</f>
        <v>C.A.B.A</v>
      </c>
      <c r="E302" s="38" t="str">
        <f ca="1">IFERROR(__xludf.DUMMYFUNCTION("""COMPUTED_VALUE"""),"ARG")</f>
        <v>ARG</v>
      </c>
      <c r="F302" s="38">
        <f ca="1">IFERROR(__xludf.DUMMYFUNCTION("""COMPUTED_VALUE"""),18370425)</f>
        <v>18370425</v>
      </c>
      <c r="G302" s="37">
        <f ca="1">IFERROR(__xludf.DUMMYFUNCTION("""COMPUTED_VALUE"""),24737)</f>
        <v>24737</v>
      </c>
      <c r="H302" s="38" t="str">
        <f ca="1">IFERROR(__xludf.DUMMYFUNCTION("""COMPUTED_VALUE"""),"15-6704-1779")</f>
        <v>15-6704-1779</v>
      </c>
      <c r="I302" s="38"/>
      <c r="J302" s="38" t="str">
        <f ca="1">IFERROR(__xludf.DUMMYFUNCTION("""COMPUTED_VALUE"""),"mariano.tavelli@tavelli.com.ar")</f>
        <v>mariano.tavelli@tavelli.com.ar</v>
      </c>
      <c r="K302" s="38" t="str">
        <f ca="1">IFERROR(__xludf.DUMMYFUNCTION("""COMPUTED_VALUE"""),"Masculino")</f>
        <v>Masculino</v>
      </c>
      <c r="L302" s="38" t="str">
        <f ca="1">IFERROR(__xludf.DUMMYFUNCTION("""COMPUTED_VALUE"""),"YCA")</f>
        <v>YCA</v>
      </c>
      <c r="M302" s="38" t="str">
        <f ca="1">IFERROR(__xludf.DUMMYFUNCTION("""COMPUTED_VALUE"""),"Corinthians")</f>
        <v>Corinthians</v>
      </c>
      <c r="N302" s="6" t="str">
        <f ca="1">IFERROR(__xludf.DUMMYFUNCTION("""COMPUTED_VALUE"""),"J 70")</f>
        <v>J 70</v>
      </c>
      <c r="O302" s="6">
        <f ca="1">IFERROR(__xludf.DUMMYFUNCTION("""COMPUTED_VALUE"""),31)</f>
        <v>31</v>
      </c>
      <c r="P302" s="6" t="str">
        <f ca="1">IFERROR(__xludf.DUMMYFUNCTION("""COMPUTED_VALUE"""),"ARG 1436")</f>
        <v>ARG 1436</v>
      </c>
      <c r="Q302" s="38" t="str">
        <f ca="1">IFERROR(__xludf.DUMMYFUNCTION("""COMPUTED_VALUE"""),"DAI !")</f>
        <v>DAI !</v>
      </c>
      <c r="R302" s="38" t="str">
        <f ca="1">IFERROR(__xludf.DUMMYFUNCTION("""COMPUTED_VALUE"""),"Carlos Agnoletti")</f>
        <v>Carlos Agnoletti</v>
      </c>
      <c r="S302" s="38" t="str">
        <f ca="1">IFERROR(__xludf.DUMMYFUNCTION("""COMPUTED_VALUE"""),"Andrés Fox")</f>
        <v>Andrés Fox</v>
      </c>
      <c r="T302" s="38" t="str">
        <f ca="1">IFERROR(__xludf.DUMMYFUNCTION("""COMPUTED_VALUE"""),"KIKE Wiedeman")</f>
        <v>KIKE Wiedeman</v>
      </c>
      <c r="U302" s="38"/>
      <c r="V302" s="38"/>
      <c r="W302" s="38"/>
      <c r="X302" s="40" t="str">
        <f ca="1">IFERROR(__xludf.DUMMYFUNCTION("""COMPUTED_VALUE"""),"OSDE")</f>
        <v>OSDE</v>
      </c>
      <c r="Y302" s="6" t="str">
        <f ca="1">IFERROR(__xludf.DUMMYFUNCTION("""COMPUTED_VALUE"""),"No")</f>
        <v>No</v>
      </c>
      <c r="Z302" s="38" t="str">
        <f ca="1">IFERROR(__xludf.DUMMYFUNCTION("""COMPUTED_VALUE"""),"Acepto")</f>
        <v>Acepto</v>
      </c>
      <c r="AA302" s="38" t="str">
        <f ca="1">IFERROR(__xludf.DUMMYFUNCTION("""COMPUTED_VALUE"""),"Terminado")</f>
        <v>Terminado</v>
      </c>
      <c r="AB302" s="38">
        <f ca="1">IFERROR(__xludf.DUMMYFUNCTION("""COMPUTED_VALUE"""),90000)</f>
        <v>90000</v>
      </c>
      <c r="AC302" s="6">
        <f ca="1">IFERROR(__xludf.DUMMYFUNCTION("""COMPUTED_VALUE"""),205413)</f>
        <v>205413</v>
      </c>
      <c r="AD302" s="6" t="str">
        <f ca="1">IFERROR(__xludf.DUMMYFUNCTION("""COMPUTED_VALUE"""),"TRF 03-09")</f>
        <v>TRF 03-09</v>
      </c>
      <c r="AE302" s="6"/>
      <c r="AF302" s="6" t="str">
        <f ca="1">IFERROR(__xludf.DUMMYFUNCTION("""COMPUTED_VALUE"""),"SI")</f>
        <v>SI</v>
      </c>
    </row>
    <row r="303" spans="1:32" ht="13.2">
      <c r="A303" s="35">
        <f ca="1">IFERROR(__xludf.DUMMYFUNCTION("""COMPUTED_VALUE"""),45535.7184804629)</f>
        <v>45535.7184804629</v>
      </c>
      <c r="B303" s="36" t="str">
        <f ca="1">IFERROR(__xludf.DUMMYFUNCTION("""COMPUTED_VALUE"""),"Martín Sebastian")</f>
        <v>Martín Sebastian</v>
      </c>
      <c r="C303" s="36" t="str">
        <f ca="1">IFERROR(__xludf.DUMMYFUNCTION("""COMPUTED_VALUE"""),"Tejada Ibañez")</f>
        <v>Tejada Ibañez</v>
      </c>
      <c r="D303" s="36" t="str">
        <f ca="1">IFERROR(__xludf.DUMMYFUNCTION("""COMPUTED_VALUE"""),"Buenos Aires")</f>
        <v>Buenos Aires</v>
      </c>
      <c r="E303" s="38" t="str">
        <f ca="1">IFERROR(__xludf.DUMMYFUNCTION("""COMPUTED_VALUE"""),"ARG")</f>
        <v>ARG</v>
      </c>
      <c r="F303" s="38">
        <f ca="1">IFERROR(__xludf.DUMMYFUNCTION("""COMPUTED_VALUE"""),48938150)</f>
        <v>48938150</v>
      </c>
      <c r="G303" s="37">
        <f ca="1">IFERROR(__xludf.DUMMYFUNCTION("""COMPUTED_VALUE"""),39632)</f>
        <v>39632</v>
      </c>
      <c r="H303" s="38" t="str">
        <f ca="1">IFERROR(__xludf.DUMMYFUNCTION("""COMPUTED_VALUE"""),"+5492213553303")</f>
        <v>+5492213553303</v>
      </c>
      <c r="I303" s="38" t="str">
        <f ca="1">IFERROR(__xludf.DUMMYFUNCTION("""COMPUTED_VALUE"""),"+5492215036037")</f>
        <v>+5492215036037</v>
      </c>
      <c r="J303" s="38" t="str">
        <f ca="1">IFERROR(__xludf.DUMMYFUNCTION("""COMPUTED_VALUE"""),"martintejadaibanez@gmail.com")</f>
        <v>martintejadaibanez@gmail.com</v>
      </c>
      <c r="K303" s="38" t="str">
        <f ca="1">IFERROR(__xludf.DUMMYFUNCTION("""COMPUTED_VALUE"""),"Masculino")</f>
        <v>Masculino</v>
      </c>
      <c r="L303" s="38" t="str">
        <f ca="1">IFERROR(__xludf.DUMMYFUNCTION("""COMPUTED_VALUE"""),"CNAs")</f>
        <v>CNAs</v>
      </c>
      <c r="M303" s="38"/>
      <c r="N303" s="6" t="str">
        <f ca="1">IFERROR(__xludf.DUMMYFUNCTION("""COMPUTED_VALUE"""),"ILCA 4")</f>
        <v>ILCA 4</v>
      </c>
      <c r="O303" s="6"/>
      <c r="P303" s="6">
        <f ca="1">IFERROR(__xludf.DUMMYFUNCTION("""COMPUTED_VALUE"""),224809)</f>
        <v>224809</v>
      </c>
      <c r="Q303" s="38" t="str">
        <f ca="1">IFERROR(__xludf.DUMMYFUNCTION("""COMPUTED_VALUE"""),"PROMETEO")</f>
        <v>PROMETEO</v>
      </c>
      <c r="R303" s="38"/>
      <c r="S303" s="38"/>
      <c r="T303" s="38"/>
      <c r="U303" s="38"/>
      <c r="V303" s="38"/>
      <c r="W303" s="38"/>
      <c r="X303" s="40" t="str">
        <f ca="1">IFERROR(__xludf.DUMMYFUNCTION("""COMPUTED_VALUE"""),"Osde")</f>
        <v>Osde</v>
      </c>
      <c r="Y303" s="6" t="str">
        <f ca="1">IFERROR(__xludf.DUMMYFUNCTION("""COMPUTED_VALUE"""),"Si")</f>
        <v>Si</v>
      </c>
      <c r="Z303" s="38" t="str">
        <f ca="1">IFERROR(__xludf.DUMMYFUNCTION("""COMPUTED_VALUE"""),"Acepto")</f>
        <v>Acepto</v>
      </c>
      <c r="AA303" s="38" t="str">
        <f ca="1">IFERROR(__xludf.DUMMYFUNCTION("""COMPUTED_VALUE"""),"Pendiente")</f>
        <v>Pendiente</v>
      </c>
      <c r="AB303" s="38"/>
      <c r="AC303" s="6"/>
      <c r="AD303" s="6"/>
      <c r="AE303" s="6"/>
      <c r="AF303" s="6"/>
    </row>
    <row r="304" spans="1:32" ht="13.2">
      <c r="A304" s="35">
        <f ca="1">IFERROR(__xludf.DUMMYFUNCTION("""COMPUTED_VALUE"""),45535.7475395486)</f>
        <v>45535.747539548604</v>
      </c>
      <c r="B304" s="36" t="str">
        <f ca="1">IFERROR(__xludf.DUMMYFUNCTION("""COMPUTED_VALUE"""),"Manuel")</f>
        <v>Manuel</v>
      </c>
      <c r="C304" s="36" t="str">
        <f ca="1">IFERROR(__xludf.DUMMYFUNCTION("""COMPUTED_VALUE"""),"Tejada ibañez")</f>
        <v>Tejada ibañez</v>
      </c>
      <c r="D304" s="36" t="str">
        <f ca="1">IFERROR(__xludf.DUMMYFUNCTION("""COMPUTED_VALUE"""),"La Plata")</f>
        <v>La Plata</v>
      </c>
      <c r="E304" s="38" t="str">
        <f ca="1">IFERROR(__xludf.DUMMYFUNCTION("""COMPUTED_VALUE"""),"ARG")</f>
        <v>ARG</v>
      </c>
      <c r="F304" s="38">
        <f ca="1">IFERROR(__xludf.DUMMYFUNCTION("""COMPUTED_VALUE"""),47215820)</f>
        <v>47215820</v>
      </c>
      <c r="G304" s="37">
        <f ca="1">IFERROR(__xludf.DUMMYFUNCTION("""COMPUTED_VALUE"""),38802)</f>
        <v>38802</v>
      </c>
      <c r="H304" s="38" t="str">
        <f ca="1">IFERROR(__xludf.DUMMYFUNCTION("""COMPUTED_VALUE"""),"+54 9 221 623 9500")</f>
        <v>+54 9 221 623 9500</v>
      </c>
      <c r="I304" s="38" t="str">
        <f ca="1">IFERROR(__xludf.DUMMYFUNCTION("""COMPUTED_VALUE"""),"+54 9 221 503 6037")</f>
        <v>+54 9 221 503 6037</v>
      </c>
      <c r="J304" s="38" t="str">
        <f ca="1">IFERROR(__xludf.DUMMYFUNCTION("""COMPUTED_VALUE"""),"manutejada0@gmail.com")</f>
        <v>manutejada0@gmail.com</v>
      </c>
      <c r="K304" s="38" t="str">
        <f ca="1">IFERROR(__xludf.DUMMYFUNCTION("""COMPUTED_VALUE"""),"Masculino")</f>
        <v>Masculino</v>
      </c>
      <c r="L304" s="38" t="str">
        <f ca="1">IFERROR(__xludf.DUMMYFUNCTION("""COMPUTED_VALUE"""),"CNAs")</f>
        <v>CNAs</v>
      </c>
      <c r="M304" s="38" t="str">
        <f ca="1">IFERROR(__xludf.DUMMYFUNCTION("""COMPUTED_VALUE"""),"Master (ILCA)")</f>
        <v>Master (ILCA)</v>
      </c>
      <c r="N304" s="6" t="str">
        <f ca="1">IFERROR(__xludf.DUMMYFUNCTION("""COMPUTED_VALUE"""),"ILCA 6")</f>
        <v>ILCA 6</v>
      </c>
      <c r="O304" s="6"/>
      <c r="P304" s="6">
        <f ca="1">IFERROR(__xludf.DUMMYFUNCTION("""COMPUTED_VALUE"""),223650)</f>
        <v>223650</v>
      </c>
      <c r="Q304" s="38" t="str">
        <f ca="1">IFERROR(__xludf.DUMMYFUNCTION("""COMPUTED_VALUE"""),"Deucalion")</f>
        <v>Deucalion</v>
      </c>
      <c r="R304" s="38"/>
      <c r="S304" s="38"/>
      <c r="T304" s="38"/>
      <c r="U304" s="38"/>
      <c r="V304" s="38"/>
      <c r="W304" s="38"/>
      <c r="X304" s="40" t="str">
        <f ca="1">IFERROR(__xludf.DUMMYFUNCTION("""COMPUTED_VALUE"""),"OSDE")</f>
        <v>OSDE</v>
      </c>
      <c r="Y304" s="6" t="str">
        <f ca="1">IFERROR(__xludf.DUMMYFUNCTION("""COMPUTED_VALUE"""),"Si")</f>
        <v>Si</v>
      </c>
      <c r="Z304" s="38" t="str">
        <f ca="1">IFERROR(__xludf.DUMMYFUNCTION("""COMPUTED_VALUE"""),"Acepto")</f>
        <v>Acepto</v>
      </c>
      <c r="AA304" s="38" t="str">
        <f ca="1">IFERROR(__xludf.DUMMYFUNCTION("""COMPUTED_VALUE"""),"Pendiente")</f>
        <v>Pendiente</v>
      </c>
      <c r="AB304" s="38"/>
      <c r="AC304" s="6"/>
      <c r="AD304" s="6"/>
      <c r="AE304" s="6"/>
      <c r="AF304" s="6"/>
    </row>
    <row r="305" spans="1:32" ht="13.2">
      <c r="A305" s="35">
        <f ca="1">IFERROR(__xludf.DUMMYFUNCTION("""COMPUTED_VALUE"""),45531.4516445254)</f>
        <v>45531.451644525398</v>
      </c>
      <c r="B305" s="36" t="str">
        <f ca="1">IFERROR(__xludf.DUMMYFUNCTION("""COMPUTED_VALUE"""),"MÁXIMO SEBASTIÁN ")</f>
        <v xml:space="preserve">MÁXIMO SEBASTIÁN </v>
      </c>
      <c r="C305" s="36" t="str">
        <f ca="1">IFERROR(__xludf.DUMMYFUNCTION("""COMPUTED_VALUE"""),"TEJADA IBAÑEZ ")</f>
        <v xml:space="preserve">TEJADA IBAÑEZ </v>
      </c>
      <c r="D305" s="36" t="str">
        <f ca="1">IFERROR(__xludf.DUMMYFUNCTION("""COMPUTED_VALUE"""),"Berazategui ")</f>
        <v xml:space="preserve">Berazategui </v>
      </c>
      <c r="E305" s="38" t="str">
        <f ca="1">IFERROR(__xludf.DUMMYFUNCTION("""COMPUTED_VALUE"""),"ARG")</f>
        <v>ARG</v>
      </c>
      <c r="F305" s="38">
        <f ca="1">IFERROR(__xludf.DUMMYFUNCTION("""COMPUTED_VALUE"""),50740287)</f>
        <v>50740287</v>
      </c>
      <c r="G305" s="37">
        <f ca="1">IFERROR(__xludf.DUMMYFUNCTION("""COMPUTED_VALUE"""),40487)</f>
        <v>40487</v>
      </c>
      <c r="H305" s="38">
        <f ca="1">IFERROR(__xludf.DUMMYFUNCTION("""COMPUTED_VALUE"""),2215036037)</f>
        <v>2215036037</v>
      </c>
      <c r="I305" s="38" t="str">
        <f ca="1">IFERROR(__xludf.DUMMYFUNCTION("""COMPUTED_VALUE"""),"2215036037/ 2215700125")</f>
        <v>2215036037/ 2215700125</v>
      </c>
      <c r="J305" s="38" t="str">
        <f ca="1">IFERROR(__xludf.DUMMYFUNCTION("""COMPUTED_VALUE"""),"tifamilia@gmail.com")</f>
        <v>tifamilia@gmail.com</v>
      </c>
      <c r="K305" s="38" t="str">
        <f ca="1">IFERROR(__xludf.DUMMYFUNCTION("""COMPUTED_VALUE"""),"Masculino")</f>
        <v>Masculino</v>
      </c>
      <c r="L305" s="38" t="str">
        <f ca="1">IFERROR(__xludf.DUMMYFUNCTION("""COMPUTED_VALUE"""),"CNAs")</f>
        <v>CNAs</v>
      </c>
      <c r="M305" s="38" t="str">
        <f ca="1">IFERROR(__xludf.DUMMYFUNCTION("""COMPUTED_VALUE"""),"Interior (Optimist)")</f>
        <v>Interior (Optimist)</v>
      </c>
      <c r="N305" s="6" t="str">
        <f ca="1">IFERROR(__xludf.DUMMYFUNCTION("""COMPUTED_VALUE"""),"OPTIMIST TIMONELES")</f>
        <v>OPTIMIST TIMONELES</v>
      </c>
      <c r="O305" s="6"/>
      <c r="P305" s="6">
        <f ca="1">IFERROR(__xludf.DUMMYFUNCTION("""COMPUTED_VALUE"""),4109)</f>
        <v>4109</v>
      </c>
      <c r="Q305" s="38" t="str">
        <f ca="1">IFERROR(__xludf.DUMMYFUNCTION("""COMPUTED_VALUE"""),"OMIX")</f>
        <v>OMIX</v>
      </c>
      <c r="R305" s="38"/>
      <c r="S305" s="38"/>
      <c r="T305" s="38"/>
      <c r="U305" s="38"/>
      <c r="V305" s="38"/>
      <c r="W305" s="38"/>
      <c r="X305" s="40" t="str">
        <f ca="1">IFERROR(__xludf.DUMMYFUNCTION("""COMPUTED_VALUE"""),"OSDE Plan 310 N° 25210998106")</f>
        <v>OSDE Plan 310 N° 25210998106</v>
      </c>
      <c r="Y305" s="6" t="str">
        <f ca="1">IFERROR(__xludf.DUMMYFUNCTION("""COMPUTED_VALUE"""),"Si")</f>
        <v>Si</v>
      </c>
      <c r="Z305" s="38" t="str">
        <f ca="1">IFERROR(__xludf.DUMMYFUNCTION("""COMPUTED_VALUE"""),"Acepto")</f>
        <v>Acepto</v>
      </c>
      <c r="AA305" s="38" t="str">
        <f ca="1">IFERROR(__xludf.DUMMYFUNCTION("""COMPUTED_VALUE"""),"Pendiente")</f>
        <v>Pendiente</v>
      </c>
      <c r="AB305" s="38"/>
      <c r="AC305" s="6"/>
      <c r="AD305" s="6"/>
      <c r="AE305" s="6"/>
      <c r="AF305" s="6"/>
    </row>
    <row r="306" spans="1:32" ht="13.2">
      <c r="A306" s="35">
        <f ca="1">IFERROR(__xludf.DUMMYFUNCTION("""COMPUTED_VALUE"""),45532.7618219097)</f>
        <v>45532.761821909698</v>
      </c>
      <c r="B306" s="36" t="str">
        <f ca="1">IFERROR(__xludf.DUMMYFUNCTION("""COMPUTED_VALUE"""),"MARCOS SEBASTIÁN ")</f>
        <v xml:space="preserve">MARCOS SEBASTIÁN </v>
      </c>
      <c r="C306" s="36" t="str">
        <f ca="1">IFERROR(__xludf.DUMMYFUNCTION("""COMPUTED_VALUE"""),"TEJADA IBAÑEZ ")</f>
        <v xml:space="preserve">TEJADA IBAÑEZ </v>
      </c>
      <c r="D306" s="36" t="str">
        <f ca="1">IFERROR(__xludf.DUMMYFUNCTION("""COMPUTED_VALUE"""),"Berazategui ")</f>
        <v xml:space="preserve">Berazategui </v>
      </c>
      <c r="E306" s="38" t="str">
        <f ca="1">IFERROR(__xludf.DUMMYFUNCTION("""COMPUTED_VALUE"""),"ARG")</f>
        <v>ARG</v>
      </c>
      <c r="F306" s="38">
        <f ca="1">IFERROR(__xludf.DUMMYFUNCTION("""COMPUTED_VALUE"""),53690319)</f>
        <v>53690319</v>
      </c>
      <c r="G306" s="37">
        <f ca="1">IFERROR(__xludf.DUMMYFUNCTION("""COMPUTED_VALUE"""),41434)</f>
        <v>41434</v>
      </c>
      <c r="H306" s="38">
        <f ca="1">IFERROR(__xludf.DUMMYFUNCTION("""COMPUTED_VALUE"""),2215036037)</f>
        <v>2215036037</v>
      </c>
      <c r="I306" s="38" t="str">
        <f ca="1">IFERROR(__xludf.DUMMYFUNCTION("""COMPUTED_VALUE"""),"2215036037 / 2215700125")</f>
        <v>2215036037 / 2215700125</v>
      </c>
      <c r="J306" s="38" t="str">
        <f ca="1">IFERROR(__xludf.DUMMYFUNCTION("""COMPUTED_VALUE"""),"tifamilia@gmail.com")</f>
        <v>tifamilia@gmail.com</v>
      </c>
      <c r="K306" s="38" t="str">
        <f ca="1">IFERROR(__xludf.DUMMYFUNCTION("""COMPUTED_VALUE"""),"Masculino")</f>
        <v>Masculino</v>
      </c>
      <c r="L306" s="38" t="str">
        <f ca="1">IFERROR(__xludf.DUMMYFUNCTION("""COMPUTED_VALUE"""),"CNAs")</f>
        <v>CNAs</v>
      </c>
      <c r="M306" s="38" t="str">
        <f ca="1">IFERROR(__xludf.DUMMYFUNCTION("""COMPUTED_VALUE"""),"Interior (Optimist)")</f>
        <v>Interior (Optimist)</v>
      </c>
      <c r="N306" s="6" t="str">
        <f ca="1">IFERROR(__xludf.DUMMYFUNCTION("""COMPUTED_VALUE"""),"OPTIMIST PRINCIPIANTES")</f>
        <v>OPTIMIST PRINCIPIANTES</v>
      </c>
      <c r="O306" s="6"/>
      <c r="P306" s="6">
        <f ca="1">IFERROR(__xludf.DUMMYFUNCTION("""COMPUTED_VALUE"""),4110)</f>
        <v>4110</v>
      </c>
      <c r="Q306" s="38" t="str">
        <f ca="1">IFERROR(__xludf.DUMMYFUNCTION("""COMPUTED_VALUE"""),"MARK")</f>
        <v>MARK</v>
      </c>
      <c r="R306" s="38"/>
      <c r="S306" s="38"/>
      <c r="T306" s="38"/>
      <c r="U306" s="38"/>
      <c r="V306" s="38"/>
      <c r="W306" s="38"/>
      <c r="X306" s="40"/>
      <c r="Y306" s="6" t="str">
        <f ca="1">IFERROR(__xludf.DUMMYFUNCTION("""COMPUTED_VALUE"""),"Si")</f>
        <v>Si</v>
      </c>
      <c r="Z306" s="38" t="str">
        <f ca="1">IFERROR(__xludf.DUMMYFUNCTION("""COMPUTED_VALUE"""),"Acepto")</f>
        <v>Acepto</v>
      </c>
      <c r="AA306" s="38" t="str">
        <f ca="1">IFERROR(__xludf.DUMMYFUNCTION("""COMPUTED_VALUE"""),"Pendiente")</f>
        <v>Pendiente</v>
      </c>
      <c r="AB306" s="38"/>
      <c r="AC306" s="6"/>
      <c r="AD306" s="6"/>
      <c r="AE306" s="6"/>
      <c r="AF306" s="6"/>
    </row>
    <row r="307" spans="1:32" ht="13.2">
      <c r="A307" s="35">
        <f ca="1">IFERROR(__xludf.DUMMYFUNCTION("""COMPUTED_VALUE"""),45537.4998603356)</f>
        <v>45537.4998603356</v>
      </c>
      <c r="B307" s="36" t="str">
        <f ca="1">IFERROR(__xludf.DUMMYFUNCTION("""COMPUTED_VALUE"""),"Delfina")</f>
        <v>Delfina</v>
      </c>
      <c r="C307" s="36" t="str">
        <f ca="1">IFERROR(__xludf.DUMMYFUNCTION("""COMPUTED_VALUE"""),"Tesone")</f>
        <v>Tesone</v>
      </c>
      <c r="D307" s="36" t="str">
        <f ca="1">IFERROR(__xludf.DUMMYFUNCTION("""COMPUTED_VALUE"""),"Buenos Aires")</f>
        <v>Buenos Aires</v>
      </c>
      <c r="E307" s="38" t="str">
        <f ca="1">IFERROR(__xludf.DUMMYFUNCTION("""COMPUTED_VALUE"""),"ARG")</f>
        <v>ARG</v>
      </c>
      <c r="F307" s="38">
        <f ca="1">IFERROR(__xludf.DUMMYFUNCTION("""COMPUTED_VALUE"""),51125913)</f>
        <v>51125913</v>
      </c>
      <c r="G307" s="37">
        <f ca="1">IFERROR(__xludf.DUMMYFUNCTION("""COMPUTED_VALUE"""),40680)</f>
        <v>40680</v>
      </c>
      <c r="H307" s="38">
        <f ca="1">IFERROR(__xludf.DUMMYFUNCTION("""COMPUTED_VALUE"""),1164486728)</f>
        <v>1164486728</v>
      </c>
      <c r="I307" s="38">
        <f ca="1">IFERROR(__xludf.DUMMYFUNCTION("""COMPUTED_VALUE"""),1164486728)</f>
        <v>1164486728</v>
      </c>
      <c r="J307" s="38" t="str">
        <f ca="1">IFERROR(__xludf.DUMMYFUNCTION("""COMPUTED_VALUE"""),"altesone@hotmail.com")</f>
        <v>altesone@hotmail.com</v>
      </c>
      <c r="K307" s="38" t="str">
        <f ca="1">IFERROR(__xludf.DUMMYFUNCTION("""COMPUTED_VALUE"""),"Femenino")</f>
        <v>Femenino</v>
      </c>
      <c r="L307" s="38" t="str">
        <f ca="1">IFERROR(__xludf.DUMMYFUNCTION("""COMPUTED_VALUE"""),"CUBA")</f>
        <v>CUBA</v>
      </c>
      <c r="M307" s="38" t="str">
        <f ca="1">IFERROR(__xludf.DUMMYFUNCTION("""COMPUTED_VALUE"""),"Femenino, Interior (Optimist)")</f>
        <v>Femenino, Interior (Optimist)</v>
      </c>
      <c r="N307" s="6" t="str">
        <f ca="1">IFERROR(__xludf.DUMMYFUNCTION("""COMPUTED_VALUE"""),"OPTIMIST TIMONELES")</f>
        <v>OPTIMIST TIMONELES</v>
      </c>
      <c r="O307" s="6"/>
      <c r="P307" s="6">
        <f ca="1">IFERROR(__xludf.DUMMYFUNCTION("""COMPUTED_VALUE"""),3796)</f>
        <v>3796</v>
      </c>
      <c r="Q307" s="38"/>
      <c r="R307" s="38" t="str">
        <f ca="1">IFERROR(__xludf.DUMMYFUNCTION("""COMPUTED_VALUE"""),"Delfina Tesone")</f>
        <v>Delfina Tesone</v>
      </c>
      <c r="S307" s="38"/>
      <c r="T307" s="38"/>
      <c r="U307" s="38"/>
      <c r="V307" s="38"/>
      <c r="W307" s="38"/>
      <c r="X307" s="40" t="str">
        <f ca="1">IFERROR(__xludf.DUMMYFUNCTION("""COMPUTED_VALUE"""),"osde 61164745002")</f>
        <v>osde 61164745002</v>
      </c>
      <c r="Y307" s="6" t="str">
        <f ca="1">IFERROR(__xludf.DUMMYFUNCTION("""COMPUTED_VALUE"""),"No")</f>
        <v>No</v>
      </c>
      <c r="Z307" s="38" t="str">
        <f ca="1">IFERROR(__xludf.DUMMYFUNCTION("""COMPUTED_VALUE"""),"Acepto")</f>
        <v>Acepto</v>
      </c>
      <c r="AA307" s="38" t="str">
        <f ca="1">IFERROR(__xludf.DUMMYFUNCTION("""COMPUTED_VALUE"""),"Terminado")</f>
        <v>Terminado</v>
      </c>
      <c r="AB307" s="38">
        <f ca="1">IFERROR(__xludf.DUMMYFUNCTION("""COMPUTED_VALUE"""),50000)</f>
        <v>50000</v>
      </c>
      <c r="AC307" s="6">
        <f ca="1">IFERROR(__xludf.DUMMYFUNCTION("""COMPUTED_VALUE"""),205404)</f>
        <v>205404</v>
      </c>
      <c r="AD307" s="6" t="str">
        <f ca="1">IFERROR(__xludf.DUMMYFUNCTION("""COMPUTED_VALUE"""),"TRF 02-09")</f>
        <v>TRF 02-09</v>
      </c>
      <c r="AE307" s="6"/>
      <c r="AF307" s="6"/>
    </row>
    <row r="308" spans="1:32" ht="13.2">
      <c r="A308" s="35">
        <f ca="1">IFERROR(__xludf.DUMMYFUNCTION("""COMPUTED_VALUE"""),45537.8366182754)</f>
        <v>45537.836618275403</v>
      </c>
      <c r="B308" s="36" t="str">
        <f ca="1">IFERROR(__xludf.DUMMYFUNCTION("""COMPUTED_VALUE"""),"Joaquin ")</f>
        <v xml:space="preserve">Joaquin </v>
      </c>
      <c r="C308" s="36" t="str">
        <f ca="1">IFERROR(__xludf.DUMMYFUNCTION("""COMPUTED_VALUE"""),"Tommasi")</f>
        <v>Tommasi</v>
      </c>
      <c r="D308" s="36" t="str">
        <f ca="1">IFERROR(__xludf.DUMMYFUNCTION("""COMPUTED_VALUE"""),"Buenos Aires ")</f>
        <v xml:space="preserve">Buenos Aires </v>
      </c>
      <c r="E308" s="38" t="str">
        <f ca="1">IFERROR(__xludf.DUMMYFUNCTION("""COMPUTED_VALUE"""),"ARG")</f>
        <v>ARG</v>
      </c>
      <c r="F308" s="38">
        <f ca="1">IFERROR(__xludf.DUMMYFUNCTION("""COMPUTED_VALUE"""),52763901)</f>
        <v>52763901</v>
      </c>
      <c r="G308" s="37">
        <f ca="1">IFERROR(__xludf.DUMMYFUNCTION("""COMPUTED_VALUE"""),41194)</f>
        <v>41194</v>
      </c>
      <c r="H308" s="38">
        <f ca="1">IFERROR(__xludf.DUMMYFUNCTION("""COMPUTED_VALUE"""),40485362)</f>
        <v>40485362</v>
      </c>
      <c r="I308" s="38">
        <f ca="1">IFERROR(__xludf.DUMMYFUNCTION("""COMPUTED_VALUE"""),49485362)</f>
        <v>49485362</v>
      </c>
      <c r="J308" s="38" t="str">
        <f ca="1">IFERROR(__xludf.DUMMYFUNCTION("""COMPUTED_VALUE"""),"Rftommasi@hotmail.com")</f>
        <v>Rftommasi@hotmail.com</v>
      </c>
      <c r="K308" s="38" t="str">
        <f ca="1">IFERROR(__xludf.DUMMYFUNCTION("""COMPUTED_VALUE"""),"Masculino")</f>
        <v>Masculino</v>
      </c>
      <c r="L308" s="38" t="str">
        <f ca="1">IFERROR(__xludf.DUMMYFUNCTION("""COMPUTED_VALUE"""),"CNSI")</f>
        <v>CNSI</v>
      </c>
      <c r="M308" s="38"/>
      <c r="N308" s="6" t="str">
        <f ca="1">IFERROR(__xludf.DUMMYFUNCTION("""COMPUTED_VALUE"""),"OPTIMIST PRINCIPIANTES")</f>
        <v>OPTIMIST PRINCIPIANTES</v>
      </c>
      <c r="O308" s="6"/>
      <c r="P308" s="6">
        <f ca="1">IFERROR(__xludf.DUMMYFUNCTION("""COMPUTED_VALUE"""),3924)</f>
        <v>3924</v>
      </c>
      <c r="Q308" s="38" t="str">
        <f ca="1">IFERROR(__xludf.DUMMYFUNCTION("""COMPUTED_VALUE"""),"Solana ")</f>
        <v xml:space="preserve">Solana </v>
      </c>
      <c r="R308" s="38"/>
      <c r="S308" s="38"/>
      <c r="T308" s="38"/>
      <c r="U308" s="38"/>
      <c r="V308" s="38"/>
      <c r="W308" s="38"/>
      <c r="X308" s="40" t="str">
        <f ca="1">IFERROR(__xludf.DUMMYFUNCTION("""COMPUTED_VALUE"""),"Osde ")</f>
        <v xml:space="preserve">Osde </v>
      </c>
      <c r="Y308" s="6" t="str">
        <f ca="1">IFERROR(__xludf.DUMMYFUNCTION("""COMPUTED_VALUE"""),"No")</f>
        <v>No</v>
      </c>
      <c r="Z308" s="38" t="str">
        <f ca="1">IFERROR(__xludf.DUMMYFUNCTION("""COMPUTED_VALUE"""),"Acepto")</f>
        <v>Acepto</v>
      </c>
      <c r="AA308" s="38" t="str">
        <f ca="1">IFERROR(__xludf.DUMMYFUNCTION("""COMPUTED_VALUE"""),"Terminado")</f>
        <v>Terminado</v>
      </c>
      <c r="AB308" s="38">
        <f ca="1">IFERROR(__xludf.DUMMYFUNCTION("""COMPUTED_VALUE"""),50000)</f>
        <v>50000</v>
      </c>
      <c r="AC308" s="6">
        <f ca="1">IFERROR(__xludf.DUMMYFUNCTION("""COMPUTED_VALUE"""),205512)</f>
        <v>205512</v>
      </c>
      <c r="AD308" s="6" t="str">
        <f ca="1">IFERROR(__xludf.DUMMYFUNCTION("""COMPUTED_VALUE"""),"TRF 05-09")</f>
        <v>TRF 05-09</v>
      </c>
      <c r="AE308" s="6"/>
      <c r="AF308" s="6"/>
    </row>
    <row r="309" spans="1:32" ht="13.2">
      <c r="A309" s="35">
        <f ca="1">IFERROR(__xludf.DUMMYFUNCTION("""COMPUTED_VALUE"""),45536.7072470138)</f>
        <v>45536.707247013801</v>
      </c>
      <c r="B309" s="36" t="str">
        <f ca="1">IFERROR(__xludf.DUMMYFUNCTION("""COMPUTED_VALUE"""),"Gaspar")</f>
        <v>Gaspar</v>
      </c>
      <c r="C309" s="36" t="str">
        <f ca="1">IFERROR(__xludf.DUMMYFUNCTION("""COMPUTED_VALUE"""),"Toro")</f>
        <v>Toro</v>
      </c>
      <c r="D309" s="36" t="str">
        <f ca="1">IFERROR(__xludf.DUMMYFUNCTION("""COMPUTED_VALUE"""),"Buenos aires")</f>
        <v>Buenos aires</v>
      </c>
      <c r="E309" s="38" t="str">
        <f ca="1">IFERROR(__xludf.DUMMYFUNCTION("""COMPUTED_VALUE"""),"ARG")</f>
        <v>ARG</v>
      </c>
      <c r="F309" s="38">
        <f ca="1">IFERROR(__xludf.DUMMYFUNCTION("""COMPUTED_VALUE"""),48860170)</f>
        <v>48860170</v>
      </c>
      <c r="G309" s="37">
        <f ca="1">IFERROR(__xludf.DUMMYFUNCTION("""COMPUTED_VALUE"""),39686)</f>
        <v>39686</v>
      </c>
      <c r="H309" s="38">
        <f ca="1">IFERROR(__xludf.DUMMYFUNCTION("""COMPUTED_VALUE"""),1136401434)</f>
        <v>1136401434</v>
      </c>
      <c r="I309" s="38">
        <f ca="1">IFERROR(__xludf.DUMMYFUNCTION("""COMPUTED_VALUE"""),1559387963)</f>
        <v>1559387963</v>
      </c>
      <c r="J309" s="38" t="str">
        <f ca="1">IFERROR(__xludf.DUMMYFUNCTION("""COMPUTED_VALUE"""),"gasparleotoro@gmail.com")</f>
        <v>gasparleotoro@gmail.com</v>
      </c>
      <c r="K309" s="38" t="str">
        <f ca="1">IFERROR(__xludf.DUMMYFUNCTION("""COMPUTED_VALUE"""),"Masculino")</f>
        <v>Masculino</v>
      </c>
      <c r="L309" s="38" t="str">
        <f ca="1">IFERROR(__xludf.DUMMYFUNCTION("""COMPUTED_VALUE"""),"YCO")</f>
        <v>YCO</v>
      </c>
      <c r="M309" s="38" t="str">
        <f ca="1">IFERROR(__xludf.DUMMYFUNCTION("""COMPUTED_VALUE"""),"Sub 16")</f>
        <v>Sub 16</v>
      </c>
      <c r="N309" s="6" t="str">
        <f ca="1">IFERROR(__xludf.DUMMYFUNCTION("""COMPUTED_VALUE"""),"ILCA 6")</f>
        <v>ILCA 6</v>
      </c>
      <c r="O309" s="6"/>
      <c r="P309" s="6">
        <f ca="1">IFERROR(__xludf.DUMMYFUNCTION("""COMPUTED_VALUE"""),223625)</f>
        <v>223625</v>
      </c>
      <c r="Q309" s="38"/>
      <c r="R309" s="38"/>
      <c r="S309" s="38"/>
      <c r="T309" s="38"/>
      <c r="U309" s="38"/>
      <c r="V309" s="38"/>
      <c r="W309" s="38"/>
      <c r="X309" s="40"/>
      <c r="Y309" s="6" t="str">
        <f ca="1">IFERROR(__xludf.DUMMYFUNCTION("""COMPUTED_VALUE"""),"No")</f>
        <v>No</v>
      </c>
      <c r="Z309" s="38" t="str">
        <f ca="1">IFERROR(__xludf.DUMMYFUNCTION("""COMPUTED_VALUE"""),"Acepto")</f>
        <v>Acepto</v>
      </c>
      <c r="AA309" s="38" t="str">
        <f ca="1">IFERROR(__xludf.DUMMYFUNCTION("""COMPUTED_VALUE"""),"Terminado")</f>
        <v>Terminado</v>
      </c>
      <c r="AB309" s="38">
        <f ca="1">IFERROR(__xludf.DUMMYFUNCTION("""COMPUTED_VALUE"""),45000)</f>
        <v>45000</v>
      </c>
      <c r="AC309" s="6">
        <f ca="1">IFERROR(__xludf.DUMMYFUNCTION("""COMPUTED_VALUE"""),205535)</f>
        <v>205535</v>
      </c>
      <c r="AD309" s="6" t="str">
        <f ca="1">IFERROR(__xludf.DUMMYFUNCTION("""COMPUTED_VALUE"""),"TRF 06-09")</f>
        <v>TRF 06-09</v>
      </c>
      <c r="AE309" s="6"/>
      <c r="AF309" s="6"/>
    </row>
    <row r="310" spans="1:32" ht="13.2">
      <c r="A310" s="35">
        <f ca="1">IFERROR(__xludf.DUMMYFUNCTION("""COMPUTED_VALUE"""),45535.6037415856)</f>
        <v>45535.603741585597</v>
      </c>
      <c r="B310" s="36" t="str">
        <f ca="1">IFERROR(__xludf.DUMMYFUNCTION("""COMPUTED_VALUE"""),"Gabriel")</f>
        <v>Gabriel</v>
      </c>
      <c r="C310" s="36" t="str">
        <f ca="1">IFERROR(__xludf.DUMMYFUNCTION("""COMPUTED_VALUE"""),"Torre")</f>
        <v>Torre</v>
      </c>
      <c r="D310" s="36" t="str">
        <f ca="1">IFERROR(__xludf.DUMMYFUNCTION("""COMPUTED_VALUE"""),"CABA")</f>
        <v>CABA</v>
      </c>
      <c r="E310" s="38" t="str">
        <f ca="1">IFERROR(__xludf.DUMMYFUNCTION("""COMPUTED_VALUE"""),"ARG")</f>
        <v>ARG</v>
      </c>
      <c r="F310" s="38">
        <f ca="1">IFERROR(__xludf.DUMMYFUNCTION("""COMPUTED_VALUE"""),39644230)</f>
        <v>39644230</v>
      </c>
      <c r="G310" s="37">
        <f ca="1">IFERROR(__xludf.DUMMYFUNCTION("""COMPUTED_VALUE"""),35213)</f>
        <v>35213</v>
      </c>
      <c r="H310" s="38">
        <f ca="1">IFERROR(__xludf.DUMMYFUNCTION("""COMPUTED_VALUE"""),1153191497)</f>
        <v>1153191497</v>
      </c>
      <c r="I310" s="38">
        <f ca="1">IFERROR(__xludf.DUMMYFUNCTION("""COMPUTED_VALUE"""),1153279740)</f>
        <v>1153279740</v>
      </c>
      <c r="J310" s="38" t="str">
        <f ca="1">IFERROR(__xludf.DUMMYFUNCTION("""COMPUTED_VALUE"""),"gabriel0torre@gmail.com")</f>
        <v>gabriel0torre@gmail.com</v>
      </c>
      <c r="K310" s="38" t="str">
        <f ca="1">IFERROR(__xludf.DUMMYFUNCTION("""COMPUTED_VALUE"""),"Masculino")</f>
        <v>Masculino</v>
      </c>
      <c r="L310" s="38" t="str">
        <f ca="1">IFERROR(__xludf.DUMMYFUNCTION("""COMPUTED_VALUE"""),"CUBA")</f>
        <v>CUBA</v>
      </c>
      <c r="M310" s="38"/>
      <c r="N310" s="6" t="str">
        <f ca="1">IFERROR(__xludf.DUMMYFUNCTION("""COMPUTED_VALUE"""),"ILCA 6")</f>
        <v>ILCA 6</v>
      </c>
      <c r="O310" s="6"/>
      <c r="P310" s="6">
        <f ca="1">IFERROR(__xludf.DUMMYFUNCTION("""COMPUTED_VALUE"""),222114)</f>
        <v>222114</v>
      </c>
      <c r="Q310" s="38"/>
      <c r="R310" s="38"/>
      <c r="S310" s="38"/>
      <c r="T310" s="38"/>
      <c r="U310" s="38"/>
      <c r="V310" s="38"/>
      <c r="W310" s="38"/>
      <c r="X310" s="40" t="str">
        <f ca="1">IFERROR(__xludf.DUMMYFUNCTION("""COMPUTED_VALUE"""),"SwisMedical8000061387043010007")</f>
        <v>SwisMedical8000061387043010007</v>
      </c>
      <c r="Y310" s="6" t="str">
        <f ca="1">IFERROR(__xludf.DUMMYFUNCTION("""COMPUTED_VALUE"""),"No")</f>
        <v>No</v>
      </c>
      <c r="Z310" s="38" t="str">
        <f ca="1">IFERROR(__xludf.DUMMYFUNCTION("""COMPUTED_VALUE"""),"Acepto")</f>
        <v>Acepto</v>
      </c>
      <c r="AA310" s="38" t="str">
        <f ca="1">IFERROR(__xludf.DUMMYFUNCTION("""COMPUTED_VALUE"""),"Parcial")</f>
        <v>Parcial</v>
      </c>
      <c r="AB310" s="38">
        <f ca="1">IFERROR(__xludf.DUMMYFUNCTION("""COMPUTED_VALUE"""),40000)</f>
        <v>40000</v>
      </c>
      <c r="AC310" s="6">
        <f ca="1">IFERROR(__xludf.DUMMYFUNCTION("""COMPUTED_VALUE"""),205138)</f>
        <v>205138</v>
      </c>
      <c r="AD310" s="6" t="str">
        <f ca="1">IFERROR(__xludf.DUMMYFUNCTION("""COMPUTED_VALUE"""),"TRF 31-08")</f>
        <v>TRF 31-08</v>
      </c>
      <c r="AE310" s="6"/>
      <c r="AF310" s="6" t="str">
        <f ca="1">IFERROR(__xludf.DUMMYFUNCTION("""COMPUTED_VALUE"""),"Debe saldo")</f>
        <v>Debe saldo</v>
      </c>
    </row>
    <row r="311" spans="1:32" ht="13.2">
      <c r="A311" s="35">
        <f ca="1">IFERROR(__xludf.DUMMYFUNCTION("""COMPUTED_VALUE"""),45535.6450401736)</f>
        <v>45535.6450401736</v>
      </c>
      <c r="B311" s="36" t="str">
        <f ca="1">IFERROR(__xludf.DUMMYFUNCTION("""COMPUTED_VALUE"""),"Isabel")</f>
        <v>Isabel</v>
      </c>
      <c r="C311" s="36" t="str">
        <f ca="1">IFERROR(__xludf.DUMMYFUNCTION("""COMPUTED_VALUE"""),"Travería ")</f>
        <v xml:space="preserve">Travería </v>
      </c>
      <c r="D311" s="36" t="str">
        <f ca="1">IFERROR(__xludf.DUMMYFUNCTION("""COMPUTED_VALUE"""),"La Plata")</f>
        <v>La Plata</v>
      </c>
      <c r="E311" s="38" t="str">
        <f ca="1">IFERROR(__xludf.DUMMYFUNCTION("""COMPUTED_VALUE"""),"ARG")</f>
        <v>ARG</v>
      </c>
      <c r="F311" s="38">
        <f ca="1">IFERROR(__xludf.DUMMYFUNCTION("""COMPUTED_VALUE"""),50901006)</f>
        <v>50901006</v>
      </c>
      <c r="G311" s="37">
        <f ca="1">IFERROR(__xludf.DUMMYFUNCTION("""COMPUTED_VALUE"""),40588)</f>
        <v>40588</v>
      </c>
      <c r="H311" s="38">
        <f ca="1">IFERROR(__xludf.DUMMYFUNCTION("""COMPUTED_VALUE"""),2215638412)</f>
        <v>2215638412</v>
      </c>
      <c r="I311" s="38">
        <f ca="1">IFERROR(__xludf.DUMMYFUNCTION("""COMPUTED_VALUE"""),2215906619)</f>
        <v>2215906619</v>
      </c>
      <c r="J311" s="38" t="str">
        <f ca="1">IFERROR(__xludf.DUMMYFUNCTION("""COMPUTED_VALUE"""),"lauramadueno@gmail.com")</f>
        <v>lauramadueno@gmail.com</v>
      </c>
      <c r="K311" s="38" t="str">
        <f ca="1">IFERROR(__xludf.DUMMYFUNCTION("""COMPUTED_VALUE"""),"Femenino")</f>
        <v>Femenino</v>
      </c>
      <c r="L311" s="38" t="str">
        <f ca="1">IFERROR(__xludf.DUMMYFUNCTION("""COMPUTED_VALUE"""),"CRLP")</f>
        <v>CRLP</v>
      </c>
      <c r="M311" s="38" t="str">
        <f ca="1">IFERROR(__xludf.DUMMYFUNCTION("""COMPUTED_VALUE"""),"Femenino")</f>
        <v>Femenino</v>
      </c>
      <c r="N311" s="6" t="str">
        <f ca="1">IFERROR(__xludf.DUMMYFUNCTION("""COMPUTED_VALUE"""),"OPTIMIST TIMONELES")</f>
        <v>OPTIMIST TIMONELES</v>
      </c>
      <c r="O311" s="6"/>
      <c r="P311" s="6">
        <f ca="1">IFERROR(__xludf.DUMMYFUNCTION("""COMPUTED_VALUE"""),2991)</f>
        <v>2991</v>
      </c>
      <c r="Q311" s="38"/>
      <c r="R311" s="38" t="str">
        <f ca="1">IFERROR(__xludf.DUMMYFUNCTION("""COMPUTED_VALUE"""),"Isabel Travería ")</f>
        <v xml:space="preserve">Isabel Travería </v>
      </c>
      <c r="S311" s="38"/>
      <c r="T311" s="38"/>
      <c r="U311" s="38"/>
      <c r="V311" s="38"/>
      <c r="W311" s="38"/>
      <c r="X311" s="40"/>
      <c r="Y311" s="6" t="str">
        <f ca="1">IFERROR(__xludf.DUMMYFUNCTION("""COMPUTED_VALUE"""),"Si")</f>
        <v>Si</v>
      </c>
      <c r="Z311" s="38" t="str">
        <f ca="1">IFERROR(__xludf.DUMMYFUNCTION("""COMPUTED_VALUE"""),"Acepto")</f>
        <v>Acepto</v>
      </c>
      <c r="AA311" s="38" t="str">
        <f ca="1">IFERROR(__xludf.DUMMYFUNCTION("""COMPUTED_VALUE"""),"Terminado")</f>
        <v>Terminado</v>
      </c>
      <c r="AB311" s="38">
        <f ca="1">IFERROR(__xludf.DUMMYFUNCTION("""COMPUTED_VALUE"""),50000)</f>
        <v>50000</v>
      </c>
      <c r="AC311" s="6">
        <f ca="1">IFERROR(__xludf.DUMMYFUNCTION("""COMPUTED_VALUE"""),205359)</f>
        <v>205359</v>
      </c>
      <c r="AD311" s="6" t="str">
        <f ca="1">IFERROR(__xludf.DUMMYFUNCTION("""COMPUTED_VALUE"""),"TRF 31-08")</f>
        <v>TRF 31-08</v>
      </c>
      <c r="AE311" s="6"/>
      <c r="AF311" s="6"/>
    </row>
    <row r="312" spans="1:32" ht="13.2">
      <c r="A312" s="35">
        <f ca="1">IFERROR(__xludf.DUMMYFUNCTION("""COMPUTED_VALUE"""),45536.7656592824)</f>
        <v>45536.765659282399</v>
      </c>
      <c r="B312" s="36" t="str">
        <f ca="1">IFERROR(__xludf.DUMMYFUNCTION("""COMPUTED_VALUE"""),"Alejandro")</f>
        <v>Alejandro</v>
      </c>
      <c r="C312" s="36" t="str">
        <f ca="1">IFERROR(__xludf.DUMMYFUNCTION("""COMPUTED_VALUE"""),"Triggiano")</f>
        <v>Triggiano</v>
      </c>
      <c r="D312" s="36" t="str">
        <f ca="1">IFERROR(__xludf.DUMMYFUNCTION("""COMPUTED_VALUE"""),"Salta")</f>
        <v>Salta</v>
      </c>
      <c r="E312" s="38" t="str">
        <f ca="1">IFERROR(__xludf.DUMMYFUNCTION("""COMPUTED_VALUE"""),"ARG")</f>
        <v>ARG</v>
      </c>
      <c r="F312" s="38">
        <f ca="1">IFERROR(__xludf.DUMMYFUNCTION("""COMPUTED_VALUE"""),23079394)</f>
        <v>23079394</v>
      </c>
      <c r="G312" s="37">
        <f ca="1">IFERROR(__xludf.DUMMYFUNCTION("""COMPUTED_VALUE"""),26704)</f>
        <v>26704</v>
      </c>
      <c r="H312" s="38">
        <f ca="1">IFERROR(__xludf.DUMMYFUNCTION("""COMPUTED_VALUE"""),3875220900)</f>
        <v>3875220900</v>
      </c>
      <c r="I312" s="38">
        <f ca="1">IFERROR(__xludf.DUMMYFUNCTION("""COMPUTED_VALUE"""),3874121431)</f>
        <v>3874121431</v>
      </c>
      <c r="J312" s="38" t="str">
        <f ca="1">IFERROR(__xludf.DUMMYFUNCTION("""COMPUTED_VALUE"""),"aletriggiano@icloud.com")</f>
        <v>aletriggiano@icloud.com</v>
      </c>
      <c r="K312" s="38" t="str">
        <f ca="1">IFERROR(__xludf.DUMMYFUNCTION("""COMPUTED_VALUE"""),"Masculino")</f>
        <v>Masculino</v>
      </c>
      <c r="L312" s="38" t="str">
        <f ca="1">IFERROR(__xludf.DUMMYFUNCTION("""COMPUTED_VALUE"""),"CRG")</f>
        <v>CRG</v>
      </c>
      <c r="M312" s="38" t="str">
        <f ca="1">IFERROR(__xludf.DUMMYFUNCTION("""COMPUTED_VALUE"""),"Master (ILCA)")</f>
        <v>Master (ILCA)</v>
      </c>
      <c r="N312" s="6" t="str">
        <f ca="1">IFERROR(__xludf.DUMMYFUNCTION("""COMPUTED_VALUE"""),"SNIPE")</f>
        <v>SNIPE</v>
      </c>
      <c r="O312" s="6"/>
      <c r="P312" s="6">
        <f ca="1">IFERROR(__xludf.DUMMYFUNCTION("""COMPUTED_VALUE"""),31710)</f>
        <v>31710</v>
      </c>
      <c r="Q312" s="38" t="str">
        <f ca="1">IFERROR(__xludf.DUMMYFUNCTION("""COMPUTED_VALUE"""),"Scirocco")</f>
        <v>Scirocco</v>
      </c>
      <c r="R312" s="38" t="str">
        <f ca="1">IFERROR(__xludf.DUMMYFUNCTION("""COMPUTED_VALUE"""),"Safar Exeni Mariana")</f>
        <v>Safar Exeni Mariana</v>
      </c>
      <c r="S312" s="38"/>
      <c r="T312" s="38"/>
      <c r="U312" s="38"/>
      <c r="V312" s="38"/>
      <c r="W312" s="38"/>
      <c r="X312" s="40"/>
      <c r="Y312" s="6" t="str">
        <f ca="1">IFERROR(__xludf.DUMMYFUNCTION("""COMPUTED_VALUE"""),"Si")</f>
        <v>Si</v>
      </c>
      <c r="Z312" s="38" t="str">
        <f ca="1">IFERROR(__xludf.DUMMYFUNCTION("""COMPUTED_VALUE"""),"Acepto")</f>
        <v>Acepto</v>
      </c>
      <c r="AA312" s="38" t="str">
        <f ca="1">IFERROR(__xludf.DUMMYFUNCTION("""COMPUTED_VALUE"""),"Terminado")</f>
        <v>Terminado</v>
      </c>
      <c r="AB312" s="38">
        <f ca="1">IFERROR(__xludf.DUMMYFUNCTION("""COMPUTED_VALUE"""),60000)</f>
        <v>60000</v>
      </c>
      <c r="AC312" s="6">
        <f ca="1">IFERROR(__xludf.DUMMYFUNCTION("""COMPUTED_VALUE"""),205387)</f>
        <v>205387</v>
      </c>
      <c r="AD312" s="6" t="str">
        <f ca="1">IFERROR(__xludf.DUMMYFUNCTION("""COMPUTED_VALUE"""),"TRF 02-09")</f>
        <v>TRF 02-09</v>
      </c>
      <c r="AE312" s="6"/>
      <c r="AF312" s="6"/>
    </row>
    <row r="313" spans="1:32" ht="13.2">
      <c r="A313" s="35">
        <f ca="1">IFERROR(__xludf.DUMMYFUNCTION("""COMPUTED_VALUE"""),45537.4126075115)</f>
        <v>45537.412607511498</v>
      </c>
      <c r="B313" s="36" t="str">
        <f ca="1">IFERROR(__xludf.DUMMYFUNCTION("""COMPUTED_VALUE"""),"Tiago")</f>
        <v>Tiago</v>
      </c>
      <c r="C313" s="36" t="str">
        <f ca="1">IFERROR(__xludf.DUMMYFUNCTION("""COMPUTED_VALUE"""),"Troilo")</f>
        <v>Troilo</v>
      </c>
      <c r="D313" s="36" t="str">
        <f ca="1">IFERROR(__xludf.DUMMYFUNCTION("""COMPUTED_VALUE"""),"Tigre ")</f>
        <v xml:space="preserve">Tigre </v>
      </c>
      <c r="E313" s="38" t="str">
        <f ca="1">IFERROR(__xludf.DUMMYFUNCTION("""COMPUTED_VALUE"""),"ARG")</f>
        <v>ARG</v>
      </c>
      <c r="F313" s="38">
        <f ca="1">IFERROR(__xludf.DUMMYFUNCTION("""COMPUTED_VALUE"""),48231861)</f>
        <v>48231861</v>
      </c>
      <c r="G313" s="37">
        <f ca="1">IFERROR(__xludf.DUMMYFUNCTION("""COMPUTED_VALUE"""),39455)</f>
        <v>39455</v>
      </c>
      <c r="H313" s="38" t="str">
        <f ca="1">IFERROR(__xludf.DUMMYFUNCTION("""COMPUTED_VALUE"""),"11 49749551")</f>
        <v>11 49749551</v>
      </c>
      <c r="I313" s="38" t="str">
        <f ca="1">IFERROR(__xludf.DUMMYFUNCTION("""COMPUTED_VALUE"""),"11 65452744")</f>
        <v>11 65452744</v>
      </c>
      <c r="J313" s="38" t="str">
        <f ca="1">IFERROR(__xludf.DUMMYFUNCTION("""COMPUTED_VALUE"""),"Tiagofedetf08@gmail.com")</f>
        <v>Tiagofedetf08@gmail.com</v>
      </c>
      <c r="K313" s="38" t="str">
        <f ca="1">IFERROR(__xludf.DUMMYFUNCTION("""COMPUTED_VALUE"""),"Masculino")</f>
        <v>Masculino</v>
      </c>
      <c r="L313" s="38" t="str">
        <f ca="1">IFERROR(__xludf.DUMMYFUNCTION("""COMPUTED_VALUE"""),"CPNLB")</f>
        <v>CPNLB</v>
      </c>
      <c r="M313" s="38"/>
      <c r="N313" s="6">
        <f ca="1">IFERROR(__xludf.DUMMYFUNCTION("""COMPUTED_VALUE"""),420)</f>
        <v>420</v>
      </c>
      <c r="O313" s="6">
        <f ca="1">IFERROR(__xludf.DUMMYFUNCTION("""COMPUTED_VALUE"""),73)</f>
        <v>73</v>
      </c>
      <c r="P313" s="6">
        <f ca="1">IFERROR(__xludf.DUMMYFUNCTION("""COMPUTED_VALUE"""),55348)</f>
        <v>55348</v>
      </c>
      <c r="Q313" s="38"/>
      <c r="R313" s="38" t="str">
        <f ca="1">IFERROR(__xludf.DUMMYFUNCTION("""COMPUTED_VALUE"""),"Tomas lopez")</f>
        <v>Tomas lopez</v>
      </c>
      <c r="S313" s="38"/>
      <c r="T313" s="38"/>
      <c r="U313" s="38"/>
      <c r="V313" s="38"/>
      <c r="W313" s="38"/>
      <c r="X313" s="40"/>
      <c r="Y313" s="6" t="str">
        <f ca="1">IFERROR(__xludf.DUMMYFUNCTION("""COMPUTED_VALUE"""),"No")</f>
        <v>No</v>
      </c>
      <c r="Z313" s="38" t="str">
        <f ca="1">IFERROR(__xludf.DUMMYFUNCTION("""COMPUTED_VALUE"""),"Acepto")</f>
        <v>Acepto</v>
      </c>
      <c r="AA313" s="38" t="str">
        <f ca="1">IFERROR(__xludf.DUMMYFUNCTION("""COMPUTED_VALUE"""),"Pendiente")</f>
        <v>Pendiente</v>
      </c>
      <c r="AB313" s="38"/>
      <c r="AC313" s="6"/>
      <c r="AD313" s="6"/>
      <c r="AE313" s="6"/>
      <c r="AF313" s="6"/>
    </row>
    <row r="314" spans="1:32" ht="13.2">
      <c r="A314" s="35">
        <f ca="1">IFERROR(__xludf.DUMMYFUNCTION("""COMPUTED_VALUE"""),45535.6489390625)</f>
        <v>45535.648939062499</v>
      </c>
      <c r="B314" s="36" t="str">
        <f ca="1">IFERROR(__xludf.DUMMYFUNCTION("""COMPUTED_VALUE"""),"JUANITA")</f>
        <v>JUANITA</v>
      </c>
      <c r="C314" s="36" t="str">
        <f ca="1">IFERROR(__xludf.DUMMYFUNCTION("""COMPUTED_VALUE"""),"ULLUA CAPRE")</f>
        <v>ULLUA CAPRE</v>
      </c>
      <c r="D314" s="36" t="str">
        <f ca="1">IFERROR(__xludf.DUMMYFUNCTION("""COMPUTED_VALUE"""),"SAN PEDRO")</f>
        <v>SAN PEDRO</v>
      </c>
      <c r="E314" s="38" t="str">
        <f ca="1">IFERROR(__xludf.DUMMYFUNCTION("""COMPUTED_VALUE"""),"ARG")</f>
        <v>ARG</v>
      </c>
      <c r="F314" s="38">
        <f ca="1">IFERROR(__xludf.DUMMYFUNCTION("""COMPUTED_VALUE"""),50390387)</f>
        <v>50390387</v>
      </c>
      <c r="G314" s="37">
        <f ca="1">IFERROR(__xludf.DUMMYFUNCTION("""COMPUTED_VALUE"""),40386)</f>
        <v>40386</v>
      </c>
      <c r="H314" s="38">
        <f ca="1">IFERROR(__xludf.DUMMYFUNCTION("""COMPUTED_VALUE"""),3329505972)</f>
        <v>3329505972</v>
      </c>
      <c r="I314" s="38">
        <f ca="1">IFERROR(__xludf.DUMMYFUNCTION("""COMPUTED_VALUE"""),3329505972)</f>
        <v>3329505972</v>
      </c>
      <c r="J314" s="38" t="str">
        <f ca="1">IFERROR(__xludf.DUMMYFUNCTION("""COMPUTED_VALUE"""),"MYRIANKA@HOTMAIL.COM")</f>
        <v>MYRIANKA@HOTMAIL.COM</v>
      </c>
      <c r="K314" s="38" t="str">
        <f ca="1">IFERROR(__xludf.DUMMYFUNCTION("""COMPUTED_VALUE"""),"Femenino")</f>
        <v>Femenino</v>
      </c>
      <c r="L314" s="38" t="str">
        <f ca="1">IFERROR(__xludf.DUMMYFUNCTION("""COMPUTED_VALUE"""),"CNSP")</f>
        <v>CNSP</v>
      </c>
      <c r="M314" s="38" t="str">
        <f ca="1">IFERROR(__xludf.DUMMYFUNCTION("""COMPUTED_VALUE"""),"Interior (Optimist)")</f>
        <v>Interior (Optimist)</v>
      </c>
      <c r="N314" s="6" t="str">
        <f ca="1">IFERROR(__xludf.DUMMYFUNCTION("""COMPUTED_VALUE"""),"OPTIMIST TIMONELES")</f>
        <v>OPTIMIST TIMONELES</v>
      </c>
      <c r="O314" s="6"/>
      <c r="P314" s="6">
        <f ca="1">IFERROR(__xludf.DUMMYFUNCTION("""COMPUTED_VALUE"""),3248)</f>
        <v>3248</v>
      </c>
      <c r="Q314" s="38"/>
      <c r="R314" s="38"/>
      <c r="S314" s="38"/>
      <c r="T314" s="38"/>
      <c r="U314" s="38"/>
      <c r="V314" s="38"/>
      <c r="W314" s="38"/>
      <c r="X314" s="40" t="str">
        <f ca="1">IFERROR(__xludf.DUMMYFUNCTION("""COMPUTED_VALUE"""),"UNION PERSONAL PMO")</f>
        <v>UNION PERSONAL PMO</v>
      </c>
      <c r="Y314" s="6" t="str">
        <f ca="1">IFERROR(__xludf.DUMMYFUNCTION("""COMPUTED_VALUE"""),"Si")</f>
        <v>Si</v>
      </c>
      <c r="Z314" s="38" t="str">
        <f ca="1">IFERROR(__xludf.DUMMYFUNCTION("""COMPUTED_VALUE"""),"Acepto")</f>
        <v>Acepto</v>
      </c>
      <c r="AA314" s="38" t="str">
        <f ca="1">IFERROR(__xludf.DUMMYFUNCTION("""COMPUTED_VALUE"""),"Terminado")</f>
        <v>Terminado</v>
      </c>
      <c r="AB314" s="38">
        <f ca="1">IFERROR(__xludf.DUMMYFUNCTION("""COMPUTED_VALUE"""),42500)</f>
        <v>42500</v>
      </c>
      <c r="AC314" s="6">
        <f ca="1">IFERROR(__xludf.DUMMYFUNCTION("""COMPUTED_VALUE"""),205347)</f>
        <v>205347</v>
      </c>
      <c r="AD314" s="6" t="str">
        <f ca="1">IFERROR(__xludf.DUMMYFUNCTION("""COMPUTED_VALUE"""),"TRF 31-08")</f>
        <v>TRF 31-08</v>
      </c>
      <c r="AE314" s="6"/>
      <c r="AF314" s="6"/>
    </row>
    <row r="315" spans="1:32" ht="13.2">
      <c r="A315" s="35">
        <f ca="1">IFERROR(__xludf.DUMMYFUNCTION("""COMPUTED_VALUE"""),45535.7347864236)</f>
        <v>45535.7347864236</v>
      </c>
      <c r="B315" s="36" t="str">
        <f ca="1">IFERROR(__xludf.DUMMYFUNCTION("""COMPUTED_VALUE"""),"Simón")</f>
        <v>Simón</v>
      </c>
      <c r="C315" s="36" t="str">
        <f ca="1">IFERROR(__xludf.DUMMYFUNCTION("""COMPUTED_VALUE"""),"Uzeltinger")</f>
        <v>Uzeltinger</v>
      </c>
      <c r="D315" s="36" t="str">
        <f ca="1">IFERROR(__xludf.DUMMYFUNCTION("""COMPUTED_VALUE"""),"Puerto Madryn")</f>
        <v>Puerto Madryn</v>
      </c>
      <c r="E315" s="38" t="str">
        <f ca="1">IFERROR(__xludf.DUMMYFUNCTION("""COMPUTED_VALUE"""),"ARG")</f>
        <v>ARG</v>
      </c>
      <c r="F315" s="38">
        <f ca="1">IFERROR(__xludf.DUMMYFUNCTION("""COMPUTED_VALUE"""),50944211)</f>
        <v>50944211</v>
      </c>
      <c r="G315" s="37">
        <f ca="1">IFERROR(__xludf.DUMMYFUNCTION("""COMPUTED_VALUE"""),40576)</f>
        <v>40576</v>
      </c>
      <c r="H315" s="38">
        <f ca="1">IFERROR(__xludf.DUMMYFUNCTION("""COMPUTED_VALUE"""),2804550930)</f>
        <v>2804550930</v>
      </c>
      <c r="I315" s="38">
        <f ca="1">IFERROR(__xludf.DUMMYFUNCTION("""COMPUTED_VALUE"""),2804550930)</f>
        <v>2804550930</v>
      </c>
      <c r="J315" s="38" t="str">
        <f ca="1">IFERROR(__xludf.DUMMYFUNCTION("""COMPUTED_VALUE"""),"Uzeltinger@gmail.com")</f>
        <v>Uzeltinger@gmail.com</v>
      </c>
      <c r="K315" s="38" t="str">
        <f ca="1">IFERROR(__xludf.DUMMYFUNCTION("""COMPUTED_VALUE"""),"Masculino")</f>
        <v>Masculino</v>
      </c>
      <c r="L315" s="38" t="str">
        <f ca="1">IFERROR(__xludf.DUMMYFUNCTION("""COMPUTED_VALUE"""),"CNAS")</f>
        <v>CNAS</v>
      </c>
      <c r="M315" s="38" t="str">
        <f ca="1">IFERROR(__xludf.DUMMYFUNCTION("""COMPUTED_VALUE"""),"Interior (Optimist)")</f>
        <v>Interior (Optimist)</v>
      </c>
      <c r="N315" s="6" t="str">
        <f ca="1">IFERROR(__xludf.DUMMYFUNCTION("""COMPUTED_VALUE"""),"OPTIMIST TIMONELES")</f>
        <v>OPTIMIST TIMONELES</v>
      </c>
      <c r="O315" s="6"/>
      <c r="P315" s="6">
        <f ca="1">IFERROR(__xludf.DUMMYFUNCTION("""COMPUTED_VALUE"""),3449)</f>
        <v>3449</v>
      </c>
      <c r="Q315" s="38"/>
      <c r="R315" s="38"/>
      <c r="S315" s="38"/>
      <c r="T315" s="38"/>
      <c r="U315" s="38"/>
      <c r="V315" s="38"/>
      <c r="W315" s="38"/>
      <c r="X315" s="40" t="str">
        <f ca="1">IFERROR(__xludf.DUMMYFUNCTION("""COMPUTED_VALUE"""),"SEROS")</f>
        <v>SEROS</v>
      </c>
      <c r="Y315" s="6" t="str">
        <f ca="1">IFERROR(__xludf.DUMMYFUNCTION("""COMPUTED_VALUE"""),"Si")</f>
        <v>Si</v>
      </c>
      <c r="Z315" s="38" t="str">
        <f ca="1">IFERROR(__xludf.DUMMYFUNCTION("""COMPUTED_VALUE"""),"Acepto")</f>
        <v>Acepto</v>
      </c>
      <c r="AA315" s="38" t="str">
        <f ca="1">IFERROR(__xludf.DUMMYFUNCTION("""COMPUTED_VALUE"""),"Terminado")</f>
        <v>Terminado</v>
      </c>
      <c r="AB315" s="38">
        <f ca="1">IFERROR(__xludf.DUMMYFUNCTION("""COMPUTED_VALUE"""),42500)</f>
        <v>42500</v>
      </c>
      <c r="AC315" s="6">
        <f ca="1">IFERROR(__xludf.DUMMYFUNCTION("""COMPUTED_VALUE"""),205374)</f>
        <v>205374</v>
      </c>
      <c r="AD315" s="6" t="str">
        <f ca="1">IFERROR(__xludf.DUMMYFUNCTION("""COMPUTED_VALUE"""),"TRF 02-09")</f>
        <v>TRF 02-09</v>
      </c>
      <c r="AE315" s="6"/>
      <c r="AF315" s="6"/>
    </row>
    <row r="316" spans="1:32" ht="13.2">
      <c r="A316" s="35">
        <f ca="1">IFERROR(__xludf.DUMMYFUNCTION("""COMPUTED_VALUE"""),45535.8742049074)</f>
        <v>45535.874204907399</v>
      </c>
      <c r="B316" s="36" t="str">
        <f ca="1">IFERROR(__xludf.DUMMYFUNCTION("""COMPUTED_VALUE"""),"TOMAS")</f>
        <v>TOMAS</v>
      </c>
      <c r="C316" s="36" t="str">
        <f ca="1">IFERROR(__xludf.DUMMYFUNCTION("""COMPUTED_VALUE"""),"VANZULLI")</f>
        <v>VANZULLI</v>
      </c>
      <c r="D316" s="36" t="str">
        <f ca="1">IFERROR(__xludf.DUMMYFUNCTION("""COMPUTED_VALUE"""),"BUENOS AIRES")</f>
        <v>BUENOS AIRES</v>
      </c>
      <c r="E316" s="38" t="str">
        <f ca="1">IFERROR(__xludf.DUMMYFUNCTION("""COMPUTED_VALUE"""),"ARG")</f>
        <v>ARG</v>
      </c>
      <c r="F316" s="38">
        <f ca="1">IFERROR(__xludf.DUMMYFUNCTION("""COMPUTED_VALUE"""),49932581)</f>
        <v>49932581</v>
      </c>
      <c r="G316" s="37">
        <f ca="1">IFERROR(__xludf.DUMMYFUNCTION("""COMPUTED_VALUE"""),40135)</f>
        <v>40135</v>
      </c>
      <c r="H316" s="38">
        <f ca="1">IFERROR(__xludf.DUMMYFUNCTION("""COMPUTED_VALUE"""),1133855954)</f>
        <v>1133855954</v>
      </c>
      <c r="I316" s="38">
        <f ca="1">IFERROR(__xludf.DUMMYFUNCTION("""COMPUTED_VALUE"""),1133855954)</f>
        <v>1133855954</v>
      </c>
      <c r="J316" s="38" t="str">
        <f ca="1">IFERROR(__xludf.DUMMYFUNCTION("""COMPUTED_VALUE"""),"COTICOLOMBO@YAHOO.COM.AR")</f>
        <v>COTICOLOMBO@YAHOO.COM.AR</v>
      </c>
      <c r="K316" s="38" t="str">
        <f ca="1">IFERROR(__xludf.DUMMYFUNCTION("""COMPUTED_VALUE"""),"Masculino")</f>
        <v>Masculino</v>
      </c>
      <c r="L316" s="38" t="str">
        <f ca="1">IFERROR(__xludf.DUMMYFUNCTION("""COMPUTED_VALUE"""),"YCCN")</f>
        <v>YCCN</v>
      </c>
      <c r="M316" s="38"/>
      <c r="N316" s="6" t="str">
        <f ca="1">IFERROR(__xludf.DUMMYFUNCTION("""COMPUTED_VALUE"""),"OPTIMIST TIMONELES")</f>
        <v>OPTIMIST TIMONELES</v>
      </c>
      <c r="O316" s="6"/>
      <c r="P316" s="6">
        <f ca="1">IFERROR(__xludf.DUMMYFUNCTION("""COMPUTED_VALUE"""),3438)</f>
        <v>3438</v>
      </c>
      <c r="Q316" s="38"/>
      <c r="R316" s="38"/>
      <c r="S316" s="38"/>
      <c r="T316" s="38"/>
      <c r="U316" s="38"/>
      <c r="V316" s="38"/>
      <c r="W316" s="38"/>
      <c r="X316" s="40">
        <f ca="1">IFERROR(__xludf.DUMMYFUNCTION("""COMPUTED_VALUE"""),17926566000)</f>
        <v>17926566000</v>
      </c>
      <c r="Y316" s="6" t="str">
        <f ca="1">IFERROR(__xludf.DUMMYFUNCTION("""COMPUTED_VALUE"""),"No")</f>
        <v>No</v>
      </c>
      <c r="Z316" s="38" t="str">
        <f ca="1">IFERROR(__xludf.DUMMYFUNCTION("""COMPUTED_VALUE"""),"Acepto")</f>
        <v>Acepto</v>
      </c>
      <c r="AA316" s="38" t="str">
        <f ca="1">IFERROR(__xludf.DUMMYFUNCTION("""COMPUTED_VALUE"""),"Terminado")</f>
        <v>Terminado</v>
      </c>
      <c r="AB316" s="38">
        <f ca="1">IFERROR(__xludf.DUMMYFUNCTION("""COMPUTED_VALUE"""),50000)</f>
        <v>50000</v>
      </c>
      <c r="AC316" s="6">
        <f ca="1">IFERROR(__xludf.DUMMYFUNCTION("""COMPUTED_VALUE"""),205342)</f>
        <v>205342</v>
      </c>
      <c r="AD316" s="6" t="str">
        <f ca="1">IFERROR(__xludf.DUMMYFUNCTION("""COMPUTED_VALUE"""),"TRF 31-08")</f>
        <v>TRF 31-08</v>
      </c>
      <c r="AE316" s="6"/>
      <c r="AF316" s="6"/>
    </row>
    <row r="317" spans="1:32" ht="13.2">
      <c r="A317" s="35">
        <f ca="1">IFERROR(__xludf.DUMMYFUNCTION("""COMPUTED_VALUE"""),45537.4030704166)</f>
        <v>45537.4030704166</v>
      </c>
      <c r="B317" s="36" t="str">
        <f ca="1">IFERROR(__xludf.DUMMYFUNCTION("""COMPUTED_VALUE"""),"Lola")</f>
        <v>Lola</v>
      </c>
      <c r="C317" s="36" t="str">
        <f ca="1">IFERROR(__xludf.DUMMYFUNCTION("""COMPUTED_VALUE"""),"Varela")</f>
        <v>Varela</v>
      </c>
      <c r="D317" s="36" t="str">
        <f ca="1">IFERROR(__xludf.DUMMYFUNCTION("""COMPUTED_VALUE"""),"Buenos aires")</f>
        <v>Buenos aires</v>
      </c>
      <c r="E317" s="38" t="str">
        <f ca="1">IFERROR(__xludf.DUMMYFUNCTION("""COMPUTED_VALUE"""),"ARG")</f>
        <v>ARG</v>
      </c>
      <c r="F317" s="38">
        <f ca="1">IFERROR(__xludf.DUMMYFUNCTION("""COMPUTED_VALUE"""),48801719)</f>
        <v>48801719</v>
      </c>
      <c r="G317" s="37">
        <f ca="1">IFERROR(__xludf.DUMMYFUNCTION("""COMPUTED_VALUE"""),39609)</f>
        <v>39609</v>
      </c>
      <c r="H317" s="38">
        <f ca="1">IFERROR(__xludf.DUMMYFUNCTION("""COMPUTED_VALUE"""),58733548)</f>
        <v>58733548</v>
      </c>
      <c r="I317" s="38"/>
      <c r="J317" s="38" t="str">
        <f ca="1">IFERROR(__xludf.DUMMYFUNCTION("""COMPUTED_VALUE"""),"Lolavarelacardinali@gmail.com")</f>
        <v>Lolavarelacardinali@gmail.com</v>
      </c>
      <c r="K317" s="38" t="str">
        <f ca="1">IFERROR(__xludf.DUMMYFUNCTION("""COMPUTED_VALUE"""),"Femenino")</f>
        <v>Femenino</v>
      </c>
      <c r="L317" s="38" t="str">
        <f ca="1">IFERROR(__xludf.DUMMYFUNCTION("""COMPUTED_VALUE"""),"Cnsi")</f>
        <v>Cnsi</v>
      </c>
      <c r="M317" s="38" t="str">
        <f ca="1">IFERROR(__xludf.DUMMYFUNCTION("""COMPUTED_VALUE"""),"Femenino")</f>
        <v>Femenino</v>
      </c>
      <c r="N317" s="6">
        <f ca="1">IFERROR(__xludf.DUMMYFUNCTION("""COMPUTED_VALUE"""),420)</f>
        <v>420</v>
      </c>
      <c r="O317" s="6">
        <f ca="1">IFERROR(__xludf.DUMMYFUNCTION("""COMPUTED_VALUE"""),68)</f>
        <v>68</v>
      </c>
      <c r="P317" s="6">
        <f ca="1">IFERROR(__xludf.DUMMYFUNCTION("""COMPUTED_VALUE"""),55343)</f>
        <v>55343</v>
      </c>
      <c r="Q317" s="38"/>
      <c r="R317" s="38" t="str">
        <f ca="1">IFERROR(__xludf.DUMMYFUNCTION("""COMPUTED_VALUE"""),"Faustina busch")</f>
        <v>Faustina busch</v>
      </c>
      <c r="S317" s="38"/>
      <c r="T317" s="38"/>
      <c r="U317" s="38"/>
      <c r="V317" s="38"/>
      <c r="W317" s="38"/>
      <c r="X317" s="40"/>
      <c r="Y317" s="6" t="str">
        <f ca="1">IFERROR(__xludf.DUMMYFUNCTION("""COMPUTED_VALUE"""),"No")</f>
        <v>No</v>
      </c>
      <c r="Z317" s="38" t="str">
        <f ca="1">IFERROR(__xludf.DUMMYFUNCTION("""COMPUTED_VALUE"""),"Acepto")</f>
        <v>Acepto</v>
      </c>
      <c r="AA317" s="38" t="str">
        <f ca="1">IFERROR(__xludf.DUMMYFUNCTION("""COMPUTED_VALUE"""),"Terminado")</f>
        <v>Terminado</v>
      </c>
      <c r="AB317" s="38">
        <f ca="1">IFERROR(__xludf.DUMMYFUNCTION("""COMPUTED_VALUE"""),65000)</f>
        <v>65000</v>
      </c>
      <c r="AC317" s="6">
        <f ca="1">IFERROR(__xludf.DUMMYFUNCTION("""COMPUTED_VALUE"""),205400)</f>
        <v>205400</v>
      </c>
      <c r="AD317" s="6" t="str">
        <f ca="1">IFERROR(__xludf.DUMMYFUNCTION("""COMPUTED_VALUE"""),"TRF 02-09")</f>
        <v>TRF 02-09</v>
      </c>
      <c r="AE317" s="6"/>
      <c r="AF317" s="6"/>
    </row>
    <row r="318" spans="1:32" ht="13.2">
      <c r="A318" s="35">
        <f ca="1">IFERROR(__xludf.DUMMYFUNCTION("""COMPUTED_VALUE"""),45535.3650264583)</f>
        <v>45535.365026458298</v>
      </c>
      <c r="B318" s="36" t="str">
        <f ca="1">IFERROR(__xludf.DUMMYFUNCTION("""COMPUTED_VALUE"""),"Fermín")</f>
        <v>Fermín</v>
      </c>
      <c r="C318" s="36" t="str">
        <f ca="1">IFERROR(__xludf.DUMMYFUNCTION("""COMPUTED_VALUE"""),"Vázquez del Campo")</f>
        <v>Vázquez del Campo</v>
      </c>
      <c r="D318" s="36" t="str">
        <f ca="1">IFERROR(__xludf.DUMMYFUNCTION("""COMPUTED_VALUE"""),"Tigre ")</f>
        <v xml:space="preserve">Tigre </v>
      </c>
      <c r="E318" s="38" t="str">
        <f ca="1">IFERROR(__xludf.DUMMYFUNCTION("""COMPUTED_VALUE"""),"ARG")</f>
        <v>ARG</v>
      </c>
      <c r="F318" s="38">
        <f ca="1">IFERROR(__xludf.DUMMYFUNCTION("""COMPUTED_VALUE"""),52827436)</f>
        <v>52827436</v>
      </c>
      <c r="G318" s="37">
        <f ca="1">IFERROR(__xludf.DUMMYFUNCTION("""COMPUTED_VALUE"""),41243)</f>
        <v>41243</v>
      </c>
      <c r="H318" s="38">
        <f ca="1">IFERROR(__xludf.DUMMYFUNCTION("""COMPUTED_VALUE"""),1159948383)</f>
        <v>1159948383</v>
      </c>
      <c r="I318" s="38"/>
      <c r="J318" s="38" t="str">
        <f ca="1">IFERROR(__xludf.DUMMYFUNCTION("""COMPUTED_VALUE"""),"lucreciadelcampo@gmail.com")</f>
        <v>lucreciadelcampo@gmail.com</v>
      </c>
      <c r="K318" s="38" t="str">
        <f ca="1">IFERROR(__xludf.DUMMYFUNCTION("""COMPUTED_VALUE"""),"Masculino")</f>
        <v>Masculino</v>
      </c>
      <c r="L318" s="38" t="str">
        <f ca="1">IFERROR(__xludf.DUMMYFUNCTION("""COMPUTED_VALUE"""),"CNSI")</f>
        <v>CNSI</v>
      </c>
      <c r="M318" s="38" t="str">
        <f ca="1">IFERROR(__xludf.DUMMYFUNCTION("""COMPUTED_VALUE"""),"Interior (Optimist)")</f>
        <v>Interior (Optimist)</v>
      </c>
      <c r="N318" s="6" t="str">
        <f ca="1">IFERROR(__xludf.DUMMYFUNCTION("""COMPUTED_VALUE"""),"OPTIMIST TIMONELES")</f>
        <v>OPTIMIST TIMONELES</v>
      </c>
      <c r="O318" s="6"/>
      <c r="P318" s="6">
        <f ca="1">IFERROR(__xludf.DUMMYFUNCTION("""COMPUTED_VALUE"""),3583)</f>
        <v>3583</v>
      </c>
      <c r="Q318" s="38"/>
      <c r="R318" s="38"/>
      <c r="S318" s="38"/>
      <c r="T318" s="38"/>
      <c r="U318" s="38"/>
      <c r="V318" s="38"/>
      <c r="W318" s="38"/>
      <c r="X318" s="40"/>
      <c r="Y318" s="6" t="str">
        <f ca="1">IFERROR(__xludf.DUMMYFUNCTION("""COMPUTED_VALUE"""),"No")</f>
        <v>No</v>
      </c>
      <c r="Z318" s="38" t="str">
        <f ca="1">IFERROR(__xludf.DUMMYFUNCTION("""COMPUTED_VALUE"""),"Acepto")</f>
        <v>Acepto</v>
      </c>
      <c r="AA318" s="38" t="str">
        <f ca="1">IFERROR(__xludf.DUMMYFUNCTION("""COMPUTED_VALUE"""),"Terminado")</f>
        <v>Terminado</v>
      </c>
      <c r="AB318" s="38">
        <f ca="1">IFERROR(__xludf.DUMMYFUNCTION("""COMPUTED_VALUE"""),50000)</f>
        <v>50000</v>
      </c>
      <c r="AC318" s="6">
        <f ca="1">IFERROR(__xludf.DUMMYFUNCTION("""COMPUTED_VALUE"""),205164)</f>
        <v>205164</v>
      </c>
      <c r="AD318" s="6" t="str">
        <f ca="1">IFERROR(__xludf.DUMMYFUNCTION("""COMPUTED_VALUE"""),"TRF 31-08")</f>
        <v>TRF 31-08</v>
      </c>
      <c r="AE318" s="6"/>
      <c r="AF318" s="6"/>
    </row>
    <row r="319" spans="1:32" ht="13.2">
      <c r="A319" s="35">
        <f ca="1">IFERROR(__xludf.DUMMYFUNCTION("""COMPUTED_VALUE"""),45535.368253912)</f>
        <v>45535.368253911998</v>
      </c>
      <c r="B319" s="36" t="str">
        <f ca="1">IFERROR(__xludf.DUMMYFUNCTION("""COMPUTED_VALUE"""),"José ")</f>
        <v xml:space="preserve">José </v>
      </c>
      <c r="C319" s="36" t="str">
        <f ca="1">IFERROR(__xludf.DUMMYFUNCTION("""COMPUTED_VALUE"""),"Vázquez del Campo ")</f>
        <v xml:space="preserve">Vázquez del Campo </v>
      </c>
      <c r="D319" s="36" t="str">
        <f ca="1">IFERROR(__xludf.DUMMYFUNCTION("""COMPUTED_VALUE"""),"Tigre")</f>
        <v>Tigre</v>
      </c>
      <c r="E319" s="38" t="str">
        <f ca="1">IFERROR(__xludf.DUMMYFUNCTION("""COMPUTED_VALUE"""),"ARG")</f>
        <v>ARG</v>
      </c>
      <c r="F319" s="38">
        <f ca="1">IFERROR(__xludf.DUMMYFUNCTION("""COMPUTED_VALUE"""),54212950)</f>
        <v>54212950</v>
      </c>
      <c r="G319" s="37">
        <f ca="1">IFERROR(__xludf.DUMMYFUNCTION("""COMPUTED_VALUE"""),41893)</f>
        <v>41893</v>
      </c>
      <c r="H319" s="38">
        <f ca="1">IFERROR(__xludf.DUMMYFUNCTION("""COMPUTED_VALUE"""),1159948383)</f>
        <v>1159948383</v>
      </c>
      <c r="I319" s="38"/>
      <c r="J319" s="38" t="str">
        <f ca="1">IFERROR(__xludf.DUMMYFUNCTION("""COMPUTED_VALUE"""),"lucreciadelcampo@gmail.com")</f>
        <v>lucreciadelcampo@gmail.com</v>
      </c>
      <c r="K319" s="38" t="str">
        <f ca="1">IFERROR(__xludf.DUMMYFUNCTION("""COMPUTED_VALUE"""),"Masculino")</f>
        <v>Masculino</v>
      </c>
      <c r="L319" s="38" t="str">
        <f ca="1">IFERROR(__xludf.DUMMYFUNCTION("""COMPUTED_VALUE"""),"CNSI")</f>
        <v>CNSI</v>
      </c>
      <c r="M319" s="38" t="str">
        <f ca="1">IFERROR(__xludf.DUMMYFUNCTION("""COMPUTED_VALUE"""),"Interior (Optimist)")</f>
        <v>Interior (Optimist)</v>
      </c>
      <c r="N319" s="6" t="str">
        <f ca="1">IFERROR(__xludf.DUMMYFUNCTION("""COMPUTED_VALUE"""),"OPTIMIST PRINCIPIANTES")</f>
        <v>OPTIMIST PRINCIPIANTES</v>
      </c>
      <c r="O319" s="6"/>
      <c r="P319" s="6">
        <f ca="1">IFERROR(__xludf.DUMMYFUNCTION("""COMPUTED_VALUE"""),3700)</f>
        <v>3700</v>
      </c>
      <c r="Q319" s="38"/>
      <c r="R319" s="38"/>
      <c r="S319" s="38"/>
      <c r="T319" s="38"/>
      <c r="U319" s="38"/>
      <c r="V319" s="38"/>
      <c r="W319" s="38"/>
      <c r="X319" s="40"/>
      <c r="Y319" s="6" t="str">
        <f ca="1">IFERROR(__xludf.DUMMYFUNCTION("""COMPUTED_VALUE"""),"No")</f>
        <v>No</v>
      </c>
      <c r="Z319" s="38" t="str">
        <f ca="1">IFERROR(__xludf.DUMMYFUNCTION("""COMPUTED_VALUE"""),"Acepto")</f>
        <v>Acepto</v>
      </c>
      <c r="AA319" s="38" t="str">
        <f ca="1">IFERROR(__xludf.DUMMYFUNCTION("""COMPUTED_VALUE"""),"Terminado")</f>
        <v>Terminado</v>
      </c>
      <c r="AB319" s="38">
        <f ca="1">IFERROR(__xludf.DUMMYFUNCTION("""COMPUTED_VALUE"""),50000)</f>
        <v>50000</v>
      </c>
      <c r="AC319" s="6">
        <f ca="1">IFERROR(__xludf.DUMMYFUNCTION("""COMPUTED_VALUE"""),205166)</f>
        <v>205166</v>
      </c>
      <c r="AD319" s="6" t="str">
        <f ca="1">IFERROR(__xludf.DUMMYFUNCTION("""COMPUTED_VALUE"""),"TRF 31-08")</f>
        <v>TRF 31-08</v>
      </c>
      <c r="AE319" s="6"/>
      <c r="AF319" s="6"/>
    </row>
    <row r="320" spans="1:32" ht="13.2">
      <c r="A320" s="35">
        <f ca="1">IFERROR(__xludf.DUMMYFUNCTION("""COMPUTED_VALUE"""),45534.4343543287)</f>
        <v>45534.434354328703</v>
      </c>
      <c r="B320" s="36" t="str">
        <f ca="1">IFERROR(__xludf.DUMMYFUNCTION("""COMPUTED_VALUE"""),"JOAQUIN")</f>
        <v>JOAQUIN</v>
      </c>
      <c r="C320" s="36" t="str">
        <f ca="1">IFERROR(__xludf.DUMMYFUNCTION("""COMPUTED_VALUE"""),"VERNA")</f>
        <v>VERNA</v>
      </c>
      <c r="D320" s="36" t="str">
        <f ca="1">IFERROR(__xludf.DUMMYFUNCTION("""COMPUTED_VALUE"""),"LA PLATA")</f>
        <v>LA PLATA</v>
      </c>
      <c r="E320" s="38" t="str">
        <f ca="1">IFERROR(__xludf.DUMMYFUNCTION("""COMPUTED_VALUE"""),"ARG")</f>
        <v>ARG</v>
      </c>
      <c r="F320" s="38">
        <f ca="1">IFERROR(__xludf.DUMMYFUNCTION("""COMPUTED_VALUE"""),48705676)</f>
        <v>48705676</v>
      </c>
      <c r="G320" s="37">
        <f ca="1">IFERROR(__xludf.DUMMYFUNCTION("""COMPUTED_VALUE"""),39867)</f>
        <v>39867</v>
      </c>
      <c r="H320" s="38">
        <f ca="1">IFERROR(__xludf.DUMMYFUNCTION("""COMPUTED_VALUE"""),2216496606)</f>
        <v>2216496606</v>
      </c>
      <c r="I320" s="38">
        <f ca="1">IFERROR(__xludf.DUMMYFUNCTION("""COMPUTED_VALUE"""),2216496606)</f>
        <v>2216496606</v>
      </c>
      <c r="J320" s="38" t="str">
        <f ca="1">IFERROR(__xludf.DUMMYFUNCTION("""COMPUTED_VALUE"""),"luis.verna@ypf.com")</f>
        <v>luis.verna@ypf.com</v>
      </c>
      <c r="K320" s="38" t="str">
        <f ca="1">IFERROR(__xludf.DUMMYFUNCTION("""COMPUTED_VALUE"""),"Masculino")</f>
        <v>Masculino</v>
      </c>
      <c r="L320" s="38" t="str">
        <f ca="1">IFERROR(__xludf.DUMMYFUNCTION("""COMPUTED_VALUE"""),"CRLP")</f>
        <v>CRLP</v>
      </c>
      <c r="M320" s="38"/>
      <c r="N320" s="6" t="str">
        <f ca="1">IFERROR(__xludf.DUMMYFUNCTION("""COMPUTED_VALUE"""),"OPTIMIST TIMONELES")</f>
        <v>OPTIMIST TIMONELES</v>
      </c>
      <c r="O320" s="6"/>
      <c r="P320" s="6" t="str">
        <f ca="1">IFERROR(__xludf.DUMMYFUNCTION("""COMPUTED_VALUE"""),"ARG3785")</f>
        <v>ARG3785</v>
      </c>
      <c r="Q320" s="38"/>
      <c r="R320" s="38"/>
      <c r="S320" s="38"/>
      <c r="T320" s="38"/>
      <c r="U320" s="38"/>
      <c r="V320" s="38"/>
      <c r="W320" s="38"/>
      <c r="X320" s="40" t="str">
        <f ca="1">IFERROR(__xludf.DUMMYFUNCTION("""COMPUTED_VALUE"""),"OSDE")</f>
        <v>OSDE</v>
      </c>
      <c r="Y320" s="6" t="str">
        <f ca="1">IFERROR(__xludf.DUMMYFUNCTION("""COMPUTED_VALUE"""),"Si")</f>
        <v>Si</v>
      </c>
      <c r="Z320" s="38" t="str">
        <f ca="1">IFERROR(__xludf.DUMMYFUNCTION("""COMPUTED_VALUE"""),"Acepto")</f>
        <v>Acepto</v>
      </c>
      <c r="AA320" s="38" t="str">
        <f ca="1">IFERROR(__xludf.DUMMYFUNCTION("""COMPUTED_VALUE"""),"Terminado")</f>
        <v>Terminado</v>
      </c>
      <c r="AB320" s="38">
        <f ca="1">IFERROR(__xludf.DUMMYFUNCTION("""COMPUTED_VALUE"""),50000)</f>
        <v>50000</v>
      </c>
      <c r="AC320" s="6">
        <f ca="1">IFERROR(__xludf.DUMMYFUNCTION("""COMPUTED_VALUE"""),205092)</f>
        <v>205092</v>
      </c>
      <c r="AD320" s="6" t="str">
        <f ca="1">IFERROR(__xludf.DUMMYFUNCTION("""COMPUTED_VALUE"""),"TRF 30-08")</f>
        <v>TRF 30-08</v>
      </c>
      <c r="AE320" s="6"/>
      <c r="AF320" s="6"/>
    </row>
    <row r="321" spans="1:32" ht="13.2">
      <c r="A321" s="35">
        <f ca="1">IFERROR(__xludf.DUMMYFUNCTION("""COMPUTED_VALUE"""),45534.7832066435)</f>
        <v>45534.7832066435</v>
      </c>
      <c r="B321" s="36" t="str">
        <f ca="1">IFERROR(__xludf.DUMMYFUNCTION("""COMPUTED_VALUE"""),"Santiago")</f>
        <v>Santiago</v>
      </c>
      <c r="C321" s="36" t="str">
        <f ca="1">IFERROR(__xludf.DUMMYFUNCTION("""COMPUTED_VALUE"""),"Viale")</f>
        <v>Viale</v>
      </c>
      <c r="D321" s="36" t="str">
        <f ca="1">IFERROR(__xludf.DUMMYFUNCTION("""COMPUTED_VALUE"""),"San isidro")</f>
        <v>San isidro</v>
      </c>
      <c r="E321" s="38" t="str">
        <f ca="1">IFERROR(__xludf.DUMMYFUNCTION("""COMPUTED_VALUE"""),"ARG")</f>
        <v>ARG</v>
      </c>
      <c r="F321" s="38">
        <f ca="1">IFERROR(__xludf.DUMMYFUNCTION("""COMPUTED_VALUE"""),50434935)</f>
        <v>50434935</v>
      </c>
      <c r="G321" s="37">
        <f ca="1">IFERROR(__xludf.DUMMYFUNCTION("""COMPUTED_VALUE"""),40376)</f>
        <v>40376</v>
      </c>
      <c r="H321" s="38">
        <f ca="1">IFERROR(__xludf.DUMMYFUNCTION("""COMPUTED_VALUE"""),1153207320)</f>
        <v>1153207320</v>
      </c>
      <c r="I321" s="38">
        <f ca="1">IFERROR(__xludf.DUMMYFUNCTION("""COMPUTED_VALUE"""),1153207320)</f>
        <v>1153207320</v>
      </c>
      <c r="J321" s="38" t="str">
        <f ca="1">IFERROR(__xludf.DUMMYFUNCTION("""COMPUTED_VALUE"""),"monicaponzo@gmail.com")</f>
        <v>monicaponzo@gmail.com</v>
      </c>
      <c r="K321" s="38" t="str">
        <f ca="1">IFERROR(__xludf.DUMMYFUNCTION("""COMPUTED_VALUE"""),"Masculino")</f>
        <v>Masculino</v>
      </c>
      <c r="L321" s="38" t="str">
        <f ca="1">IFERROR(__xludf.DUMMYFUNCTION("""COMPUTED_VALUE"""),"CVB")</f>
        <v>CVB</v>
      </c>
      <c r="M321" s="38"/>
      <c r="N321" s="6" t="str">
        <f ca="1">IFERROR(__xludf.DUMMYFUNCTION("""COMPUTED_VALUE"""),"OPTIMIST TIMONELES")</f>
        <v>OPTIMIST TIMONELES</v>
      </c>
      <c r="O321" s="6"/>
      <c r="P321" s="6">
        <f ca="1">IFERROR(__xludf.DUMMYFUNCTION("""COMPUTED_VALUE"""),4101)</f>
        <v>4101</v>
      </c>
      <c r="Q321" s="38"/>
      <c r="R321" s="38"/>
      <c r="S321" s="38"/>
      <c r="T321" s="38"/>
      <c r="U321" s="38"/>
      <c r="V321" s="38"/>
      <c r="W321" s="38"/>
      <c r="X321" s="40" t="str">
        <f ca="1">IFERROR(__xludf.DUMMYFUNCTION("""COMPUTED_VALUE"""),"Medicus Azul")</f>
        <v>Medicus Azul</v>
      </c>
      <c r="Y321" s="6" t="str">
        <f ca="1">IFERROR(__xludf.DUMMYFUNCTION("""COMPUTED_VALUE"""),"No")</f>
        <v>No</v>
      </c>
      <c r="Z321" s="38" t="str">
        <f ca="1">IFERROR(__xludf.DUMMYFUNCTION("""COMPUTED_VALUE"""),"Acepto")</f>
        <v>Acepto</v>
      </c>
      <c r="AA321" s="38" t="str">
        <f ca="1">IFERROR(__xludf.DUMMYFUNCTION("""COMPUTED_VALUE"""),"Terminado")</f>
        <v>Terminado</v>
      </c>
      <c r="AB321" s="38">
        <f ca="1">IFERROR(__xludf.DUMMYFUNCTION("""COMPUTED_VALUE"""),50000)</f>
        <v>50000</v>
      </c>
      <c r="AC321" s="6">
        <f ca="1">IFERROR(__xludf.DUMMYFUNCTION("""COMPUTED_VALUE"""),205133)</f>
        <v>205133</v>
      </c>
      <c r="AD321" s="6" t="str">
        <f ca="1">IFERROR(__xludf.DUMMYFUNCTION("""COMPUTED_VALUE"""),"TRF 30-08")</f>
        <v>TRF 30-08</v>
      </c>
      <c r="AE321" s="6"/>
      <c r="AF321" s="6"/>
    </row>
    <row r="322" spans="1:32" ht="13.2">
      <c r="A322" s="35">
        <f ca="1">IFERROR(__xludf.DUMMYFUNCTION("""COMPUTED_VALUE"""),45539.8935292708)</f>
        <v>45539.893529270797</v>
      </c>
      <c r="B322" s="36" t="str">
        <f ca="1">IFERROR(__xludf.DUMMYFUNCTION("""COMPUTED_VALUE"""),"AGUSTINA MARIEL ")</f>
        <v xml:space="preserve">AGUSTINA MARIEL </v>
      </c>
      <c r="C322" s="36" t="str">
        <f ca="1">IFERROR(__xludf.DUMMYFUNCTION("""COMPUTED_VALUE"""),"VICENTE")</f>
        <v>VICENTE</v>
      </c>
      <c r="D322" s="36" t="str">
        <f ca="1">IFERROR(__xludf.DUMMYFUNCTION("""COMPUTED_VALUE"""),"MARTINEZ")</f>
        <v>MARTINEZ</v>
      </c>
      <c r="E322" s="38" t="str">
        <f ca="1">IFERROR(__xludf.DUMMYFUNCTION("""COMPUTED_VALUE"""),"ARG")</f>
        <v>ARG</v>
      </c>
      <c r="F322" s="38">
        <f ca="1">IFERROR(__xludf.DUMMYFUNCTION("""COMPUTED_VALUE"""),24663880)</f>
        <v>24663880</v>
      </c>
      <c r="G322" s="37">
        <f ca="1">IFERROR(__xludf.DUMMYFUNCTION("""COMPUTED_VALUE"""),40851)</f>
        <v>40851</v>
      </c>
      <c r="H322" s="38" t="str">
        <f ca="1">IFERROR(__xludf.DUMMYFUNCTION("""COMPUTED_VALUE"""),"5773 7268")</f>
        <v>5773 7268</v>
      </c>
      <c r="I322" s="38" t="str">
        <f ca="1">IFERROR(__xludf.DUMMYFUNCTION("""COMPUTED_VALUE"""),"4577 3643")</f>
        <v>4577 3643</v>
      </c>
      <c r="J322" s="38" t="str">
        <f ca="1">IFERROR(__xludf.DUMMYFUNCTION("""COMPUTED_VALUE"""),"gabysorribas@hotmail.com")</f>
        <v>gabysorribas@hotmail.com</v>
      </c>
      <c r="K322" s="38" t="str">
        <f ca="1">IFERROR(__xludf.DUMMYFUNCTION("""COMPUTED_VALUE"""),"Femenino")</f>
        <v>Femenino</v>
      </c>
      <c r="L322" s="38" t="str">
        <f ca="1">IFERROR(__xludf.DUMMYFUNCTION("""COMPUTED_VALUE"""),"CNAs")</f>
        <v>CNAs</v>
      </c>
      <c r="M322" s="38" t="str">
        <f ca="1">IFERROR(__xludf.DUMMYFUNCTION("""COMPUTED_VALUE"""),"Interior (Optimist)")</f>
        <v>Interior (Optimist)</v>
      </c>
      <c r="N322" s="6" t="str">
        <f ca="1">IFERROR(__xludf.DUMMYFUNCTION("""COMPUTED_VALUE"""),"OPTIMIST PRINCIPIANTES")</f>
        <v>OPTIMIST PRINCIPIANTES</v>
      </c>
      <c r="O322" s="6"/>
      <c r="P322" s="6">
        <f ca="1">IFERROR(__xludf.DUMMYFUNCTION("""COMPUTED_VALUE"""),3790)</f>
        <v>3790</v>
      </c>
      <c r="Q322" s="38" t="str">
        <f ca="1">IFERROR(__xludf.DUMMYFUNCTION("""COMPUTED_VALUE"""),"ELÉCTRICA")</f>
        <v>ELÉCTRICA</v>
      </c>
      <c r="R322" s="38" t="str">
        <f ca="1">IFERROR(__xludf.DUMMYFUNCTION("""COMPUTED_VALUE"""),"AGUSTINA MARIEL VICENTE")</f>
        <v>AGUSTINA MARIEL VICENTE</v>
      </c>
      <c r="S322" s="38"/>
      <c r="T322" s="38"/>
      <c r="U322" s="38"/>
      <c r="V322" s="38"/>
      <c r="W322" s="38"/>
      <c r="X322" s="40" t="str">
        <f ca="1">IFERROR(__xludf.DUMMYFUNCTION("""COMPUTED_VALUE"""),"OSDE PLAN 410 - 60916572004")</f>
        <v>OSDE PLAN 410 - 60916572004</v>
      </c>
      <c r="Y322" s="6" t="str">
        <f ca="1">IFERROR(__xludf.DUMMYFUNCTION("""COMPUTED_VALUE"""),"Si")</f>
        <v>Si</v>
      </c>
      <c r="Z322" s="38" t="str">
        <f ca="1">IFERROR(__xludf.DUMMYFUNCTION("""COMPUTED_VALUE"""),"Acepto")</f>
        <v>Acepto</v>
      </c>
      <c r="AA322" s="38" t="str">
        <f ca="1">IFERROR(__xludf.DUMMYFUNCTION("""COMPUTED_VALUE"""),"Pendiente")</f>
        <v>Pendiente</v>
      </c>
      <c r="AB322" s="38"/>
      <c r="AC322" s="6"/>
      <c r="AD322" s="6"/>
      <c r="AE322" s="6"/>
      <c r="AF322" s="6"/>
    </row>
    <row r="323" spans="1:32" ht="13.2">
      <c r="A323" s="35">
        <f ca="1">IFERROR(__xludf.DUMMYFUNCTION("""COMPUTED_VALUE"""),45535.6643683449)</f>
        <v>45535.6643683449</v>
      </c>
      <c r="B323" s="36" t="str">
        <f ca="1">IFERROR(__xludf.DUMMYFUNCTION("""COMPUTED_VALUE"""),"Amador")</f>
        <v>Amador</v>
      </c>
      <c r="C323" s="36" t="str">
        <f ca="1">IFERROR(__xludf.DUMMYFUNCTION("""COMPUTED_VALUE"""),"Victorel")</f>
        <v>Victorel</v>
      </c>
      <c r="D323" s="36" t="str">
        <f ca="1">IFERROR(__xludf.DUMMYFUNCTION("""COMPUTED_VALUE"""),"Caba ")</f>
        <v xml:space="preserve">Caba </v>
      </c>
      <c r="E323" s="38" t="str">
        <f ca="1">IFERROR(__xludf.DUMMYFUNCTION("""COMPUTED_VALUE"""),"ARG")</f>
        <v>ARG</v>
      </c>
      <c r="F323" s="38">
        <f ca="1">IFERROR(__xludf.DUMMYFUNCTION("""COMPUTED_VALUE"""),54189270)</f>
        <v>54189270</v>
      </c>
      <c r="G323" s="37">
        <f ca="1">IFERROR(__xludf.DUMMYFUNCTION("""COMPUTED_VALUE"""),41869)</f>
        <v>41869</v>
      </c>
      <c r="H323" s="38">
        <f ca="1">IFERROR(__xludf.DUMMYFUNCTION("""COMPUTED_VALUE"""),1131379444)</f>
        <v>1131379444</v>
      </c>
      <c r="I323" s="38">
        <f ca="1">IFERROR(__xludf.DUMMYFUNCTION("""COMPUTED_VALUE"""),1131379444)</f>
        <v>1131379444</v>
      </c>
      <c r="J323" s="38" t="str">
        <f ca="1">IFERROR(__xludf.DUMMYFUNCTION("""COMPUTED_VALUE"""),"paula_treuque@hotmail.com")</f>
        <v>paula_treuque@hotmail.com</v>
      </c>
      <c r="K323" s="38" t="str">
        <f ca="1">IFERROR(__xludf.DUMMYFUNCTION("""COMPUTED_VALUE"""),"Masculino")</f>
        <v>Masculino</v>
      </c>
      <c r="L323" s="38" t="str">
        <f ca="1">IFERROR(__xludf.DUMMYFUNCTION("""COMPUTED_VALUE"""),"CGLMN")</f>
        <v>CGLMN</v>
      </c>
      <c r="M323" s="38" t="str">
        <f ca="1">IFERROR(__xludf.DUMMYFUNCTION("""COMPUTED_VALUE"""),"Interior (Optimist)")</f>
        <v>Interior (Optimist)</v>
      </c>
      <c r="N323" s="6" t="str">
        <f ca="1">IFERROR(__xludf.DUMMYFUNCTION("""COMPUTED_VALUE"""),"OPTIMIST PRINCIPIANTES")</f>
        <v>OPTIMIST PRINCIPIANTES</v>
      </c>
      <c r="O323" s="6"/>
      <c r="P323" s="6">
        <f ca="1">IFERROR(__xludf.DUMMYFUNCTION("""COMPUTED_VALUE"""),3334)</f>
        <v>3334</v>
      </c>
      <c r="Q323" s="38" t="str">
        <f ca="1">IFERROR(__xludf.DUMMYFUNCTION("""COMPUTED_VALUE"""),"Pancho")</f>
        <v>Pancho</v>
      </c>
      <c r="R323" s="38" t="str">
        <f ca="1">IFERROR(__xludf.DUMMYFUNCTION("""COMPUTED_VALUE"""),"Amador Victorel ")</f>
        <v xml:space="preserve">Amador Victorel </v>
      </c>
      <c r="S323" s="38"/>
      <c r="T323" s="38"/>
      <c r="U323" s="38"/>
      <c r="V323" s="38"/>
      <c r="W323" s="38"/>
      <c r="X323" s="40"/>
      <c r="Y323" s="6" t="str">
        <f ca="1">IFERROR(__xludf.DUMMYFUNCTION("""COMPUTED_VALUE"""),"No")</f>
        <v>No</v>
      </c>
      <c r="Z323" s="38" t="str">
        <f ca="1">IFERROR(__xludf.DUMMYFUNCTION("""COMPUTED_VALUE"""),"Acepto")</f>
        <v>Acepto</v>
      </c>
      <c r="AA323" s="38" t="str">
        <f ca="1">IFERROR(__xludf.DUMMYFUNCTION("""COMPUTED_VALUE"""),"Terminado")</f>
        <v>Terminado</v>
      </c>
      <c r="AB323" s="38">
        <f ca="1">IFERROR(__xludf.DUMMYFUNCTION("""COMPUTED_VALUE"""),50000)</f>
        <v>50000</v>
      </c>
      <c r="AC323" s="6">
        <f ca="1">IFERROR(__xludf.DUMMYFUNCTION("""COMPUTED_VALUE"""),205362)</f>
        <v>205362</v>
      </c>
      <c r="AD323" s="6" t="str">
        <f ca="1">IFERROR(__xludf.DUMMYFUNCTION("""COMPUTED_VALUE"""),"TRF 31-08")</f>
        <v>TRF 31-08</v>
      </c>
      <c r="AE323" s="6"/>
      <c r="AF323" s="6"/>
    </row>
    <row r="324" spans="1:32" ht="13.2">
      <c r="A324" s="35">
        <f ca="1">IFERROR(__xludf.DUMMYFUNCTION("""COMPUTED_VALUE"""),45539.6868468055)</f>
        <v>45539.686846805504</v>
      </c>
      <c r="B324" s="36" t="str">
        <f ca="1">IFERROR(__xludf.DUMMYFUNCTION("""COMPUTED_VALUE"""),"Mariano")</f>
        <v>Mariano</v>
      </c>
      <c r="C324" s="36" t="str">
        <f ca="1">IFERROR(__xludf.DUMMYFUNCTION("""COMPUTED_VALUE"""),"Victory")</f>
        <v>Victory</v>
      </c>
      <c r="D324" s="36" t="str">
        <f ca="1">IFERROR(__xludf.DUMMYFUNCTION("""COMPUTED_VALUE"""),"caba")</f>
        <v>caba</v>
      </c>
      <c r="E324" s="38" t="str">
        <f ca="1">IFERROR(__xludf.DUMMYFUNCTION("""COMPUTED_VALUE"""),"ARG")</f>
        <v>ARG</v>
      </c>
      <c r="F324" s="38">
        <f ca="1">IFERROR(__xludf.DUMMYFUNCTION("""COMPUTED_VALUE"""),40649218)</f>
        <v>40649218</v>
      </c>
      <c r="G324" s="37">
        <f ca="1">IFERROR(__xludf.DUMMYFUNCTION("""COMPUTED_VALUE"""),35719)</f>
        <v>35719</v>
      </c>
      <c r="H324" s="38">
        <f ca="1">IFERROR(__xludf.DUMMYFUNCTION("""COMPUTED_VALUE"""),1161640707)</f>
        <v>1161640707</v>
      </c>
      <c r="I324" s="38">
        <f ca="1">IFERROR(__xludf.DUMMYFUNCTION("""COMPUTED_VALUE"""),1161640707)</f>
        <v>1161640707</v>
      </c>
      <c r="J324" s="38" t="str">
        <f ca="1">IFERROR(__xludf.DUMMYFUNCTION("""COMPUTED_VALUE"""),"fjtavella@gmail.com")</f>
        <v>fjtavella@gmail.com</v>
      </c>
      <c r="K324" s="38" t="str">
        <f ca="1">IFERROR(__xludf.DUMMYFUNCTION("""COMPUTED_VALUE"""),"Masculino")</f>
        <v>Masculino</v>
      </c>
      <c r="L324" s="38" t="str">
        <f ca="1">IFERROR(__xludf.DUMMYFUNCTION("""COMPUTED_VALUE"""),"YCA")</f>
        <v>YCA</v>
      </c>
      <c r="M324" s="38"/>
      <c r="N324" s="6" t="str">
        <f ca="1">IFERROR(__xludf.DUMMYFUNCTION("""COMPUTED_VALUE"""),"J 70")</f>
        <v>J 70</v>
      </c>
      <c r="O324" s="6" t="str">
        <f ca="1">IFERROR(__xludf.DUMMYFUNCTION("""COMPUTED_VALUE"""),"04")</f>
        <v>04</v>
      </c>
      <c r="P324" s="6" t="str">
        <f ca="1">IFERROR(__xludf.DUMMYFUNCTION("""COMPUTED_VALUE"""),"Arg1190")</f>
        <v>Arg1190</v>
      </c>
      <c r="Q324" s="38"/>
      <c r="R324" s="38" t="str">
        <f ca="1">IFERROR(__xludf.DUMMYFUNCTION("""COMPUTED_VALUE"""),"Martín Bodas")</f>
        <v>Martín Bodas</v>
      </c>
      <c r="S324" s="38" t="str">
        <f ca="1">IFERROR(__xludf.DUMMYFUNCTION("""COMPUTED_VALUE"""),"José Ignacio Villar")</f>
        <v>José Ignacio Villar</v>
      </c>
      <c r="T324" s="38" t="str">
        <f ca="1">IFERROR(__xludf.DUMMYFUNCTION("""COMPUTED_VALUE"""),"Pedro Ciscato")</f>
        <v>Pedro Ciscato</v>
      </c>
      <c r="U324" s="38" t="str">
        <f ca="1">IFERROR(__xludf.DUMMYFUNCTION("""COMPUTED_VALUE"""),"Javier Tavella")</f>
        <v>Javier Tavella</v>
      </c>
      <c r="V324" s="38"/>
      <c r="W324" s="38"/>
      <c r="X324" s="40" t="str">
        <f ca="1">IFERROR(__xludf.DUMMYFUNCTION("""COMPUTED_VALUE"""),"OSDE")</f>
        <v>OSDE</v>
      </c>
      <c r="Y324" s="6" t="str">
        <f ca="1">IFERROR(__xludf.DUMMYFUNCTION("""COMPUTED_VALUE"""),"No")</f>
        <v>No</v>
      </c>
      <c r="Z324" s="38" t="str">
        <f ca="1">IFERROR(__xludf.DUMMYFUNCTION("""COMPUTED_VALUE"""),"Acepto")</f>
        <v>Acepto</v>
      </c>
      <c r="AA324" s="38" t="str">
        <f ca="1">IFERROR(__xludf.DUMMYFUNCTION("""COMPUTED_VALUE"""),"Terminado")</f>
        <v>Terminado</v>
      </c>
      <c r="AB324" s="38">
        <f ca="1">IFERROR(__xludf.DUMMYFUNCTION("""COMPUTED_VALUE"""),90000)</f>
        <v>90000</v>
      </c>
      <c r="AC324" s="6">
        <f ca="1">IFERROR(__xludf.DUMMYFUNCTION("""COMPUTED_VALUE"""),205444)</f>
        <v>205444</v>
      </c>
      <c r="AD324" s="6" t="str">
        <f ca="1">IFERROR(__xludf.DUMMYFUNCTION("""COMPUTED_VALUE"""),"TRF 04-09")</f>
        <v>TRF 04-09</v>
      </c>
      <c r="AE324" s="6"/>
      <c r="AF324" s="6"/>
    </row>
    <row r="325" spans="1:32" ht="13.2">
      <c r="A325" s="35">
        <f ca="1">IFERROR(__xludf.DUMMYFUNCTION("""COMPUTED_VALUE"""),45528.6850075925)</f>
        <v>45528.685007592503</v>
      </c>
      <c r="B325" s="36" t="str">
        <f ca="1">IFERROR(__xludf.DUMMYFUNCTION("""COMPUTED_VALUE"""),"Maximo")</f>
        <v>Maximo</v>
      </c>
      <c r="C325" s="36" t="str">
        <f ca="1">IFERROR(__xludf.DUMMYFUNCTION("""COMPUTED_VALUE"""),"Videla")</f>
        <v>Videla</v>
      </c>
      <c r="D325" s="36" t="str">
        <f ca="1">IFERROR(__xludf.DUMMYFUNCTION("""COMPUTED_VALUE"""),"CABA")</f>
        <v>CABA</v>
      </c>
      <c r="E325" s="38" t="str">
        <f ca="1">IFERROR(__xludf.DUMMYFUNCTION("""COMPUTED_VALUE"""),"ARG")</f>
        <v>ARG</v>
      </c>
      <c r="F325" s="38">
        <f ca="1">IFERROR(__xludf.DUMMYFUNCTION("""COMPUTED_VALUE"""),45283311)</f>
        <v>45283311</v>
      </c>
      <c r="G325" s="37">
        <f ca="1">IFERROR(__xludf.DUMMYFUNCTION("""COMPUTED_VALUE"""),38029)</f>
        <v>38029</v>
      </c>
      <c r="H325" s="38">
        <f ca="1">IFERROR(__xludf.DUMMYFUNCTION("""COMPUTED_VALUE"""),1556174773)</f>
        <v>1556174773</v>
      </c>
      <c r="I325" s="38">
        <f ca="1">IFERROR(__xludf.DUMMYFUNCTION("""COMPUTED_VALUE"""),1564422696)</f>
        <v>1564422696</v>
      </c>
      <c r="J325" s="38" t="str">
        <f ca="1">IFERROR(__xludf.DUMMYFUNCTION("""COMPUTED_VALUE"""),"eugejasson@gmail.com")</f>
        <v>eugejasson@gmail.com</v>
      </c>
      <c r="K325" s="38" t="str">
        <f ca="1">IFERROR(__xludf.DUMMYFUNCTION("""COMPUTED_VALUE"""),"Masculino")</f>
        <v>Masculino</v>
      </c>
      <c r="L325" s="38" t="str">
        <f ca="1">IFERROR(__xludf.DUMMYFUNCTION("""COMPUTED_VALUE"""),"YCA")</f>
        <v>YCA</v>
      </c>
      <c r="M325" s="38" t="str">
        <f ca="1">IFERROR(__xludf.DUMMYFUNCTION("""COMPUTED_VALUE"""),"Corinthian")</f>
        <v>Corinthian</v>
      </c>
      <c r="N325" s="6" t="str">
        <f ca="1">IFERROR(__xludf.DUMMYFUNCTION("""COMPUTED_VALUE"""),"J 70")</f>
        <v>J 70</v>
      </c>
      <c r="O325" s="6" t="str">
        <f ca="1">IFERROR(__xludf.DUMMYFUNCTION("""COMPUTED_VALUE"""),"03")</f>
        <v>03</v>
      </c>
      <c r="P325" s="6">
        <f ca="1">IFERROR(__xludf.DUMMYFUNCTION("""COMPUTED_VALUE"""),1189)</f>
        <v>1189</v>
      </c>
      <c r="Q325" s="38" t="str">
        <f ca="1">IFERROR(__xludf.DUMMYFUNCTION("""COMPUTED_VALUE"""),"Whisky")</f>
        <v>Whisky</v>
      </c>
      <c r="R325" s="38" t="str">
        <f ca="1">IFERROR(__xludf.DUMMYFUNCTION("""COMPUTED_VALUE"""),"Franco Greggi")</f>
        <v>Franco Greggi</v>
      </c>
      <c r="S325" s="38" t="str">
        <f ca="1">IFERROR(__xludf.DUMMYFUNCTION("""COMPUTED_VALUE"""),"Santiago Palkin")</f>
        <v>Santiago Palkin</v>
      </c>
      <c r="T325" s="38" t="str">
        <f ca="1">IFERROR(__xludf.DUMMYFUNCTION("""COMPUTED_VALUE"""),"Juan Cruz Albamonte")</f>
        <v>Juan Cruz Albamonte</v>
      </c>
      <c r="U325" s="38" t="str">
        <f ca="1">IFERROR(__xludf.DUMMYFUNCTION("""COMPUTED_VALUE"""),"Eugenia Jasson")</f>
        <v>Eugenia Jasson</v>
      </c>
      <c r="V325" s="38"/>
      <c r="W325" s="38"/>
      <c r="X325" s="40" t="str">
        <f ca="1">IFERROR(__xludf.DUMMYFUNCTION("""COMPUTED_VALUE"""),"osde")</f>
        <v>osde</v>
      </c>
      <c r="Y325" s="6" t="str">
        <f ca="1">IFERROR(__xludf.DUMMYFUNCTION("""COMPUTED_VALUE"""),"No")</f>
        <v>No</v>
      </c>
      <c r="Z325" s="38" t="str">
        <f ca="1">IFERROR(__xludf.DUMMYFUNCTION("""COMPUTED_VALUE"""),"Acepto")</f>
        <v>Acepto</v>
      </c>
      <c r="AA325" s="38" t="str">
        <f ca="1">IFERROR(__xludf.DUMMYFUNCTION("""COMPUTED_VALUE"""),"Terminado")</f>
        <v>Terminado</v>
      </c>
      <c r="AB325" s="38">
        <f ca="1">IFERROR(__xludf.DUMMYFUNCTION("""COMPUTED_VALUE"""),80000)</f>
        <v>80000</v>
      </c>
      <c r="AC325" s="6">
        <f ca="1">IFERROR(__xludf.DUMMYFUNCTION("""COMPUTED_VALUE"""),205051)</f>
        <v>205051</v>
      </c>
      <c r="AD325" s="6" t="str">
        <f ca="1">IFERROR(__xludf.DUMMYFUNCTION("""COMPUTED_VALUE"""),"TRF 23-08")</f>
        <v>TRF 23-08</v>
      </c>
      <c r="AE325" s="6"/>
      <c r="AF325" s="6"/>
    </row>
    <row r="326" spans="1:32" ht="13.2">
      <c r="A326" s="35">
        <f ca="1">IFERROR(__xludf.DUMMYFUNCTION("""COMPUTED_VALUE"""),45536.5377723032)</f>
        <v>45536.5377723032</v>
      </c>
      <c r="B326" s="36" t="str">
        <f ca="1">IFERROR(__xludf.DUMMYFUNCTION("""COMPUTED_VALUE"""),"Yago ")</f>
        <v xml:space="preserve">Yago </v>
      </c>
      <c r="C326" s="36" t="str">
        <f ca="1">IFERROR(__xludf.DUMMYFUNCTION("""COMPUTED_VALUE"""),"Videla Tejo")</f>
        <v>Videla Tejo</v>
      </c>
      <c r="D326" s="36" t="str">
        <f ca="1">IFERROR(__xludf.DUMMYFUNCTION("""COMPUTED_VALUE"""),"CABA")</f>
        <v>CABA</v>
      </c>
      <c r="E326" s="38" t="str">
        <f ca="1">IFERROR(__xludf.DUMMYFUNCTION("""COMPUTED_VALUE"""),"ARG")</f>
        <v>ARG</v>
      </c>
      <c r="F326" s="38">
        <f ca="1">IFERROR(__xludf.DUMMYFUNCTION("""COMPUTED_VALUE"""),51073305)</f>
        <v>51073305</v>
      </c>
      <c r="G326" s="37">
        <f ca="1">IFERROR(__xludf.DUMMYFUNCTION("""COMPUTED_VALUE"""),40638)</f>
        <v>40638</v>
      </c>
      <c r="H326" s="38">
        <f ca="1">IFERROR(__xludf.DUMMYFUNCTION("""COMPUTED_VALUE"""),1132266531)</f>
        <v>1132266531</v>
      </c>
      <c r="I326" s="38">
        <f ca="1">IFERROR(__xludf.DUMMYFUNCTION("""COMPUTED_VALUE"""),154406301)</f>
        <v>154406301</v>
      </c>
      <c r="J326" s="38" t="str">
        <f ca="1">IFERROR(__xludf.DUMMYFUNCTION("""COMPUTED_VALUE"""),"ceciliatejo.ct@gmail.com")</f>
        <v>ceciliatejo.ct@gmail.com</v>
      </c>
      <c r="K326" s="38" t="str">
        <f ca="1">IFERROR(__xludf.DUMMYFUNCTION("""COMPUTED_VALUE"""),"Masculino")</f>
        <v>Masculino</v>
      </c>
      <c r="L326" s="38" t="str">
        <f ca="1">IFERROR(__xludf.DUMMYFUNCTION("""COMPUTED_VALUE"""),"YCO")</f>
        <v>YCO</v>
      </c>
      <c r="M326" s="38" t="str">
        <f ca="1">IFERROR(__xludf.DUMMYFUNCTION("""COMPUTED_VALUE"""),"Interior (Optimist)")</f>
        <v>Interior (Optimist)</v>
      </c>
      <c r="N326" s="6" t="str">
        <f ca="1">IFERROR(__xludf.DUMMYFUNCTION("""COMPUTED_VALUE"""),"OPTIMIST TIMONELES")</f>
        <v>OPTIMIST TIMONELES</v>
      </c>
      <c r="O326" s="6"/>
      <c r="P326" s="6">
        <f ca="1">IFERROR(__xludf.DUMMYFUNCTION("""COMPUTED_VALUE"""),4028)</f>
        <v>4028</v>
      </c>
      <c r="Q326" s="38"/>
      <c r="R326" s="38"/>
      <c r="S326" s="38"/>
      <c r="T326" s="38"/>
      <c r="U326" s="38"/>
      <c r="V326" s="38"/>
      <c r="W326" s="38"/>
      <c r="X326" s="40" t="str">
        <f ca="1">IFERROR(__xludf.DUMMYFUNCTION("""COMPUTED_VALUE"""),"OSDE")</f>
        <v>OSDE</v>
      </c>
      <c r="Y326" s="6" t="str">
        <f ca="1">IFERROR(__xludf.DUMMYFUNCTION("""COMPUTED_VALUE"""),"Si")</f>
        <v>Si</v>
      </c>
      <c r="Z326" s="38" t="str">
        <f ca="1">IFERROR(__xludf.DUMMYFUNCTION("""COMPUTED_VALUE"""),"Acepto")</f>
        <v>Acepto</v>
      </c>
      <c r="AA326" s="38" t="str">
        <f ca="1">IFERROR(__xludf.DUMMYFUNCTION("""COMPUTED_VALUE"""),"Terminado")</f>
        <v>Terminado</v>
      </c>
      <c r="AB326" s="38">
        <f ca="1">IFERROR(__xludf.DUMMYFUNCTION("""COMPUTED_VALUE"""),50000)</f>
        <v>50000</v>
      </c>
      <c r="AC326" s="6">
        <f ca="1">IFERROR(__xludf.DUMMYFUNCTION("""COMPUTED_VALUE"""),205402)</f>
        <v>205402</v>
      </c>
      <c r="AD326" s="6" t="str">
        <f ca="1">IFERROR(__xludf.DUMMYFUNCTION("""COMPUTED_VALUE"""),"TRF 02-09")</f>
        <v>TRF 02-09</v>
      </c>
      <c r="AE326" s="6"/>
      <c r="AF326" s="6"/>
    </row>
    <row r="327" spans="1:32" ht="13.2">
      <c r="A327" s="35">
        <f ca="1">IFERROR(__xludf.DUMMYFUNCTION("""COMPUTED_VALUE"""),45519.7028361689)</f>
        <v>45519.702836168901</v>
      </c>
      <c r="B327" s="36" t="str">
        <f ca="1">IFERROR(__xludf.DUMMYFUNCTION("""COMPUTED_VALUE"""),"Andrés ")</f>
        <v xml:space="preserve">Andrés </v>
      </c>
      <c r="C327" s="36" t="str">
        <f ca="1">IFERROR(__xludf.DUMMYFUNCTION("""COMPUTED_VALUE"""),"Villar")</f>
        <v>Villar</v>
      </c>
      <c r="D327" s="36" t="str">
        <f ca="1">IFERROR(__xludf.DUMMYFUNCTION("""COMPUTED_VALUE"""),"San Fernando")</f>
        <v>San Fernando</v>
      </c>
      <c r="E327" s="38" t="str">
        <f ca="1">IFERROR(__xludf.DUMMYFUNCTION("""COMPUTED_VALUE"""),"ARG")</f>
        <v>ARG</v>
      </c>
      <c r="F327" s="38">
        <f ca="1">IFERROR(__xludf.DUMMYFUNCTION("""COMPUTED_VALUE"""),47070205)</f>
        <v>47070205</v>
      </c>
      <c r="G327" s="37">
        <f ca="1">IFERROR(__xludf.DUMMYFUNCTION("""COMPUTED_VALUE"""),38723)</f>
        <v>38723</v>
      </c>
      <c r="H327" s="38">
        <f ca="1">IFERROR(__xludf.DUMMYFUNCTION("""COMPUTED_VALUE"""),1170076067)</f>
        <v>1170076067</v>
      </c>
      <c r="I327" s="38"/>
      <c r="J327" s="38" t="str">
        <f ca="1">IFERROR(__xludf.DUMMYFUNCTION("""COMPUTED_VALUE"""),"andygvillar@gmail.com")</f>
        <v>andygvillar@gmail.com</v>
      </c>
      <c r="K327" s="38" t="str">
        <f ca="1">IFERROR(__xludf.DUMMYFUNCTION("""COMPUTED_VALUE"""),"Masculino")</f>
        <v>Masculino</v>
      </c>
      <c r="L327" s="38" t="str">
        <f ca="1">IFERROR(__xludf.DUMMYFUNCTION("""COMPUTED_VALUE"""),"CNO")</f>
        <v>CNO</v>
      </c>
      <c r="M327" s="38"/>
      <c r="N327" s="6" t="str">
        <f ca="1">IFERROR(__xludf.DUMMYFUNCTION("""COMPUTED_VALUE"""),"ILCA 6")</f>
        <v>ILCA 6</v>
      </c>
      <c r="O327" s="6"/>
      <c r="P327" s="6">
        <f ca="1">IFERROR(__xludf.DUMMYFUNCTION("""COMPUTED_VALUE"""),220260)</f>
        <v>220260</v>
      </c>
      <c r="Q327" s="38"/>
      <c r="R327" s="38"/>
      <c r="S327" s="38"/>
      <c r="T327" s="38"/>
      <c r="U327" s="38"/>
      <c r="V327" s="38"/>
      <c r="W327" s="38"/>
      <c r="X327" s="40"/>
      <c r="Y327" s="6" t="str">
        <f ca="1">IFERROR(__xludf.DUMMYFUNCTION("""COMPUTED_VALUE"""),"No")</f>
        <v>No</v>
      </c>
      <c r="Z327" s="38" t="str">
        <f ca="1">IFERROR(__xludf.DUMMYFUNCTION("""COMPUTED_VALUE"""),"Acepto")</f>
        <v>Acepto</v>
      </c>
      <c r="AA327" s="38" t="str">
        <f ca="1">IFERROR(__xludf.DUMMYFUNCTION("""COMPUTED_VALUE"""),"Pendiente")</f>
        <v>Pendiente</v>
      </c>
      <c r="AB327" s="38"/>
      <c r="AC327" s="6"/>
      <c r="AD327" s="6"/>
      <c r="AE327" s="6"/>
      <c r="AF327" s="6"/>
    </row>
    <row r="328" spans="1:32" ht="13.2">
      <c r="A328" s="35">
        <f ca="1">IFERROR(__xludf.DUMMYFUNCTION("""COMPUTED_VALUE"""),45527.3782267708)</f>
        <v>45527.378226770801</v>
      </c>
      <c r="B328" s="36" t="str">
        <f ca="1">IFERROR(__xludf.DUMMYFUNCTION("""COMPUTED_VALUE"""),"Cristian ")</f>
        <v xml:space="preserve">Cristian </v>
      </c>
      <c r="C328" s="36" t="str">
        <f ca="1">IFERROR(__xludf.DUMMYFUNCTION("""COMPUTED_VALUE"""),"Vogt")</f>
        <v>Vogt</v>
      </c>
      <c r="D328" s="36" t="str">
        <f ca="1">IFERROR(__xludf.DUMMYFUNCTION("""COMPUTED_VALUE"""),"Rosario")</f>
        <v>Rosario</v>
      </c>
      <c r="E328" s="38" t="str">
        <f ca="1">IFERROR(__xludf.DUMMYFUNCTION("""COMPUTED_VALUE"""),"ARG")</f>
        <v>ARG</v>
      </c>
      <c r="F328" s="38">
        <f ca="1">IFERROR(__xludf.DUMMYFUNCTION("""COMPUTED_VALUE"""),22300172)</f>
        <v>22300172</v>
      </c>
      <c r="G328" s="37">
        <f ca="1">IFERROR(__xludf.DUMMYFUNCTION("""COMPUTED_VALUE"""),26147)</f>
        <v>26147</v>
      </c>
      <c r="H328" s="38">
        <f ca="1">IFERROR(__xludf.DUMMYFUNCTION("""COMPUTED_VALUE"""),3416199295)</f>
        <v>3416199295</v>
      </c>
      <c r="I328" s="38">
        <f ca="1">IFERROR(__xludf.DUMMYFUNCTION("""COMPUTED_VALUE"""),3416199390)</f>
        <v>3416199390</v>
      </c>
      <c r="J328" s="38" t="str">
        <f ca="1">IFERROR(__xludf.DUMMYFUNCTION("""COMPUTED_VALUE"""),"Chopyandy@hotmail.com")</f>
        <v>Chopyandy@hotmail.com</v>
      </c>
      <c r="K328" s="38" t="str">
        <f ca="1">IFERROR(__xludf.DUMMYFUNCTION("""COMPUTED_VALUE"""),"Masculino")</f>
        <v>Masculino</v>
      </c>
      <c r="L328" s="38" t="str">
        <f ca="1">IFERROR(__xludf.DUMMYFUNCTION("""COMPUTED_VALUE"""),"YCR")</f>
        <v>YCR</v>
      </c>
      <c r="M328" s="38"/>
      <c r="N328" s="6" t="str">
        <f ca="1">IFERROR(__xludf.DUMMYFUNCTION("""COMPUTED_VALUE"""),"J 70")</f>
        <v>J 70</v>
      </c>
      <c r="O328" s="6">
        <f ca="1">IFERROR(__xludf.DUMMYFUNCTION("""COMPUTED_VALUE"""),43)</f>
        <v>43</v>
      </c>
      <c r="P328" s="6">
        <f ca="1">IFERROR(__xludf.DUMMYFUNCTION("""COMPUTED_VALUE"""),1558)</f>
        <v>1558</v>
      </c>
      <c r="Q328" s="38" t="str">
        <f ca="1">IFERROR(__xludf.DUMMYFUNCTION("""COMPUTED_VALUE"""),"Indicado")</f>
        <v>Indicado</v>
      </c>
      <c r="R328" s="38" t="str">
        <f ca="1">IFERROR(__xludf.DUMMYFUNCTION("""COMPUTED_VALUE"""),"Mario German diaz")</f>
        <v>Mario German diaz</v>
      </c>
      <c r="S328" s="38" t="str">
        <f ca="1">IFERROR(__xludf.DUMMYFUNCTION("""COMPUTED_VALUE"""),"Diego bailardo")</f>
        <v>Diego bailardo</v>
      </c>
      <c r="T328" s="38" t="str">
        <f ca="1">IFERROR(__xludf.DUMMYFUNCTION("""COMPUTED_VALUE"""),"Nicolás cuerdo")</f>
        <v>Nicolás cuerdo</v>
      </c>
      <c r="U328" s="38"/>
      <c r="V328" s="38"/>
      <c r="W328" s="38"/>
      <c r="X328" s="40"/>
      <c r="Y328" s="6" t="str">
        <f ca="1">IFERROR(__xludf.DUMMYFUNCTION("""COMPUTED_VALUE"""),"No")</f>
        <v>No</v>
      </c>
      <c r="Z328" s="38" t="str">
        <f ca="1">IFERROR(__xludf.DUMMYFUNCTION("""COMPUTED_VALUE"""),"Acepto")</f>
        <v>Acepto</v>
      </c>
      <c r="AA328" s="38" t="str">
        <f ca="1">IFERROR(__xludf.DUMMYFUNCTION("""COMPUTED_VALUE"""),"Terminado")</f>
        <v>Terminado</v>
      </c>
      <c r="AB328" s="38">
        <f ca="1">IFERROR(__xludf.DUMMYFUNCTION("""COMPUTED_VALUE"""),80000)</f>
        <v>80000</v>
      </c>
      <c r="AC328" s="6">
        <f ca="1">IFERROR(__xludf.DUMMYFUNCTION("""COMPUTED_VALUE"""),205043)</f>
        <v>205043</v>
      </c>
      <c r="AD328" s="6" t="str">
        <f ca="1">IFERROR(__xludf.DUMMYFUNCTION("""COMPUTED_VALUE"""),"TRF 23-08")</f>
        <v>TRF 23-08</v>
      </c>
      <c r="AE328" s="6"/>
      <c r="AF328" s="6"/>
    </row>
    <row r="329" spans="1:32" ht="13.2">
      <c r="A329" s="35">
        <f ca="1">IFERROR(__xludf.DUMMYFUNCTION("""COMPUTED_VALUE"""),45534.4186643518)</f>
        <v>45534.418664351797</v>
      </c>
      <c r="B329" s="36" t="str">
        <f ca="1">IFERROR(__xludf.DUMMYFUNCTION("""COMPUTED_VALUE"""),"Camila")</f>
        <v>Camila</v>
      </c>
      <c r="C329" s="36" t="str">
        <f ca="1">IFERROR(__xludf.DUMMYFUNCTION("""COMPUTED_VALUE"""),"Volco")</f>
        <v>Volco</v>
      </c>
      <c r="D329" s="36" t="str">
        <f ca="1">IFERROR(__xludf.DUMMYFUNCTION("""COMPUTED_VALUE"""),"CABA")</f>
        <v>CABA</v>
      </c>
      <c r="E329" s="38" t="str">
        <f ca="1">IFERROR(__xludf.DUMMYFUNCTION("""COMPUTED_VALUE"""),"ARG")</f>
        <v>ARG</v>
      </c>
      <c r="F329" s="38">
        <f ca="1">IFERROR(__xludf.DUMMYFUNCTION("""COMPUTED_VALUE"""),50580988)</f>
        <v>50580988</v>
      </c>
      <c r="G329" s="37">
        <f ca="1">IFERROR(__xludf.DUMMYFUNCTION("""COMPUTED_VALUE"""),40456)</f>
        <v>40456</v>
      </c>
      <c r="H329" s="38">
        <f ca="1">IFERROR(__xludf.DUMMYFUNCTION("""COMPUTED_VALUE"""),1140731020)</f>
        <v>1140731020</v>
      </c>
      <c r="I329" s="38">
        <f ca="1">IFERROR(__xludf.DUMMYFUNCTION("""COMPUTED_VALUE"""),1140731020)</f>
        <v>1140731020</v>
      </c>
      <c r="J329" s="38" t="str">
        <f ca="1">IFERROR(__xludf.DUMMYFUNCTION("""COMPUTED_VALUE"""),"federico.volco@gmail.com")</f>
        <v>federico.volco@gmail.com</v>
      </c>
      <c r="K329" s="38" t="str">
        <f ca="1">IFERROR(__xludf.DUMMYFUNCTION("""COMPUTED_VALUE"""),"Femenino")</f>
        <v>Femenino</v>
      </c>
      <c r="L329" s="38" t="str">
        <f ca="1">IFERROR(__xludf.DUMMYFUNCTION("""COMPUTED_VALUE"""),"CVB")</f>
        <v>CVB</v>
      </c>
      <c r="M329" s="38" t="str">
        <f ca="1">IFERROR(__xludf.DUMMYFUNCTION("""COMPUTED_VALUE"""),"Femenino")</f>
        <v>Femenino</v>
      </c>
      <c r="N329" s="6" t="str">
        <f ca="1">IFERROR(__xludf.DUMMYFUNCTION("""COMPUTED_VALUE"""),"OPTIMIST PRINCIPIANTES")</f>
        <v>OPTIMIST PRINCIPIANTES</v>
      </c>
      <c r="O329" s="6"/>
      <c r="P329" s="6">
        <f ca="1">IFERROR(__xludf.DUMMYFUNCTION("""COMPUTED_VALUE"""),3958)</f>
        <v>3958</v>
      </c>
      <c r="Q329" s="38"/>
      <c r="R329" s="38"/>
      <c r="S329" s="38"/>
      <c r="T329" s="38"/>
      <c r="U329" s="38"/>
      <c r="V329" s="38"/>
      <c r="W329" s="38"/>
      <c r="X329" s="40" t="str">
        <f ca="1">IFERROR(__xludf.DUMMYFUNCTION("""COMPUTED_VALUE"""),"OSDE")</f>
        <v>OSDE</v>
      </c>
      <c r="Y329" s="6" t="str">
        <f ca="1">IFERROR(__xludf.DUMMYFUNCTION("""COMPUTED_VALUE"""),"Si")</f>
        <v>Si</v>
      </c>
      <c r="Z329" s="38" t="str">
        <f ca="1">IFERROR(__xludf.DUMMYFUNCTION("""COMPUTED_VALUE"""),"Acepto")</f>
        <v>Acepto</v>
      </c>
      <c r="AA329" s="38" t="str">
        <f ca="1">IFERROR(__xludf.DUMMYFUNCTION("""COMPUTED_VALUE"""),"Terminado")</f>
        <v>Terminado</v>
      </c>
      <c r="AB329" s="38">
        <f ca="1">IFERROR(__xludf.DUMMYFUNCTION("""COMPUTED_VALUE"""),50000)</f>
        <v>50000</v>
      </c>
      <c r="AC329" s="6">
        <f ca="1">IFERROR(__xludf.DUMMYFUNCTION("""COMPUTED_VALUE"""),205076)</f>
        <v>205076</v>
      </c>
      <c r="AD329" s="6" t="str">
        <f ca="1">IFERROR(__xludf.DUMMYFUNCTION("""COMPUTED_VALUE"""),"Tarj 30-8")</f>
        <v>Tarj 30-8</v>
      </c>
      <c r="AE329" s="6"/>
      <c r="AF329" s="6"/>
    </row>
    <row r="330" spans="1:32" ht="13.2">
      <c r="A330" s="35">
        <f ca="1">IFERROR(__xludf.DUMMYFUNCTION("""COMPUTED_VALUE"""),45534.4195390393)</f>
        <v>45534.4195390393</v>
      </c>
      <c r="B330" s="36" t="str">
        <f ca="1">IFERROR(__xludf.DUMMYFUNCTION("""COMPUTED_VALUE"""),"Martina")</f>
        <v>Martina</v>
      </c>
      <c r="C330" s="36" t="str">
        <f ca="1">IFERROR(__xludf.DUMMYFUNCTION("""COMPUTED_VALUE"""),"Volco")</f>
        <v>Volco</v>
      </c>
      <c r="D330" s="36" t="str">
        <f ca="1">IFERROR(__xludf.DUMMYFUNCTION("""COMPUTED_VALUE"""),"CABA")</f>
        <v>CABA</v>
      </c>
      <c r="E330" s="38" t="str">
        <f ca="1">IFERROR(__xludf.DUMMYFUNCTION("""COMPUTED_VALUE"""),"ARG")</f>
        <v>ARG</v>
      </c>
      <c r="F330" s="38">
        <f ca="1">IFERROR(__xludf.DUMMYFUNCTION("""COMPUTED_VALUE"""),53474977)</f>
        <v>53474977</v>
      </c>
      <c r="G330" s="37">
        <f ca="1">IFERROR(__xludf.DUMMYFUNCTION("""COMPUTED_VALUE"""),41584)</f>
        <v>41584</v>
      </c>
      <c r="H330" s="38">
        <f ca="1">IFERROR(__xludf.DUMMYFUNCTION("""COMPUTED_VALUE"""),1140731020)</f>
        <v>1140731020</v>
      </c>
      <c r="I330" s="38">
        <f ca="1">IFERROR(__xludf.DUMMYFUNCTION("""COMPUTED_VALUE"""),1140731020)</f>
        <v>1140731020</v>
      </c>
      <c r="J330" s="38" t="str">
        <f ca="1">IFERROR(__xludf.DUMMYFUNCTION("""COMPUTED_VALUE"""),"federico.volco@gmail.com")</f>
        <v>federico.volco@gmail.com</v>
      </c>
      <c r="K330" s="38" t="str">
        <f ca="1">IFERROR(__xludf.DUMMYFUNCTION("""COMPUTED_VALUE"""),"Femenino")</f>
        <v>Femenino</v>
      </c>
      <c r="L330" s="38" t="str">
        <f ca="1">IFERROR(__xludf.DUMMYFUNCTION("""COMPUTED_VALUE"""),"CVB")</f>
        <v>CVB</v>
      </c>
      <c r="M330" s="38" t="str">
        <f ca="1">IFERROR(__xludf.DUMMYFUNCTION("""COMPUTED_VALUE"""),"Femenino")</f>
        <v>Femenino</v>
      </c>
      <c r="N330" s="6" t="str">
        <f ca="1">IFERROR(__xludf.DUMMYFUNCTION("""COMPUTED_VALUE"""),"OPTIMIST PRINCIPIANTES")</f>
        <v>OPTIMIST PRINCIPIANTES</v>
      </c>
      <c r="O330" s="6"/>
      <c r="P330" s="6">
        <f ca="1">IFERROR(__xludf.DUMMYFUNCTION("""COMPUTED_VALUE"""),3702)</f>
        <v>3702</v>
      </c>
      <c r="Q330" s="38"/>
      <c r="R330" s="38"/>
      <c r="S330" s="38"/>
      <c r="T330" s="38"/>
      <c r="U330" s="38"/>
      <c r="V330" s="38"/>
      <c r="W330" s="38"/>
      <c r="X330" s="40" t="str">
        <f ca="1">IFERROR(__xludf.DUMMYFUNCTION("""COMPUTED_VALUE"""),"OSDE")</f>
        <v>OSDE</v>
      </c>
      <c r="Y330" s="6" t="str">
        <f ca="1">IFERROR(__xludf.DUMMYFUNCTION("""COMPUTED_VALUE"""),"Si")</f>
        <v>Si</v>
      </c>
      <c r="Z330" s="38" t="str">
        <f ca="1">IFERROR(__xludf.DUMMYFUNCTION("""COMPUTED_VALUE"""),"Acepto")</f>
        <v>Acepto</v>
      </c>
      <c r="AA330" s="38" t="str">
        <f ca="1">IFERROR(__xludf.DUMMYFUNCTION("""COMPUTED_VALUE"""),"Terminado")</f>
        <v>Terminado</v>
      </c>
      <c r="AB330" s="38">
        <f ca="1">IFERROR(__xludf.DUMMYFUNCTION("""COMPUTED_VALUE"""),50000)</f>
        <v>50000</v>
      </c>
      <c r="AC330" s="6">
        <f ca="1">IFERROR(__xludf.DUMMYFUNCTION("""COMPUTED_VALUE"""),205076)</f>
        <v>205076</v>
      </c>
      <c r="AD330" s="6" t="str">
        <f ca="1">IFERROR(__xludf.DUMMYFUNCTION("""COMPUTED_VALUE"""),"Tarj 30-8")</f>
        <v>Tarj 30-8</v>
      </c>
      <c r="AE330" s="6"/>
      <c r="AF330" s="6"/>
    </row>
    <row r="331" spans="1:32" ht="13.2">
      <c r="A331" s="35">
        <f ca="1">IFERROR(__xludf.DUMMYFUNCTION("""COMPUTED_VALUE"""),45534.6456515972)</f>
        <v>45534.645651597202</v>
      </c>
      <c r="B331" s="36" t="str">
        <f ca="1">IFERROR(__xludf.DUMMYFUNCTION("""COMPUTED_VALUE"""),"Valentino")</f>
        <v>Valentino</v>
      </c>
      <c r="C331" s="36" t="str">
        <f ca="1">IFERROR(__xludf.DUMMYFUNCTION("""COMPUTED_VALUE"""),"Wenzel")</f>
        <v>Wenzel</v>
      </c>
      <c r="D331" s="36" t="str">
        <f ca="1">IFERROR(__xludf.DUMMYFUNCTION("""COMPUTED_VALUE"""),"La plata")</f>
        <v>La plata</v>
      </c>
      <c r="E331" s="38" t="str">
        <f ca="1">IFERROR(__xludf.DUMMYFUNCTION("""COMPUTED_VALUE"""),"ARG")</f>
        <v>ARG</v>
      </c>
      <c r="F331" s="38">
        <f ca="1">IFERROR(__xludf.DUMMYFUNCTION("""COMPUTED_VALUE"""),50609852)</f>
        <v>50609852</v>
      </c>
      <c r="G331" s="37">
        <f ca="1">IFERROR(__xludf.DUMMYFUNCTION("""COMPUTED_VALUE"""),40415)</f>
        <v>40415</v>
      </c>
      <c r="H331" s="38">
        <f ca="1">IFERROR(__xludf.DUMMYFUNCTION("""COMPUTED_VALUE"""),2215485768)</f>
        <v>2215485768</v>
      </c>
      <c r="I331" s="38">
        <f ca="1">IFERROR(__xludf.DUMMYFUNCTION("""COMPUTED_VALUE"""),2215033161)</f>
        <v>2215033161</v>
      </c>
      <c r="J331" s="38" t="str">
        <f ca="1">IFERROR(__xludf.DUMMYFUNCTION("""COMPUTED_VALUE"""),"Mariw_palumbo@hotmail.com")</f>
        <v>Mariw_palumbo@hotmail.com</v>
      </c>
      <c r="K331" s="38" t="str">
        <f ca="1">IFERROR(__xludf.DUMMYFUNCTION("""COMPUTED_VALUE"""),"Masculino")</f>
        <v>Masculino</v>
      </c>
      <c r="L331" s="38" t="str">
        <f ca="1">IFERROR(__xludf.DUMMYFUNCTION("""COMPUTED_VALUE"""),"CRLP")</f>
        <v>CRLP</v>
      </c>
      <c r="M331" s="38" t="str">
        <f ca="1">IFERROR(__xludf.DUMMYFUNCTION("""COMPUTED_VALUE"""),"Interior (Optimist)")</f>
        <v>Interior (Optimist)</v>
      </c>
      <c r="N331" s="6" t="str">
        <f ca="1">IFERROR(__xludf.DUMMYFUNCTION("""COMPUTED_VALUE"""),"OPTIMIST TIMONELES")</f>
        <v>OPTIMIST TIMONELES</v>
      </c>
      <c r="O331" s="6"/>
      <c r="P331" s="6">
        <f ca="1">IFERROR(__xludf.DUMMYFUNCTION("""COMPUTED_VALUE"""),3529)</f>
        <v>3529</v>
      </c>
      <c r="Q331" s="38"/>
      <c r="R331" s="38"/>
      <c r="S331" s="38"/>
      <c r="T331" s="38"/>
      <c r="U331" s="38"/>
      <c r="V331" s="38"/>
      <c r="W331" s="38"/>
      <c r="X331" s="40" t="str">
        <f ca="1">IFERROR(__xludf.DUMMYFUNCTION("""COMPUTED_VALUE"""),"Ioma ")</f>
        <v xml:space="preserve">Ioma </v>
      </c>
      <c r="Y331" s="6" t="str">
        <f ca="1">IFERROR(__xludf.DUMMYFUNCTION("""COMPUTED_VALUE"""),"Si")</f>
        <v>Si</v>
      </c>
      <c r="Z331" s="38" t="str">
        <f ca="1">IFERROR(__xludf.DUMMYFUNCTION("""COMPUTED_VALUE"""),"Acepto")</f>
        <v>Acepto</v>
      </c>
      <c r="AA331" s="38" t="str">
        <f ca="1">IFERROR(__xludf.DUMMYFUNCTION("""COMPUTED_VALUE"""),"Terminado")</f>
        <v>Terminado</v>
      </c>
      <c r="AB331" s="38">
        <f ca="1">IFERROR(__xludf.DUMMYFUNCTION("""COMPUTED_VALUE"""),50000)</f>
        <v>50000</v>
      </c>
      <c r="AC331" s="6">
        <f ca="1">IFERROR(__xludf.DUMMYFUNCTION("""COMPUTED_VALUE"""),205098)</f>
        <v>205098</v>
      </c>
      <c r="AD331" s="6" t="str">
        <f ca="1">IFERROR(__xludf.DUMMYFUNCTION("""COMPUTED_VALUE"""),"TRF 30-08 MP")</f>
        <v>TRF 30-08 MP</v>
      </c>
      <c r="AE331" s="6"/>
      <c r="AF331" s="6"/>
    </row>
    <row r="332" spans="1:32" ht="13.2">
      <c r="A332" s="35">
        <f ca="1">IFERROR(__xludf.DUMMYFUNCTION("""COMPUTED_VALUE"""),45534.732923912)</f>
        <v>45534.732923912001</v>
      </c>
      <c r="B332" s="36" t="str">
        <f ca="1">IFERROR(__xludf.DUMMYFUNCTION("""COMPUTED_VALUE"""),"Carolina")</f>
        <v>Carolina</v>
      </c>
      <c r="C332" s="36" t="str">
        <f ca="1">IFERROR(__xludf.DUMMYFUNCTION("""COMPUTED_VALUE"""),"Zardini Suarez")</f>
        <v>Zardini Suarez</v>
      </c>
      <c r="D332" s="36" t="str">
        <f ca="1">IFERROR(__xludf.DUMMYFUNCTION("""COMPUTED_VALUE"""),"Beccar")</f>
        <v>Beccar</v>
      </c>
      <c r="E332" s="38" t="str">
        <f ca="1">IFERROR(__xludf.DUMMYFUNCTION("""COMPUTED_VALUE"""),"ARG")</f>
        <v>ARG</v>
      </c>
      <c r="F332" s="38">
        <f ca="1">IFERROR(__xludf.DUMMYFUNCTION("""COMPUTED_VALUE"""),53336217)</f>
        <v>53336217</v>
      </c>
      <c r="G332" s="37">
        <f ca="1">IFERROR(__xludf.DUMMYFUNCTION("""COMPUTED_VALUE"""),41453)</f>
        <v>41453</v>
      </c>
      <c r="H332" s="38">
        <f ca="1">IFERROR(__xludf.DUMMYFUNCTION("""COMPUTED_VALUE"""),1167930157)</f>
        <v>1167930157</v>
      </c>
      <c r="I332" s="38">
        <f ca="1">IFERROR(__xludf.DUMMYFUNCTION("""COMPUTED_VALUE"""),1167930157)</f>
        <v>1167930157</v>
      </c>
      <c r="J332" s="38" t="str">
        <f ca="1">IFERROR(__xludf.DUMMYFUNCTION("""COMPUTED_VALUE"""),"rzardini@hotmail.com")</f>
        <v>rzardini@hotmail.com</v>
      </c>
      <c r="K332" s="38" t="str">
        <f ca="1">IFERROR(__xludf.DUMMYFUNCTION("""COMPUTED_VALUE"""),"Femenino")</f>
        <v>Femenino</v>
      </c>
      <c r="L332" s="38" t="str">
        <f ca="1">IFERROR(__xludf.DUMMYFUNCTION("""COMPUTED_VALUE"""),"CGLNM")</f>
        <v>CGLNM</v>
      </c>
      <c r="M332" s="38" t="str">
        <f ca="1">IFERROR(__xludf.DUMMYFUNCTION("""COMPUTED_VALUE"""),"Femenino")</f>
        <v>Femenino</v>
      </c>
      <c r="N332" s="6" t="str">
        <f ca="1">IFERROR(__xludf.DUMMYFUNCTION("""COMPUTED_VALUE"""),"OPTIMIST PRINCIPIANTES")</f>
        <v>OPTIMIST PRINCIPIANTES</v>
      </c>
      <c r="O332" s="6"/>
      <c r="P332" s="6">
        <f ca="1">IFERROR(__xludf.DUMMYFUNCTION("""COMPUTED_VALUE"""),3580)</f>
        <v>3580</v>
      </c>
      <c r="Q332" s="38" t="str">
        <f ca="1">IFERROR(__xludf.DUMMYFUNCTION("""COMPUTED_VALUE"""),"Millas")</f>
        <v>Millas</v>
      </c>
      <c r="R332" s="38"/>
      <c r="S332" s="38"/>
      <c r="T332" s="38"/>
      <c r="U332" s="38"/>
      <c r="V332" s="38"/>
      <c r="W332" s="38"/>
      <c r="X332" s="40" t="str">
        <f ca="1">IFERROR(__xludf.DUMMYFUNCTION("""COMPUTED_VALUE"""),"Osde 62902805104")</f>
        <v>Osde 62902805104</v>
      </c>
      <c r="Y332" s="6" t="str">
        <f ca="1">IFERROR(__xludf.DUMMYFUNCTION("""COMPUTED_VALUE"""),"Si")</f>
        <v>Si</v>
      </c>
      <c r="Z332" s="38" t="str">
        <f ca="1">IFERROR(__xludf.DUMMYFUNCTION("""COMPUTED_VALUE"""),"Acepto")</f>
        <v>Acepto</v>
      </c>
      <c r="AA332" s="38" t="str">
        <f ca="1">IFERROR(__xludf.DUMMYFUNCTION("""COMPUTED_VALUE"""),"Terminado")</f>
        <v>Terminado</v>
      </c>
      <c r="AB332" s="38">
        <f ca="1">IFERROR(__xludf.DUMMYFUNCTION("""COMPUTED_VALUE"""),50000)</f>
        <v>50000</v>
      </c>
      <c r="AC332" s="6">
        <f ca="1">IFERROR(__xludf.DUMMYFUNCTION("""COMPUTED_VALUE"""),205123)</f>
        <v>205123</v>
      </c>
      <c r="AD332" s="6" t="str">
        <f ca="1">IFERROR(__xludf.DUMMYFUNCTION("""COMPUTED_VALUE"""),"TRF 30-08")</f>
        <v>TRF 30-08</v>
      </c>
      <c r="AE332" s="6"/>
      <c r="AF332" s="6"/>
    </row>
    <row r="333" spans="1:32" ht="13.2">
      <c r="A333" s="35">
        <f ca="1">IFERROR(__xludf.DUMMYFUNCTION("""COMPUTED_VALUE"""),45534.7283050694)</f>
        <v>45534.728305069402</v>
      </c>
      <c r="B333" s="36" t="str">
        <f ca="1">IFERROR(__xludf.DUMMYFUNCTION("""COMPUTED_VALUE"""),"Fernando")</f>
        <v>Fernando</v>
      </c>
      <c r="C333" s="36" t="str">
        <f ca="1">IFERROR(__xludf.DUMMYFUNCTION("""COMPUTED_VALUE"""),"Zardini Suárez ")</f>
        <v xml:space="preserve">Zardini Suárez </v>
      </c>
      <c r="D333" s="36" t="str">
        <f ca="1">IFERROR(__xludf.DUMMYFUNCTION("""COMPUTED_VALUE"""),"Beccar San Isidro")</f>
        <v>Beccar San Isidro</v>
      </c>
      <c r="E333" s="38" t="str">
        <f ca="1">IFERROR(__xludf.DUMMYFUNCTION("""COMPUTED_VALUE"""),"ARG")</f>
        <v>ARG</v>
      </c>
      <c r="F333" s="38">
        <f ca="1">IFERROR(__xludf.DUMMYFUNCTION("""COMPUTED_VALUE"""),52697717)</f>
        <v>52697717</v>
      </c>
      <c r="G333" s="37">
        <f ca="1">IFERROR(__xludf.DUMMYFUNCTION("""COMPUTED_VALUE"""),44429)</f>
        <v>44429</v>
      </c>
      <c r="H333" s="38">
        <f ca="1">IFERROR(__xludf.DUMMYFUNCTION("""COMPUTED_VALUE"""),1167930157)</f>
        <v>1167930157</v>
      </c>
      <c r="I333" s="38">
        <f ca="1">IFERROR(__xludf.DUMMYFUNCTION("""COMPUTED_VALUE"""),1167930157)</f>
        <v>1167930157</v>
      </c>
      <c r="J333" s="38" t="str">
        <f ca="1">IFERROR(__xludf.DUMMYFUNCTION("""COMPUTED_VALUE"""),"rzardini@hotmail.com")</f>
        <v>rzardini@hotmail.com</v>
      </c>
      <c r="K333" s="38" t="str">
        <f ca="1">IFERROR(__xludf.DUMMYFUNCTION("""COMPUTED_VALUE"""),"Masculino")</f>
        <v>Masculino</v>
      </c>
      <c r="L333" s="38" t="str">
        <f ca="1">IFERROR(__xludf.DUMMYFUNCTION("""COMPUTED_VALUE"""),"CGLNM")</f>
        <v>CGLNM</v>
      </c>
      <c r="M333" s="38" t="str">
        <f ca="1">IFERROR(__xludf.DUMMYFUNCTION("""COMPUTED_VALUE"""),"Interior (Optimist)")</f>
        <v>Interior (Optimist)</v>
      </c>
      <c r="N333" s="6" t="str">
        <f ca="1">IFERROR(__xludf.DUMMYFUNCTION("""COMPUTED_VALUE"""),"OPTIMIST PRINCIPIANTES")</f>
        <v>OPTIMIST PRINCIPIANTES</v>
      </c>
      <c r="O333" s="6"/>
      <c r="P333" s="6">
        <f ca="1">IFERROR(__xludf.DUMMYFUNCTION("""COMPUTED_VALUE"""),3554)</f>
        <v>3554</v>
      </c>
      <c r="Q333" s="38" t="str">
        <f ca="1">IFERROR(__xludf.DUMMYFUNCTION("""COMPUTED_VALUE"""),"Meteoro")</f>
        <v>Meteoro</v>
      </c>
      <c r="R333" s="38"/>
      <c r="S333" s="38"/>
      <c r="T333" s="38"/>
      <c r="U333" s="38"/>
      <c r="V333" s="38"/>
      <c r="W333" s="38"/>
      <c r="X333" s="40" t="str">
        <f ca="1">IFERROR(__xludf.DUMMYFUNCTION("""COMPUTED_VALUE"""),"Osde 62902805103")</f>
        <v>Osde 62902805103</v>
      </c>
      <c r="Y333" s="6" t="str">
        <f ca="1">IFERROR(__xludf.DUMMYFUNCTION("""COMPUTED_VALUE"""),"Si")</f>
        <v>Si</v>
      </c>
      <c r="Z333" s="38" t="str">
        <f ca="1">IFERROR(__xludf.DUMMYFUNCTION("""COMPUTED_VALUE"""),"Acepto")</f>
        <v>Acepto</v>
      </c>
      <c r="AA333" s="38" t="str">
        <f ca="1">IFERROR(__xludf.DUMMYFUNCTION("""COMPUTED_VALUE"""),"Terminado")</f>
        <v>Terminado</v>
      </c>
      <c r="AB333" s="38">
        <f ca="1">IFERROR(__xludf.DUMMYFUNCTION("""COMPUTED_VALUE"""),50000)</f>
        <v>50000</v>
      </c>
      <c r="AC333" s="6">
        <f ca="1">IFERROR(__xludf.DUMMYFUNCTION("""COMPUTED_VALUE"""),205125)</f>
        <v>205125</v>
      </c>
      <c r="AD333" s="6" t="str">
        <f ca="1">IFERROR(__xludf.DUMMYFUNCTION("""COMPUTED_VALUE"""),"TRF 30-08")</f>
        <v>TRF 30-08</v>
      </c>
      <c r="AE333" s="6"/>
      <c r="AF333" s="6"/>
    </row>
    <row r="334" spans="1:32" ht="13.2">
      <c r="A334" s="35">
        <f ca="1">IFERROR(__xludf.DUMMYFUNCTION("""COMPUTED_VALUE"""),45534.7640524768)</f>
        <v>45534.764052476799</v>
      </c>
      <c r="B334" s="36" t="str">
        <f ca="1">IFERROR(__xludf.DUMMYFUNCTION("""COMPUTED_VALUE"""),"Facundo")</f>
        <v>Facundo</v>
      </c>
      <c r="C334" s="36" t="str">
        <f ca="1">IFERROR(__xludf.DUMMYFUNCTION("""COMPUTED_VALUE"""),"Zorraquin")</f>
        <v>Zorraquin</v>
      </c>
      <c r="D334" s="36" t="str">
        <f ca="1">IFERROR(__xludf.DUMMYFUNCTION("""COMPUTED_VALUE"""),"Buenos aires")</f>
        <v>Buenos aires</v>
      </c>
      <c r="E334" s="38" t="str">
        <f ca="1">IFERROR(__xludf.DUMMYFUNCTION("""COMPUTED_VALUE"""),"ARG")</f>
        <v>ARG</v>
      </c>
      <c r="F334" s="38">
        <f ca="1">IFERROR(__xludf.DUMMYFUNCTION("""COMPUTED_VALUE"""),50075190)</f>
        <v>50075190</v>
      </c>
      <c r="G334" s="37">
        <f ca="1">IFERROR(__xludf.DUMMYFUNCTION("""COMPUTED_VALUE"""),40199)</f>
        <v>40199</v>
      </c>
      <c r="H334" s="38">
        <f ca="1">IFERROR(__xludf.DUMMYFUNCTION("""COMPUTED_VALUE"""),1149365363)</f>
        <v>1149365363</v>
      </c>
      <c r="I334" s="38">
        <f ca="1">IFERROR(__xludf.DUMMYFUNCTION("""COMPUTED_VALUE"""),1141773096)</f>
        <v>1141773096</v>
      </c>
      <c r="J334" s="38" t="str">
        <f ca="1">IFERROR(__xludf.DUMMYFUNCTION("""COMPUTED_VALUE"""),"gzorraquin@gmail.com")</f>
        <v>gzorraquin@gmail.com</v>
      </c>
      <c r="K334" s="38" t="str">
        <f ca="1">IFERROR(__xludf.DUMMYFUNCTION("""COMPUTED_VALUE"""),"Masculino")</f>
        <v>Masculino</v>
      </c>
      <c r="L334" s="38" t="str">
        <f ca="1">IFERROR(__xludf.DUMMYFUNCTION("""COMPUTED_VALUE"""),"CNSI")</f>
        <v>CNSI</v>
      </c>
      <c r="M334" s="38" t="str">
        <f ca="1">IFERROR(__xludf.DUMMYFUNCTION("""COMPUTED_VALUE"""),"Interior (Optimist)")</f>
        <v>Interior (Optimist)</v>
      </c>
      <c r="N334" s="6" t="str">
        <f ca="1">IFERROR(__xludf.DUMMYFUNCTION("""COMPUTED_VALUE"""),"OPTIMIST TIMONELES")</f>
        <v>OPTIMIST TIMONELES</v>
      </c>
      <c r="O334" s="6"/>
      <c r="P334" s="6">
        <f ca="1">IFERROR(__xludf.DUMMYFUNCTION("""COMPUTED_VALUE"""),4113)</f>
        <v>4113</v>
      </c>
      <c r="Q334" s="38"/>
      <c r="R334" s="38"/>
      <c r="S334" s="38"/>
      <c r="T334" s="38"/>
      <c r="U334" s="38"/>
      <c r="V334" s="38"/>
      <c r="W334" s="38"/>
      <c r="X334" s="40" t="str">
        <f ca="1">IFERROR(__xludf.DUMMYFUNCTION("""COMPUTED_VALUE"""),"Osde")</f>
        <v>Osde</v>
      </c>
      <c r="Y334" s="6" t="str">
        <f ca="1">IFERROR(__xludf.DUMMYFUNCTION("""COMPUTED_VALUE"""),"Si")</f>
        <v>Si</v>
      </c>
      <c r="Z334" s="38" t="str">
        <f ca="1">IFERROR(__xludf.DUMMYFUNCTION("""COMPUTED_VALUE"""),"Acepto")</f>
        <v>Acepto</v>
      </c>
      <c r="AA334" s="38" t="str">
        <f ca="1">IFERROR(__xludf.DUMMYFUNCTION("""COMPUTED_VALUE"""),"Terminado")</f>
        <v>Terminado</v>
      </c>
      <c r="AB334" s="38">
        <f ca="1">IFERROR(__xludf.DUMMYFUNCTION("""COMPUTED_VALUE"""),50000)</f>
        <v>50000</v>
      </c>
      <c r="AC334" s="6">
        <f ca="1">IFERROR(__xludf.DUMMYFUNCTION("""COMPUTED_VALUE"""),205130)</f>
        <v>205130</v>
      </c>
      <c r="AD334" s="6" t="str">
        <f ca="1">IFERROR(__xludf.DUMMYFUNCTION("""COMPUTED_VALUE"""),"TRF 30-08")</f>
        <v>TRF 30-08</v>
      </c>
      <c r="AE334" s="6"/>
      <c r="AF334" s="6"/>
    </row>
    <row r="335" spans="1:32" ht="13.2">
      <c r="A335" s="35">
        <f ca="1">IFERROR(__xludf.DUMMYFUNCTION("""COMPUTED_VALUE"""),45534.76825375)</f>
        <v>45534.76825375</v>
      </c>
      <c r="B335" s="36" t="str">
        <f ca="1">IFERROR(__xludf.DUMMYFUNCTION("""COMPUTED_VALUE"""),"Marcos")</f>
        <v>Marcos</v>
      </c>
      <c r="C335" s="36" t="str">
        <f ca="1">IFERROR(__xludf.DUMMYFUNCTION("""COMPUTED_VALUE"""),"Zorraquin")</f>
        <v>Zorraquin</v>
      </c>
      <c r="D335" s="36" t="str">
        <f ca="1">IFERROR(__xludf.DUMMYFUNCTION("""COMPUTED_VALUE"""),"Buenos Aires")</f>
        <v>Buenos Aires</v>
      </c>
      <c r="E335" s="38" t="str">
        <f ca="1">IFERROR(__xludf.DUMMYFUNCTION("""COMPUTED_VALUE"""),"ARG")</f>
        <v>ARG</v>
      </c>
      <c r="F335" s="38">
        <f ca="1">IFERROR(__xludf.DUMMYFUNCTION("""COMPUTED_VALUE"""),53878557)</f>
        <v>53878557</v>
      </c>
      <c r="G335" s="37">
        <f ca="1">IFERROR(__xludf.DUMMYFUNCTION("""COMPUTED_VALUE"""),41728)</f>
        <v>41728</v>
      </c>
      <c r="H335" s="38">
        <f ca="1">IFERROR(__xludf.DUMMYFUNCTION("""COMPUTED_VALUE"""),1149365363)</f>
        <v>1149365363</v>
      </c>
      <c r="I335" s="38">
        <f ca="1">IFERROR(__xludf.DUMMYFUNCTION("""COMPUTED_VALUE"""),1141773095)</f>
        <v>1141773095</v>
      </c>
      <c r="J335" s="38" t="str">
        <f ca="1">IFERROR(__xludf.DUMMYFUNCTION("""COMPUTED_VALUE"""),"gzorraquin@gmail.com")</f>
        <v>gzorraquin@gmail.com</v>
      </c>
      <c r="K335" s="38" t="str">
        <f ca="1">IFERROR(__xludf.DUMMYFUNCTION("""COMPUTED_VALUE"""),"Masculino")</f>
        <v>Masculino</v>
      </c>
      <c r="L335" s="38" t="str">
        <f ca="1">IFERROR(__xludf.DUMMYFUNCTION("""COMPUTED_VALUE"""),"CNSI")</f>
        <v>CNSI</v>
      </c>
      <c r="M335" s="38" t="str">
        <f ca="1">IFERROR(__xludf.DUMMYFUNCTION("""COMPUTED_VALUE"""),"Interior (Optimist)")</f>
        <v>Interior (Optimist)</v>
      </c>
      <c r="N335" s="6" t="str">
        <f ca="1">IFERROR(__xludf.DUMMYFUNCTION("""COMPUTED_VALUE"""),"OPTIMIST PRINCIPIANTES")</f>
        <v>OPTIMIST PRINCIPIANTES</v>
      </c>
      <c r="O335" s="6"/>
      <c r="P335" s="6">
        <f ca="1">IFERROR(__xludf.DUMMYFUNCTION("""COMPUTED_VALUE"""),3610)</f>
        <v>3610</v>
      </c>
      <c r="Q335" s="38"/>
      <c r="R335" s="38"/>
      <c r="S335" s="38"/>
      <c r="T335" s="38"/>
      <c r="U335" s="38"/>
      <c r="V335" s="38"/>
      <c r="W335" s="38"/>
      <c r="X335" s="40" t="str">
        <f ca="1">IFERROR(__xludf.DUMMYFUNCTION("""COMPUTED_VALUE"""),"Osde")</f>
        <v>Osde</v>
      </c>
      <c r="Y335" s="6" t="str">
        <f ca="1">IFERROR(__xludf.DUMMYFUNCTION("""COMPUTED_VALUE"""),"Si")</f>
        <v>Si</v>
      </c>
      <c r="Z335" s="38" t="str">
        <f ca="1">IFERROR(__xludf.DUMMYFUNCTION("""COMPUTED_VALUE"""),"Acepto")</f>
        <v>Acepto</v>
      </c>
      <c r="AA335" s="38" t="str">
        <f ca="1">IFERROR(__xludf.DUMMYFUNCTION("""COMPUTED_VALUE"""),"Terminado")</f>
        <v>Terminado</v>
      </c>
      <c r="AB335" s="38">
        <f ca="1">IFERROR(__xludf.DUMMYFUNCTION("""COMPUTED_VALUE"""),50000)</f>
        <v>50000</v>
      </c>
      <c r="AC335" s="6">
        <f ca="1">IFERROR(__xludf.DUMMYFUNCTION("""COMPUTED_VALUE"""),205131)</f>
        <v>205131</v>
      </c>
      <c r="AD335" s="6" t="str">
        <f ca="1">IFERROR(__xludf.DUMMYFUNCTION("""COMPUTED_VALUE"""),"TRF 30-08")</f>
        <v>TRF 30-08</v>
      </c>
      <c r="AE335" s="6"/>
      <c r="AF335" s="6"/>
    </row>
    <row r="336" spans="1:32" ht="13.2">
      <c r="A336" s="35">
        <f ca="1">IFERROR(__xludf.DUMMYFUNCTION("""COMPUTED_VALUE"""),45532.920498206)</f>
        <v>45532.920498205996</v>
      </c>
      <c r="B336" s="36" t="str">
        <f ca="1">IFERROR(__xludf.DUMMYFUNCTION("""COMPUTED_VALUE"""),"Roberto")</f>
        <v>Roberto</v>
      </c>
      <c r="C336" s="36" t="str">
        <f ca="1">IFERROR(__xludf.DUMMYFUNCTION("""COMPUTED_VALUE"""),"Zulli")</f>
        <v>Zulli</v>
      </c>
      <c r="D336" s="36" t="str">
        <f ca="1">IFERROR(__xludf.DUMMYFUNCTION("""COMPUTED_VALUE"""),"San isidro")</f>
        <v>San isidro</v>
      </c>
      <c r="E336" s="38" t="str">
        <f ca="1">IFERROR(__xludf.DUMMYFUNCTION("""COMPUTED_VALUE"""),"ARG")</f>
        <v>ARG</v>
      </c>
      <c r="F336" s="38">
        <f ca="1">IFERROR(__xludf.DUMMYFUNCTION("""COMPUTED_VALUE"""),22275715)</f>
        <v>22275715</v>
      </c>
      <c r="G336" s="37">
        <f ca="1">IFERROR(__xludf.DUMMYFUNCTION("""COMPUTED_VALUE"""),45511)</f>
        <v>45511</v>
      </c>
      <c r="H336" s="38">
        <f ca="1">IFERROR(__xludf.DUMMYFUNCTION("""COMPUTED_VALUE"""),1149395391)</f>
        <v>1149395391</v>
      </c>
      <c r="I336" s="38"/>
      <c r="J336" s="38" t="str">
        <f ca="1">IFERROR(__xludf.DUMMYFUNCTION("""COMPUTED_VALUE"""),"Zullirobertog257@gmail.com")</f>
        <v>Zullirobertog257@gmail.com</v>
      </c>
      <c r="K336" s="38" t="str">
        <f ca="1">IFERROR(__xludf.DUMMYFUNCTION("""COMPUTED_VALUE"""),"Masculino")</f>
        <v>Masculino</v>
      </c>
      <c r="L336" s="38" t="str">
        <f ca="1">IFERROR(__xludf.DUMMYFUNCTION("""COMPUTED_VALUE"""),"Cnbd")</f>
        <v>Cnbd</v>
      </c>
      <c r="M336" s="38"/>
      <c r="N336" s="6" t="str">
        <f ca="1">IFERROR(__xludf.DUMMYFUNCTION("""COMPUTED_VALUE"""),"GRUMETE")</f>
        <v>GRUMETE</v>
      </c>
      <c r="O336" s="6" t="str">
        <f ca="1">IFERROR(__xludf.DUMMYFUNCTION("""COMPUTED_VALUE"""),"No")</f>
        <v>No</v>
      </c>
      <c r="P336" s="6" t="str">
        <f ca="1">IFERROR(__xludf.DUMMYFUNCTION("""COMPUTED_VALUE"""),"G117")</f>
        <v>G117</v>
      </c>
      <c r="Q336" s="38" t="str">
        <f ca="1">IFERROR(__xludf.DUMMYFUNCTION("""COMPUTED_VALUE"""),"Coya")</f>
        <v>Coya</v>
      </c>
      <c r="R336" s="38" t="str">
        <f ca="1">IFERROR(__xludf.DUMMYFUNCTION("""COMPUTED_VALUE"""),"Gerardo Della torre")</f>
        <v>Gerardo Della torre</v>
      </c>
      <c r="S336" s="38" t="str">
        <f ca="1">IFERROR(__xludf.DUMMYFUNCTION("""COMPUTED_VALUE"""),"Nicolás dono")</f>
        <v>Nicolás dono</v>
      </c>
      <c r="T336" s="38"/>
      <c r="U336" s="38"/>
      <c r="V336" s="38"/>
      <c r="W336" s="38"/>
      <c r="X336" s="40" t="str">
        <f ca="1">IFERROR(__xludf.DUMMYFUNCTION("""COMPUTED_VALUE"""),"Sume")</f>
        <v>Sume</v>
      </c>
      <c r="Y336" s="6" t="str">
        <f ca="1">IFERROR(__xludf.DUMMYFUNCTION("""COMPUTED_VALUE"""),"No")</f>
        <v>No</v>
      </c>
      <c r="Z336" s="38" t="str">
        <f ca="1">IFERROR(__xludf.DUMMYFUNCTION("""COMPUTED_VALUE"""),"Acepto")</f>
        <v>Acepto</v>
      </c>
      <c r="AA336" s="38" t="str">
        <f ca="1">IFERROR(__xludf.DUMMYFUNCTION("""COMPUTED_VALUE"""),"Terminado")</f>
        <v>Terminado</v>
      </c>
      <c r="AB336" s="38">
        <f ca="1">IFERROR(__xludf.DUMMYFUNCTION("""COMPUTED_VALUE"""),50000)</f>
        <v>50000</v>
      </c>
      <c r="AC336" s="6">
        <f ca="1">IFERROR(__xludf.DUMMYFUNCTION("""COMPUTED_VALUE"""),205514)</f>
        <v>205514</v>
      </c>
      <c r="AD336" s="6" t="str">
        <f ca="1">IFERROR(__xludf.DUMMYFUNCTION("""COMPUTED_VALUE"""),"TRF 05-09")</f>
        <v>TRF 05-09</v>
      </c>
      <c r="AE336" s="6"/>
      <c r="AF336" s="6"/>
    </row>
    <row r="337" spans="1:32" ht="13.2">
      <c r="A337" s="35">
        <f ca="1">IFERROR(__xludf.DUMMYFUNCTION("""COMPUTED_VALUE"""),45540.9040813194)</f>
        <v>45540.904081319401</v>
      </c>
      <c r="B337" s="36" t="str">
        <f ca="1">IFERROR(__xludf.DUMMYFUNCTION("""COMPUTED_VALUE"""),"Tomás")</f>
        <v>Tomás</v>
      </c>
      <c r="C337" s="36" t="str">
        <f ca="1">IFERROR(__xludf.DUMMYFUNCTION("""COMPUTED_VALUE"""),"Nirich Smerling ")</f>
        <v xml:space="preserve">Nirich Smerling </v>
      </c>
      <c r="D337" s="36" t="str">
        <f ca="1">IFERROR(__xludf.DUMMYFUNCTION("""COMPUTED_VALUE"""),"SAN ISIDRO")</f>
        <v>SAN ISIDRO</v>
      </c>
      <c r="E337" s="38" t="str">
        <f ca="1">IFERROR(__xludf.DUMMYFUNCTION("""COMPUTED_VALUE"""),"ARG")</f>
        <v>ARG</v>
      </c>
      <c r="F337" s="38">
        <f ca="1">IFERROR(__xludf.DUMMYFUNCTION("""COMPUTED_VALUE"""),50509631)</f>
        <v>50509631</v>
      </c>
      <c r="G337" s="37">
        <f ca="1">IFERROR(__xludf.DUMMYFUNCTION("""COMPUTED_VALUE"""),40424)</f>
        <v>40424</v>
      </c>
      <c r="H337" s="38" t="str">
        <f ca="1">IFERROR(__xludf.DUMMYFUNCTION("""COMPUTED_VALUE"""),"11 40464258 ")</f>
        <v xml:space="preserve">11 40464258 </v>
      </c>
      <c r="I337" s="38" t="str">
        <f ca="1">IFERROR(__xludf.DUMMYFUNCTION("""COMPUTED_VALUE"""),"11 40464258 ")</f>
        <v xml:space="preserve">11 40464258 </v>
      </c>
      <c r="J337" s="38" t="str">
        <f ca="1">IFERROR(__xludf.DUMMYFUNCTION("""COMPUTED_VALUE"""),"Tamarasmerling@gmail.com")</f>
        <v>Tamarasmerling@gmail.com</v>
      </c>
      <c r="K337" s="38" t="str">
        <f ca="1">IFERROR(__xludf.DUMMYFUNCTION("""COMPUTED_VALUE"""),"Masculino")</f>
        <v>Masculino</v>
      </c>
      <c r="L337" s="38" t="str">
        <f ca="1">IFERROR(__xludf.DUMMYFUNCTION("""COMPUTED_VALUE"""),"CVSI ")</f>
        <v xml:space="preserve">CVSI </v>
      </c>
      <c r="M337" s="38" t="str">
        <f ca="1">IFERROR(__xludf.DUMMYFUNCTION("""COMPUTED_VALUE"""),"Interior (Optimist)")</f>
        <v>Interior (Optimist)</v>
      </c>
      <c r="N337" s="6" t="str">
        <f ca="1">IFERROR(__xludf.DUMMYFUNCTION("""COMPUTED_VALUE"""),"OPTIMIST PRINCIPIANTES")</f>
        <v>OPTIMIST PRINCIPIANTES</v>
      </c>
      <c r="O337" s="6"/>
      <c r="P337" s="6">
        <f ca="1">IFERROR(__xludf.DUMMYFUNCTION("""COMPUTED_VALUE"""),3919)</f>
        <v>3919</v>
      </c>
      <c r="Q337" s="38" t="str">
        <f ca="1">IFERROR(__xludf.DUMMYFUNCTION("""COMPUTED_VALUE"""),"Fresco ")</f>
        <v xml:space="preserve">Fresco </v>
      </c>
      <c r="R337" s="38"/>
      <c r="S337" s="38"/>
      <c r="T337" s="38"/>
      <c r="U337" s="38"/>
      <c r="V337" s="38"/>
      <c r="W337" s="38"/>
      <c r="X337" s="40"/>
      <c r="Y337" s="6" t="str">
        <f ca="1">IFERROR(__xludf.DUMMYFUNCTION("""COMPUTED_VALUE"""),"Si")</f>
        <v>Si</v>
      </c>
      <c r="Z337" s="38" t="str">
        <f ca="1">IFERROR(__xludf.DUMMYFUNCTION("""COMPUTED_VALUE"""),"Acepto")</f>
        <v>Acepto</v>
      </c>
      <c r="AA337" s="38" t="str">
        <f ca="1">IFERROR(__xludf.DUMMYFUNCTION("""COMPUTED_VALUE"""),"Pendiente")</f>
        <v>Pendiente</v>
      </c>
      <c r="AB337" s="38"/>
      <c r="AC337" s="6"/>
      <c r="AD337" s="6"/>
      <c r="AE337" s="6"/>
      <c r="AF337" s="6"/>
    </row>
    <row r="338" spans="1:32" ht="13.2">
      <c r="A338" s="35">
        <f ca="1">IFERROR(__xludf.DUMMYFUNCTION("""COMPUTED_VALUE"""),45541.0289370138)</f>
        <v>45541.028937013798</v>
      </c>
      <c r="B338" s="36" t="str">
        <f ca="1">IFERROR(__xludf.DUMMYFUNCTION("""COMPUTED_VALUE"""),"Santino")</f>
        <v>Santino</v>
      </c>
      <c r="C338" s="36" t="str">
        <f ca="1">IFERROR(__xludf.DUMMYFUNCTION("""COMPUTED_VALUE"""),"Scuderi")</f>
        <v>Scuderi</v>
      </c>
      <c r="D338" s="36" t="str">
        <f ca="1">IFERROR(__xludf.DUMMYFUNCTION("""COMPUTED_VALUE"""),"Ciudad Autonoma de Buenos Aires")</f>
        <v>Ciudad Autonoma de Buenos Aires</v>
      </c>
      <c r="E338" s="38" t="str">
        <f ca="1">IFERROR(__xludf.DUMMYFUNCTION("""COMPUTED_VALUE"""),"ARG")</f>
        <v>ARG</v>
      </c>
      <c r="F338" s="38">
        <f ca="1">IFERROR(__xludf.DUMMYFUNCTION("""COMPUTED_VALUE"""),49092408)</f>
        <v>49092408</v>
      </c>
      <c r="G338" s="37">
        <f ca="1">IFERROR(__xludf.DUMMYFUNCTION("""COMPUTED_VALUE"""),39746)</f>
        <v>39746</v>
      </c>
      <c r="H338" s="38"/>
      <c r="I338" s="38"/>
      <c r="J338" s="38" t="str">
        <f ca="1">IFERROR(__xludf.DUMMYFUNCTION("""COMPUTED_VALUE"""),"scuderisantino39@gmail.com")</f>
        <v>scuderisantino39@gmail.com</v>
      </c>
      <c r="K338" s="38" t="str">
        <f ca="1">IFERROR(__xludf.DUMMYFUNCTION("""COMPUTED_VALUE"""),"Masculino")</f>
        <v>Masculino</v>
      </c>
      <c r="L338" s="38" t="str">
        <f ca="1">IFERROR(__xludf.DUMMYFUNCTION("""COMPUTED_VALUE"""),"YCO")</f>
        <v>YCO</v>
      </c>
      <c r="M338" s="38"/>
      <c r="N338" s="6" t="str">
        <f ca="1">IFERROR(__xludf.DUMMYFUNCTION("""COMPUTED_VALUE"""),"ILCA 6")</f>
        <v>ILCA 6</v>
      </c>
      <c r="O338" s="6"/>
      <c r="P338" s="6" t="str">
        <f ca="1">IFERROR(__xludf.DUMMYFUNCTION("""COMPUTED_VALUE"""),"49 092 408")</f>
        <v>49 092 408</v>
      </c>
      <c r="Q338" s="38"/>
      <c r="R338" s="38"/>
      <c r="S338" s="38"/>
      <c r="T338" s="38"/>
      <c r="U338" s="38"/>
      <c r="V338" s="38"/>
      <c r="W338" s="38"/>
      <c r="X338" s="40"/>
      <c r="Y338" s="6" t="str">
        <f ca="1">IFERROR(__xludf.DUMMYFUNCTION("""COMPUTED_VALUE"""),"Si")</f>
        <v>Si</v>
      </c>
      <c r="Z338" s="38" t="str">
        <f ca="1">IFERROR(__xludf.DUMMYFUNCTION("""COMPUTED_VALUE"""),"Acepto")</f>
        <v>Acepto</v>
      </c>
      <c r="AA338" s="38" t="str">
        <f ca="1">IFERROR(__xludf.DUMMYFUNCTION("""COMPUTED_VALUE"""),"Pendiente")</f>
        <v>Pendiente</v>
      </c>
      <c r="AB338" s="38"/>
      <c r="AC338" s="6"/>
      <c r="AD338" s="6"/>
      <c r="AE338" s="6"/>
      <c r="AF338" s="6"/>
    </row>
    <row r="339" spans="1:32" ht="13.2">
      <c r="A339" s="35">
        <f ca="1">IFERROR(__xludf.DUMMYFUNCTION("""COMPUTED_VALUE"""),45541.3125235185)</f>
        <v>45541.3125235185</v>
      </c>
      <c r="B339" s="36" t="str">
        <f ca="1">IFERROR(__xludf.DUMMYFUNCTION("""COMPUTED_VALUE"""),"Felipe ")</f>
        <v xml:space="preserve">Felipe </v>
      </c>
      <c r="C339" s="36" t="str">
        <f ca="1">IFERROR(__xludf.DUMMYFUNCTION("""COMPUTED_VALUE"""),"Blas")</f>
        <v>Blas</v>
      </c>
      <c r="D339" s="36" t="str">
        <f ca="1">IFERROR(__xludf.DUMMYFUNCTION("""COMPUTED_VALUE"""),"San Pedro ")</f>
        <v xml:space="preserve">San Pedro </v>
      </c>
      <c r="E339" s="38" t="str">
        <f ca="1">IFERROR(__xludf.DUMMYFUNCTION("""COMPUTED_VALUE"""),"ARG")</f>
        <v>ARG</v>
      </c>
      <c r="F339" s="38">
        <f ca="1">IFERROR(__xludf.DUMMYFUNCTION("""COMPUTED_VALUE"""),52003396)</f>
        <v>52003396</v>
      </c>
      <c r="G339" s="37">
        <f ca="1">IFERROR(__xludf.DUMMYFUNCTION("""COMPUTED_VALUE"""),40952)</f>
        <v>40952</v>
      </c>
      <c r="H339" s="38">
        <f ca="1">IFERROR(__xludf.DUMMYFUNCTION("""COMPUTED_VALUE"""),3329640146)</f>
        <v>3329640146</v>
      </c>
      <c r="I339" s="38">
        <f ca="1">IFERROR(__xludf.DUMMYFUNCTION("""COMPUTED_VALUE"""),3329566454)</f>
        <v>3329566454</v>
      </c>
      <c r="J339" s="38" t="str">
        <f ca="1">IFERROR(__xludf.DUMMYFUNCTION("""COMPUTED_VALUE"""),"marucenturion1989@gmail.com")</f>
        <v>marucenturion1989@gmail.com</v>
      </c>
      <c r="K339" s="38" t="str">
        <f ca="1">IFERROR(__xludf.DUMMYFUNCTION("""COMPUTED_VALUE"""),"Masculino")</f>
        <v>Masculino</v>
      </c>
      <c r="L339" s="38" t="str">
        <f ca="1">IFERROR(__xludf.DUMMYFUNCTION("""COMPUTED_VALUE"""),"CNSP")</f>
        <v>CNSP</v>
      </c>
      <c r="M339" s="38" t="str">
        <f ca="1">IFERROR(__xludf.DUMMYFUNCTION("""COMPUTED_VALUE"""),"Interior (Optimist)")</f>
        <v>Interior (Optimist)</v>
      </c>
      <c r="N339" s="6" t="str">
        <f ca="1">IFERROR(__xludf.DUMMYFUNCTION("""COMPUTED_VALUE"""),"OPTIMIST TIMONELES")</f>
        <v>OPTIMIST TIMONELES</v>
      </c>
      <c r="O339" s="6"/>
      <c r="P339" s="6">
        <f ca="1">IFERROR(__xludf.DUMMYFUNCTION("""COMPUTED_VALUE"""),4152)</f>
        <v>4152</v>
      </c>
      <c r="Q339" s="38"/>
      <c r="R339" s="38"/>
      <c r="S339" s="38"/>
      <c r="T339" s="38"/>
      <c r="U339" s="38"/>
      <c r="V339" s="38"/>
      <c r="W339" s="38"/>
      <c r="X339" s="40" t="str">
        <f ca="1">IFERROR(__xludf.DUMMYFUNCTION("""COMPUTED_VALUE"""),"Ioma")</f>
        <v>Ioma</v>
      </c>
      <c r="Y339" s="6" t="str">
        <f ca="1">IFERROR(__xludf.DUMMYFUNCTION("""COMPUTED_VALUE"""),"Si")</f>
        <v>Si</v>
      </c>
      <c r="Z339" s="38" t="str">
        <f ca="1">IFERROR(__xludf.DUMMYFUNCTION("""COMPUTED_VALUE"""),"Acepto")</f>
        <v>Acepto</v>
      </c>
      <c r="AA339" s="38" t="str">
        <f ca="1">IFERROR(__xludf.DUMMYFUNCTION("""COMPUTED_VALUE"""),"Terminado")</f>
        <v>Terminado</v>
      </c>
      <c r="AB339" s="38">
        <f ca="1">IFERROR(__xludf.DUMMYFUNCTION("""COMPUTED_VALUE"""),42500)</f>
        <v>42500</v>
      </c>
      <c r="AC339" s="6">
        <f ca="1">IFERROR(__xludf.DUMMYFUNCTION("""COMPUTED_VALUE"""),205543)</f>
        <v>205543</v>
      </c>
      <c r="AD339" s="6" t="str">
        <f ca="1">IFERROR(__xludf.DUMMYFUNCTION("""COMPUTED_VALUE"""),"TRF 06-09")</f>
        <v>TRF 06-09</v>
      </c>
      <c r="AE339" s="6"/>
      <c r="AF339" s="6"/>
    </row>
    <row r="340" spans="1:32" ht="13.2">
      <c r="A340" s="35">
        <f ca="1">IFERROR(__xludf.DUMMYFUNCTION("""COMPUTED_VALUE"""),45541.4057839351)</f>
        <v>45541.405783935101</v>
      </c>
      <c r="B340" s="36" t="str">
        <f ca="1">IFERROR(__xludf.DUMMYFUNCTION("""COMPUTED_VALUE"""),"Thomas ")</f>
        <v xml:space="preserve">Thomas </v>
      </c>
      <c r="C340" s="36" t="str">
        <f ca="1">IFERROR(__xludf.DUMMYFUNCTION("""COMPUTED_VALUE"""),"Deho")</f>
        <v>Deho</v>
      </c>
      <c r="D340" s="36" t="str">
        <f ca="1">IFERROR(__xludf.DUMMYFUNCTION("""COMPUTED_VALUE"""),"Buenos Aires")</f>
        <v>Buenos Aires</v>
      </c>
      <c r="E340" s="38" t="str">
        <f ca="1">IFERROR(__xludf.DUMMYFUNCTION("""COMPUTED_VALUE"""),"ARG")</f>
        <v>ARG</v>
      </c>
      <c r="F340" s="38">
        <f ca="1">IFERROR(__xludf.DUMMYFUNCTION("""COMPUTED_VALUE"""),46958758)</f>
        <v>46958758</v>
      </c>
      <c r="G340" s="37">
        <f ca="1">IFERROR(__xludf.DUMMYFUNCTION("""COMPUTED_VALUE"""),38600)</f>
        <v>38600</v>
      </c>
      <c r="H340" s="38">
        <f ca="1">IFERROR(__xludf.DUMMYFUNCTION("""COMPUTED_VALUE"""),1169403645)</f>
        <v>1169403645</v>
      </c>
      <c r="I340" s="38">
        <f ca="1">IFERROR(__xludf.DUMMYFUNCTION("""COMPUTED_VALUE"""),1160965644)</f>
        <v>1160965644</v>
      </c>
      <c r="J340" s="38" t="str">
        <f ca="1">IFERROR(__xludf.DUMMYFUNCTION("""COMPUTED_VALUE"""),"thomasdeho@gmail.com")</f>
        <v>thomasdeho@gmail.com</v>
      </c>
      <c r="K340" s="38" t="str">
        <f ca="1">IFERROR(__xludf.DUMMYFUNCTION("""COMPUTED_VALUE"""),"Masculino")</f>
        <v>Masculino</v>
      </c>
      <c r="L340" s="38" t="str">
        <f ca="1">IFERROR(__xludf.DUMMYFUNCTION("""COMPUTED_VALUE"""),"CNA")</f>
        <v>CNA</v>
      </c>
      <c r="M340" s="38" t="str">
        <f ca="1">IFERROR(__xludf.DUMMYFUNCTION("""COMPUTED_VALUE"""),"Master (ILCA)")</f>
        <v>Master (ILCA)</v>
      </c>
      <c r="N340" s="6" t="str">
        <f ca="1">IFERROR(__xludf.DUMMYFUNCTION("""COMPUTED_VALUE"""),"ILCA 7")</f>
        <v>ILCA 7</v>
      </c>
      <c r="O340" s="6"/>
      <c r="P340" s="6">
        <f ca="1">IFERROR(__xludf.DUMMYFUNCTION("""COMPUTED_VALUE"""),711)</f>
        <v>711</v>
      </c>
      <c r="Q340" s="38"/>
      <c r="R340" s="38"/>
      <c r="S340" s="38"/>
      <c r="T340" s="38"/>
      <c r="U340" s="38"/>
      <c r="V340" s="38"/>
      <c r="W340" s="38"/>
      <c r="X340" s="40"/>
      <c r="Y340" s="6" t="str">
        <f ca="1">IFERROR(__xludf.DUMMYFUNCTION("""COMPUTED_VALUE"""),"No")</f>
        <v>No</v>
      </c>
      <c r="Z340" s="38" t="str">
        <f ca="1">IFERROR(__xludf.DUMMYFUNCTION("""COMPUTED_VALUE"""),"Acepto")</f>
        <v>Acepto</v>
      </c>
      <c r="AA340" s="38" t="str">
        <f ca="1">IFERROR(__xludf.DUMMYFUNCTION("""COMPUTED_VALUE"""),"Pendiente")</f>
        <v>Pendiente</v>
      </c>
      <c r="AB340" s="38"/>
      <c r="AC340" s="6"/>
      <c r="AD340" s="6"/>
      <c r="AE340" s="6"/>
      <c r="AF340" s="6"/>
    </row>
    <row r="341" spans="1:32" ht="13.2">
      <c r="A341" s="35">
        <f ca="1">IFERROR(__xludf.DUMMYFUNCTION("""COMPUTED_VALUE"""),45541.4155176736)</f>
        <v>45541.415517673602</v>
      </c>
      <c r="B341" s="36" t="str">
        <f ca="1">IFERROR(__xludf.DUMMYFUNCTION("""COMPUTED_VALUE"""),"Marcos ")</f>
        <v xml:space="preserve">Marcos </v>
      </c>
      <c r="C341" s="36" t="str">
        <f ca="1">IFERROR(__xludf.DUMMYFUNCTION("""COMPUTED_VALUE"""),"Lewis")</f>
        <v>Lewis</v>
      </c>
      <c r="D341" s="36" t="str">
        <f ca="1">IFERROR(__xludf.DUMMYFUNCTION("""COMPUTED_VALUE"""),"Rosario")</f>
        <v>Rosario</v>
      </c>
      <c r="E341" s="38" t="str">
        <f ca="1">IFERROR(__xludf.DUMMYFUNCTION("""COMPUTED_VALUE"""),"ARG")</f>
        <v>ARG</v>
      </c>
      <c r="F341" s="38">
        <f ca="1">IFERROR(__xludf.DUMMYFUNCTION("""COMPUTED_VALUE"""),30048496)</f>
        <v>30048496</v>
      </c>
      <c r="G341" s="37">
        <f ca="1">IFERROR(__xludf.DUMMYFUNCTION("""COMPUTED_VALUE"""),30289)</f>
        <v>30289</v>
      </c>
      <c r="H341" s="38">
        <f ca="1">IFERROR(__xludf.DUMMYFUNCTION("""COMPUTED_VALUE"""),3416192647)</f>
        <v>3416192647</v>
      </c>
      <c r="I341" s="38"/>
      <c r="J341" s="38" t="str">
        <f ca="1">IFERROR(__xludf.DUMMYFUNCTION("""COMPUTED_VALUE"""),"hattansailingteam@gmail.com")</f>
        <v>hattansailingteam@gmail.com</v>
      </c>
      <c r="K341" s="38" t="str">
        <f ca="1">IFERROR(__xludf.DUMMYFUNCTION("""COMPUTED_VALUE"""),"Masculino")</f>
        <v>Masculino</v>
      </c>
      <c r="L341" s="38" t="str">
        <f ca="1">IFERROR(__xludf.DUMMYFUNCTION("""COMPUTED_VALUE"""),"CVR")</f>
        <v>CVR</v>
      </c>
      <c r="M341" s="38" t="str">
        <f ca="1">IFERROR(__xludf.DUMMYFUNCTION("""COMPUTED_VALUE"""),"corinthians J70")</f>
        <v>corinthians J70</v>
      </c>
      <c r="N341" s="6" t="str">
        <f ca="1">IFERROR(__xludf.DUMMYFUNCTION("""COMPUTED_VALUE"""),"J 70")</f>
        <v>J 70</v>
      </c>
      <c r="O341" s="6">
        <f ca="1">IFERROR(__xludf.DUMMYFUNCTION("""COMPUTED_VALUE"""),47)</f>
        <v>47</v>
      </c>
      <c r="P341" s="6">
        <f ca="1">IFERROR(__xludf.DUMMYFUNCTION("""COMPUTED_VALUE"""),1559)</f>
        <v>1559</v>
      </c>
      <c r="Q341" s="38" t="str">
        <f ca="1">IFERROR(__xludf.DUMMYFUNCTION("""COMPUTED_VALUE"""),"HATTAN")</f>
        <v>HATTAN</v>
      </c>
      <c r="R341" s="38" t="str">
        <f ca="1">IFERROR(__xludf.DUMMYFUNCTION("""COMPUTED_VALUE"""),"MARCOS LEWIS")</f>
        <v>MARCOS LEWIS</v>
      </c>
      <c r="S341" s="38" t="str">
        <f ca="1">IFERROR(__xludf.DUMMYFUNCTION("""COMPUTED_VALUE"""),"Santiago Duncan")</f>
        <v>Santiago Duncan</v>
      </c>
      <c r="T341" s="38" t="str">
        <f ca="1">IFERROR(__xludf.DUMMYFUNCTION("""COMPUTED_VALUE"""),"Facundo Campaza")</f>
        <v>Facundo Campaza</v>
      </c>
      <c r="U341" s="38" t="str">
        <f ca="1">IFERROR(__xludf.DUMMYFUNCTION("""COMPUTED_VALUE"""),"Elias Dalli")</f>
        <v>Elias Dalli</v>
      </c>
      <c r="V341" s="38" t="str">
        <f ca="1">IFERROR(__xludf.DUMMYFUNCTION("""COMPUTED_VALUE"""),"Igor")</f>
        <v>Igor</v>
      </c>
      <c r="W341" s="38"/>
      <c r="X341" s="40" t="str">
        <f ca="1">IFERROR(__xludf.DUMMYFUNCTION("""COMPUTED_VALUE"""),"OSDE")</f>
        <v>OSDE</v>
      </c>
      <c r="Y341" s="6" t="str">
        <f ca="1">IFERROR(__xludf.DUMMYFUNCTION("""COMPUTED_VALUE"""),"No")</f>
        <v>No</v>
      </c>
      <c r="Z341" s="38" t="str">
        <f ca="1">IFERROR(__xludf.DUMMYFUNCTION("""COMPUTED_VALUE"""),"Acepto")</f>
        <v>Acepto</v>
      </c>
      <c r="AA341" s="38" t="str">
        <f ca="1">IFERROR(__xludf.DUMMYFUNCTION("""COMPUTED_VALUE"""),"Terminado")</f>
        <v>Terminado</v>
      </c>
      <c r="AB341" s="38">
        <f ca="1">IFERROR(__xludf.DUMMYFUNCTION("""COMPUTED_VALUE"""),72000)</f>
        <v>72000</v>
      </c>
      <c r="AC341" s="6">
        <f ca="1">IFERROR(__xludf.DUMMYFUNCTION("""COMPUTED_VALUE"""),205536)</f>
        <v>205536</v>
      </c>
      <c r="AD341" s="6" t="str">
        <f ca="1">IFERROR(__xludf.DUMMYFUNCTION("""COMPUTED_VALUE"""),"TRF 06-09")</f>
        <v>TRF 06-09</v>
      </c>
      <c r="AE341" s="6"/>
      <c r="AF341" s="6"/>
    </row>
    <row r="342" spans="1:32" ht="13.2">
      <c r="A342" s="35">
        <f ca="1">IFERROR(__xludf.DUMMYFUNCTION("""COMPUTED_VALUE"""),45541.4555640509)</f>
        <v>45541.455564050899</v>
      </c>
      <c r="B342" s="36" t="str">
        <f ca="1">IFERROR(__xludf.DUMMYFUNCTION("""COMPUTED_VALUE"""),"Andres")</f>
        <v>Andres</v>
      </c>
      <c r="C342" s="36" t="str">
        <f ca="1">IFERROR(__xludf.DUMMYFUNCTION("""COMPUTED_VALUE"""),"Grasso")</f>
        <v>Grasso</v>
      </c>
      <c r="D342" s="36" t="str">
        <f ca="1">IFERROR(__xludf.DUMMYFUNCTION("""COMPUTED_VALUE"""),"CABA")</f>
        <v>CABA</v>
      </c>
      <c r="E342" s="38" t="str">
        <f ca="1">IFERROR(__xludf.DUMMYFUNCTION("""COMPUTED_VALUE"""),"ARG")</f>
        <v>ARG</v>
      </c>
      <c r="F342" s="38">
        <f ca="1">IFERROR(__xludf.DUMMYFUNCTION("""COMPUTED_VALUE"""),29435724)</f>
        <v>29435724</v>
      </c>
      <c r="G342" s="37">
        <f ca="1">IFERROR(__xludf.DUMMYFUNCTION("""COMPUTED_VALUE"""),30036)</f>
        <v>30036</v>
      </c>
      <c r="H342" s="38">
        <f ca="1">IFERROR(__xludf.DUMMYFUNCTION("""COMPUTED_VALUE"""),1151521958)</f>
        <v>1151521958</v>
      </c>
      <c r="I342" s="38">
        <f ca="1">IFERROR(__xludf.DUMMYFUNCTION("""COMPUTED_VALUE"""),1151521958)</f>
        <v>1151521958</v>
      </c>
      <c r="J342" s="38" t="str">
        <f ca="1">IFERROR(__xludf.DUMMYFUNCTION("""COMPUTED_VALUE"""),"grasso.andres@gmail.com")</f>
        <v>grasso.andres@gmail.com</v>
      </c>
      <c r="K342" s="38" t="str">
        <f ca="1">IFERROR(__xludf.DUMMYFUNCTION("""COMPUTED_VALUE"""),"Masculino")</f>
        <v>Masculino</v>
      </c>
      <c r="L342" s="38" t="str">
        <f ca="1">IFERROR(__xludf.DUMMYFUNCTION("""COMPUTED_VALUE"""),"CPNLB")</f>
        <v>CPNLB</v>
      </c>
      <c r="M342" s="38" t="str">
        <f ca="1">IFERROR(__xludf.DUMMYFUNCTION("""COMPUTED_VALUE"""),"GRUMETE")</f>
        <v>GRUMETE</v>
      </c>
      <c r="N342" s="6" t="str">
        <f ca="1">IFERROR(__xludf.DUMMYFUNCTION("""COMPUTED_VALUE"""),"GRUMETE")</f>
        <v>GRUMETE</v>
      </c>
      <c r="O342" s="6"/>
      <c r="P342" s="6">
        <f ca="1">IFERROR(__xludf.DUMMYFUNCTION("""COMPUTED_VALUE"""),84)</f>
        <v>84</v>
      </c>
      <c r="Q342" s="38" t="str">
        <f ca="1">IFERROR(__xludf.DUMMYFUNCTION("""COMPUTED_VALUE"""),"PETERIBI")</f>
        <v>PETERIBI</v>
      </c>
      <c r="R342" s="38"/>
      <c r="S342" s="38"/>
      <c r="T342" s="38"/>
      <c r="U342" s="38"/>
      <c r="V342" s="38"/>
      <c r="W342" s="38"/>
      <c r="X342" s="40" t="str">
        <f ca="1">IFERROR(__xludf.DUMMYFUNCTION("""COMPUTED_VALUE"""),"MEDICUS/1069739.002")</f>
        <v>MEDICUS/1069739.002</v>
      </c>
      <c r="Y342" s="6" t="str">
        <f ca="1">IFERROR(__xludf.DUMMYFUNCTION("""COMPUTED_VALUE"""),"No")</f>
        <v>No</v>
      </c>
      <c r="Z342" s="38" t="str">
        <f ca="1">IFERROR(__xludf.DUMMYFUNCTION("""COMPUTED_VALUE"""),"Acepto")</f>
        <v>Acepto</v>
      </c>
      <c r="AA342" s="38" t="str">
        <f ca="1">IFERROR(__xludf.DUMMYFUNCTION("""COMPUTED_VALUE"""),"Pendiente")</f>
        <v>Pendiente</v>
      </c>
      <c r="AB342" s="38"/>
      <c r="AC342" s="6"/>
      <c r="AD342" s="6"/>
      <c r="AE342" s="6"/>
      <c r="AF342" s="6"/>
    </row>
    <row r="343" spans="1:32" ht="13.2">
      <c r="A343" s="35">
        <f ca="1">IFERROR(__xludf.DUMMYFUNCTION("""COMPUTED_VALUE"""),45541.4702524305)</f>
        <v>45541.470252430503</v>
      </c>
      <c r="B343" s="36" t="str">
        <f ca="1">IFERROR(__xludf.DUMMYFUNCTION("""COMPUTED_VALUE"""),"Santiago")</f>
        <v>Santiago</v>
      </c>
      <c r="C343" s="36" t="str">
        <f ca="1">IFERROR(__xludf.DUMMYFUNCTION("""COMPUTED_VALUE"""),"Fabris")</f>
        <v>Fabris</v>
      </c>
      <c r="D343" s="36" t="str">
        <f ca="1">IFERROR(__xludf.DUMMYFUNCTION("""COMPUTED_VALUE"""),"Buenos Aires")</f>
        <v>Buenos Aires</v>
      </c>
      <c r="E343" s="38" t="str">
        <f ca="1">IFERROR(__xludf.DUMMYFUNCTION("""COMPUTED_VALUE"""),"ARG")</f>
        <v>ARG</v>
      </c>
      <c r="F343" s="38">
        <f ca="1">IFERROR(__xludf.DUMMYFUNCTION("""COMPUTED_VALUE"""),50416545)</f>
        <v>50416545</v>
      </c>
      <c r="G343" s="37">
        <f ca="1">IFERROR(__xludf.DUMMYFUNCTION("""COMPUTED_VALUE"""),40367)</f>
        <v>40367</v>
      </c>
      <c r="H343" s="38" t="str">
        <f ca="1">IFERROR(__xludf.DUMMYFUNCTION("""COMPUTED_VALUE"""),"+5491132008803")</f>
        <v>+5491132008803</v>
      </c>
      <c r="I343" s="38" t="str">
        <f ca="1">IFERROR(__xludf.DUMMYFUNCTION("""COMPUTED_VALUE"""),"+5491132008803")</f>
        <v>+5491132008803</v>
      </c>
      <c r="J343" s="38" t="str">
        <f ca="1">IFERROR(__xludf.DUMMYFUNCTION("""COMPUTED_VALUE"""),"german0669@gmail.com")</f>
        <v>german0669@gmail.com</v>
      </c>
      <c r="K343" s="38" t="str">
        <f ca="1">IFERROR(__xludf.DUMMYFUNCTION("""COMPUTED_VALUE"""),"Masculino")</f>
        <v>Masculino</v>
      </c>
      <c r="L343" s="38" t="str">
        <f ca="1">IFERROR(__xludf.DUMMYFUNCTION("""COMPUTED_VALUE"""),"YCCN")</f>
        <v>YCCN</v>
      </c>
      <c r="M343" s="38" t="str">
        <f ca="1">IFERROR(__xludf.DUMMYFUNCTION("""COMPUTED_VALUE"""),"Optimist - Timonel")</f>
        <v>Optimist - Timonel</v>
      </c>
      <c r="N343" s="6" t="str">
        <f ca="1">IFERROR(__xludf.DUMMYFUNCTION("""COMPUTED_VALUE"""),"OPTIMIST TIMONELES")</f>
        <v>OPTIMIST TIMONELES</v>
      </c>
      <c r="O343" s="6"/>
      <c r="P343" s="6">
        <f ca="1">IFERROR(__xludf.DUMMYFUNCTION("""COMPUTED_VALUE"""),3642)</f>
        <v>3642</v>
      </c>
      <c r="Q343" s="38"/>
      <c r="R343" s="38"/>
      <c r="S343" s="38"/>
      <c r="T343" s="38"/>
      <c r="U343" s="38"/>
      <c r="V343" s="38"/>
      <c r="W343" s="38"/>
      <c r="X343" s="40" t="str">
        <f ca="1">IFERROR(__xludf.DUMMYFUNCTION("""COMPUTED_VALUE"""),"OSDE")</f>
        <v>OSDE</v>
      </c>
      <c r="Y343" s="6" t="str">
        <f ca="1">IFERROR(__xludf.DUMMYFUNCTION("""COMPUTED_VALUE"""),"No")</f>
        <v>No</v>
      </c>
      <c r="Z343" s="38" t="str">
        <f ca="1">IFERROR(__xludf.DUMMYFUNCTION("""COMPUTED_VALUE"""),"Acepto")</f>
        <v>Acepto</v>
      </c>
      <c r="AA343" s="38" t="str">
        <f ca="1">IFERROR(__xludf.DUMMYFUNCTION("""COMPUTED_VALUE"""),"Terminado")</f>
        <v>Terminado</v>
      </c>
      <c r="AB343" s="38">
        <f ca="1">IFERROR(__xludf.DUMMYFUNCTION("""COMPUTED_VALUE"""),50000)</f>
        <v>50000</v>
      </c>
      <c r="AC343" s="6">
        <f ca="1">IFERROR(__xludf.DUMMYFUNCTION("""COMPUTED_VALUE"""),205534)</f>
        <v>205534</v>
      </c>
      <c r="AD343" s="6" t="str">
        <f ca="1">IFERROR(__xludf.DUMMYFUNCTION("""COMPUTED_VALUE"""),"TRF 06-09")</f>
        <v>TRF 06-09</v>
      </c>
      <c r="AE343" s="6"/>
      <c r="AF343" s="6"/>
    </row>
    <row r="344" spans="1:32" ht="13.2">
      <c r="A344" s="35">
        <f ca="1">IFERROR(__xludf.DUMMYFUNCTION("""COMPUTED_VALUE"""),45541.4964185069)</f>
        <v>45541.496418506897</v>
      </c>
      <c r="B344" s="36" t="str">
        <f ca="1">IFERROR(__xludf.DUMMYFUNCTION("""COMPUTED_VALUE"""),"Alma ")</f>
        <v xml:space="preserve">Alma </v>
      </c>
      <c r="C344" s="36" t="str">
        <f ca="1">IFERROR(__xludf.DUMMYFUNCTION("""COMPUTED_VALUE"""),"Plou Peñafort")</f>
        <v>Plou Peñafort</v>
      </c>
      <c r="D344" s="36" t="str">
        <f ca="1">IFERROR(__xludf.DUMMYFUNCTION("""COMPUTED_VALUE"""),"San Isidro")</f>
        <v>San Isidro</v>
      </c>
      <c r="E344" s="38" t="str">
        <f ca="1">IFERROR(__xludf.DUMMYFUNCTION("""COMPUTED_VALUE"""),"ARG")</f>
        <v>ARG</v>
      </c>
      <c r="F344" s="38">
        <f ca="1">IFERROR(__xludf.DUMMYFUNCTION("""COMPUTED_VALUE"""),51069680)</f>
        <v>51069680</v>
      </c>
      <c r="G344" s="37">
        <f ca="1">IFERROR(__xludf.DUMMYFUNCTION("""COMPUTED_VALUE"""),40630)</f>
        <v>40630</v>
      </c>
      <c r="H344" s="38">
        <f ca="1">IFERROR(__xludf.DUMMYFUNCTION("""COMPUTED_VALUE"""),1167024533)</f>
        <v>1167024533</v>
      </c>
      <c r="I344" s="38">
        <f ca="1">IFERROR(__xludf.DUMMYFUNCTION("""COMPUTED_VALUE"""),1167024533)</f>
        <v>1167024533</v>
      </c>
      <c r="J344" s="38" t="str">
        <f ca="1">IFERROR(__xludf.DUMMYFUNCTION("""COMPUTED_VALUE"""),"lilipenafort76@gmail.com ")</f>
        <v xml:space="preserve">lilipenafort76@gmail.com </v>
      </c>
      <c r="K344" s="38" t="str">
        <f ca="1">IFERROR(__xludf.DUMMYFUNCTION("""COMPUTED_VALUE"""),"Femenino")</f>
        <v>Femenino</v>
      </c>
      <c r="L344" s="38" t="str">
        <f ca="1">IFERROR(__xludf.DUMMYFUNCTION("""COMPUTED_VALUE"""),"CPNLB")</f>
        <v>CPNLB</v>
      </c>
      <c r="M344" s="38" t="str">
        <f ca="1">IFERROR(__xludf.DUMMYFUNCTION("""COMPUTED_VALUE"""),"Femenino")</f>
        <v>Femenino</v>
      </c>
      <c r="N344" s="6" t="str">
        <f ca="1">IFERROR(__xludf.DUMMYFUNCTION("""COMPUTED_VALUE"""),"OPTIMIST PRINCIPIANTES")</f>
        <v>OPTIMIST PRINCIPIANTES</v>
      </c>
      <c r="O344" s="6"/>
      <c r="P344" s="6">
        <f ca="1">IFERROR(__xludf.DUMMYFUNCTION("""COMPUTED_VALUE"""),18910)</f>
        <v>18910</v>
      </c>
      <c r="Q344" s="38"/>
      <c r="R344" s="38" t="str">
        <f ca="1">IFERROR(__xludf.DUMMYFUNCTION("""COMPUTED_VALUE"""),"Alma Plou Peñafort")</f>
        <v>Alma Plou Peñafort</v>
      </c>
      <c r="S344" s="38"/>
      <c r="T344" s="38"/>
      <c r="U344" s="38"/>
      <c r="V344" s="38"/>
      <c r="W344" s="38"/>
      <c r="X344" s="40" t="str">
        <f ca="1">IFERROR(__xludf.DUMMYFUNCTION("""COMPUTED_VALUE"""),"OSDE")</f>
        <v>OSDE</v>
      </c>
      <c r="Y344" s="6" t="str">
        <f ca="1">IFERROR(__xludf.DUMMYFUNCTION("""COMPUTED_VALUE"""),"Si")</f>
        <v>Si</v>
      </c>
      <c r="Z344" s="38" t="str">
        <f ca="1">IFERROR(__xludf.DUMMYFUNCTION("""COMPUTED_VALUE"""),"Acepto")</f>
        <v>Acepto</v>
      </c>
      <c r="AA344" s="38" t="str">
        <f ca="1">IFERROR(__xludf.DUMMYFUNCTION("""COMPUTED_VALUE"""),"Pendiente")</f>
        <v>Pendiente</v>
      </c>
      <c r="AB344" s="38"/>
      <c r="AC344" s="6"/>
      <c r="AD344" s="6"/>
      <c r="AE344" s="6"/>
      <c r="AF344" s="6"/>
    </row>
    <row r="345" spans="1:32" ht="13.2">
      <c r="A345" s="35">
        <f ca="1">IFERROR(__xludf.DUMMYFUNCTION("""COMPUTED_VALUE"""),45541.6135105671)</f>
        <v>45541.613510567098</v>
      </c>
      <c r="B345" s="36" t="str">
        <f ca="1">IFERROR(__xludf.DUMMYFUNCTION("""COMPUTED_VALUE"""),"Tomás ")</f>
        <v xml:space="preserve">Tomás </v>
      </c>
      <c r="C345" s="36" t="str">
        <f ca="1">IFERROR(__xludf.DUMMYFUNCTION("""COMPUTED_VALUE"""),"Calvo")</f>
        <v>Calvo</v>
      </c>
      <c r="D345" s="36" t="str">
        <f ca="1">IFERROR(__xludf.DUMMYFUNCTION("""COMPUTED_VALUE"""),"Victoria")</f>
        <v>Victoria</v>
      </c>
      <c r="E345" s="38" t="str">
        <f ca="1">IFERROR(__xludf.DUMMYFUNCTION("""COMPUTED_VALUE"""),"ARG")</f>
        <v>ARG</v>
      </c>
      <c r="F345" s="38">
        <f ca="1">IFERROR(__xludf.DUMMYFUNCTION("""COMPUTED_VALUE"""),51431844)</f>
        <v>51431844</v>
      </c>
      <c r="G345" s="37">
        <f ca="1">IFERROR(__xludf.DUMMYFUNCTION("""COMPUTED_VALUE"""),40828)</f>
        <v>40828</v>
      </c>
      <c r="H345" s="38">
        <f ca="1">IFERROR(__xludf.DUMMYFUNCTION("""COMPUTED_VALUE"""),91159278173)</f>
        <v>91159278173</v>
      </c>
      <c r="I345" s="38">
        <f ca="1">IFERROR(__xludf.DUMMYFUNCTION("""COMPUTED_VALUE"""),91159278173)</f>
        <v>91159278173</v>
      </c>
      <c r="J345" s="38" t="str">
        <f ca="1">IFERROR(__xludf.DUMMYFUNCTION("""COMPUTED_VALUE"""),"sabhidalgo21@gmail.com")</f>
        <v>sabhidalgo21@gmail.com</v>
      </c>
      <c r="K345" s="38" t="str">
        <f ca="1">IFERROR(__xludf.DUMMYFUNCTION("""COMPUTED_VALUE"""),"Masculino")</f>
        <v>Masculino</v>
      </c>
      <c r="L345" s="38" t="str">
        <f ca="1">IFERROR(__xludf.DUMMYFUNCTION("""COMPUTED_VALUE"""),"CVB")</f>
        <v>CVB</v>
      </c>
      <c r="M345" s="38" t="str">
        <f ca="1">IFERROR(__xludf.DUMMYFUNCTION("""COMPUTED_VALUE"""),"Interior (Optimist)")</f>
        <v>Interior (Optimist)</v>
      </c>
      <c r="N345" s="6" t="str">
        <f ca="1">IFERROR(__xludf.DUMMYFUNCTION("""COMPUTED_VALUE"""),"OPTIMIST TIMONELES")</f>
        <v>OPTIMIST TIMONELES</v>
      </c>
      <c r="O345" s="6"/>
      <c r="P345" s="6">
        <f ca="1">IFERROR(__xludf.DUMMYFUNCTION("""COMPUTED_VALUE"""),4133)</f>
        <v>4133</v>
      </c>
      <c r="Q345" s="38"/>
      <c r="R345" s="38"/>
      <c r="S345" s="38"/>
      <c r="T345" s="38"/>
      <c r="U345" s="38"/>
      <c r="V345" s="38"/>
      <c r="W345" s="38"/>
      <c r="X345" s="40" t="str">
        <f ca="1">IFERROR(__xludf.DUMMYFUNCTION("""COMPUTED_VALUE"""),"61 790187 1 02")</f>
        <v>61 790187 1 02</v>
      </c>
      <c r="Y345" s="6" t="str">
        <f ca="1">IFERROR(__xludf.DUMMYFUNCTION("""COMPUTED_VALUE"""),"Si")</f>
        <v>Si</v>
      </c>
      <c r="Z345" s="38" t="str">
        <f ca="1">IFERROR(__xludf.DUMMYFUNCTION("""COMPUTED_VALUE"""),"Acepto")</f>
        <v>Acepto</v>
      </c>
      <c r="AA345" s="38" t="str">
        <f ca="1">IFERROR(__xludf.DUMMYFUNCTION("""COMPUTED_VALUE"""),"Terminado")</f>
        <v>Terminado</v>
      </c>
      <c r="AB345" s="38">
        <f ca="1">IFERROR(__xludf.DUMMYFUNCTION("""COMPUTED_VALUE"""),50000)</f>
        <v>50000</v>
      </c>
      <c r="AC345" s="6">
        <f ca="1">IFERROR(__xludf.DUMMYFUNCTION("""COMPUTED_VALUE"""),205539)</f>
        <v>205539</v>
      </c>
      <c r="AD345" s="6" t="str">
        <f ca="1">IFERROR(__xludf.DUMMYFUNCTION("""COMPUTED_VALUE"""),"Tarj 06-09")</f>
        <v>Tarj 06-09</v>
      </c>
      <c r="AE345" s="6"/>
      <c r="AF345" s="6"/>
    </row>
    <row r="346" spans="1:32" ht="13.2">
      <c r="A346" s="35">
        <f ca="1">IFERROR(__xludf.DUMMYFUNCTION("""COMPUTED_VALUE"""),45541.6610985069)</f>
        <v>45541.661098506898</v>
      </c>
      <c r="B346" s="36" t="str">
        <f ca="1">IFERROR(__xludf.DUMMYFUNCTION("""COMPUTED_VALUE"""),"EMILIA")</f>
        <v>EMILIA</v>
      </c>
      <c r="C346" s="36" t="str">
        <f ca="1">IFERROR(__xludf.DUMMYFUNCTION("""COMPUTED_VALUE"""),"VUGDELIJA")</f>
        <v>VUGDELIJA</v>
      </c>
      <c r="D346" s="36" t="str">
        <f ca="1">IFERROR(__xludf.DUMMYFUNCTION("""COMPUTED_VALUE"""),"CABA")</f>
        <v>CABA</v>
      </c>
      <c r="E346" s="38" t="str">
        <f ca="1">IFERROR(__xludf.DUMMYFUNCTION("""COMPUTED_VALUE"""),"ARG")</f>
        <v>ARG</v>
      </c>
      <c r="F346" s="38">
        <f ca="1">IFERROR(__xludf.DUMMYFUNCTION("""COMPUTED_VALUE"""),53083955)</f>
        <v>53083955</v>
      </c>
      <c r="G346" s="37">
        <f ca="1">IFERROR(__xludf.DUMMYFUNCTION("""COMPUTED_VALUE"""),41342)</f>
        <v>41342</v>
      </c>
      <c r="H346" s="38">
        <f ca="1">IFERROR(__xludf.DUMMYFUNCTION("""COMPUTED_VALUE"""),1140304773)</f>
        <v>1140304773</v>
      </c>
      <c r="I346" s="38">
        <f ca="1">IFERROR(__xludf.DUMMYFUNCTION("""COMPUTED_VALUE"""),1140304773)</f>
        <v>1140304773</v>
      </c>
      <c r="J346" s="38" t="str">
        <f ca="1">IFERROR(__xludf.DUMMYFUNCTION("""COMPUTED_VALUE"""),"ppvugde@gmail.com")</f>
        <v>ppvugde@gmail.com</v>
      </c>
      <c r="K346" s="38" t="str">
        <f ca="1">IFERROR(__xludf.DUMMYFUNCTION("""COMPUTED_VALUE"""),"Femenino")</f>
        <v>Femenino</v>
      </c>
      <c r="L346" s="38" t="str">
        <f ca="1">IFERROR(__xludf.DUMMYFUNCTION("""COMPUTED_VALUE"""),"CUBA")</f>
        <v>CUBA</v>
      </c>
      <c r="M346" s="38" t="str">
        <f ca="1">IFERROR(__xludf.DUMMYFUNCTION("""COMPUTED_VALUE"""),"Femenino")</f>
        <v>Femenino</v>
      </c>
      <c r="N346" s="38" t="str">
        <f ca="1">IFERROR(__xludf.DUMMYFUNCTION("""COMPUTED_VALUE"""),"OPTIMIST TIMONELES")</f>
        <v>OPTIMIST TIMONELES</v>
      </c>
      <c r="O346" s="6"/>
      <c r="P346" s="6">
        <f ca="1">IFERROR(__xludf.DUMMYFUNCTION("""COMPUTED_VALUE"""),3872)</f>
        <v>3872</v>
      </c>
      <c r="Q346" s="38"/>
      <c r="R346" s="38"/>
      <c r="S346" s="38"/>
      <c r="T346" s="38"/>
      <c r="U346" s="38"/>
      <c r="V346" s="38"/>
      <c r="W346" s="38"/>
      <c r="X346" s="40" t="str">
        <f ca="1">IFERROR(__xludf.DUMMYFUNCTION("""COMPUTED_VALUE"""),"OESDE  61 472762 5 02")</f>
        <v>OESDE  61 472762 5 02</v>
      </c>
      <c r="Y346" s="6" t="str">
        <f ca="1">IFERROR(__xludf.DUMMYFUNCTION("""COMPUTED_VALUE"""),"Si")</f>
        <v>Si</v>
      </c>
      <c r="Z346" s="38" t="str">
        <f ca="1">IFERROR(__xludf.DUMMYFUNCTION("""COMPUTED_VALUE"""),"Acepto")</f>
        <v>Acepto</v>
      </c>
      <c r="AA346" s="38" t="str">
        <f ca="1">IFERROR(__xludf.DUMMYFUNCTION("""COMPUTED_VALUE"""),"Terminado")</f>
        <v>Terminado</v>
      </c>
      <c r="AB346" s="38">
        <f ca="1">IFERROR(__xludf.DUMMYFUNCTION("""COMPUTED_VALUE"""),50000)</f>
        <v>50000</v>
      </c>
      <c r="AC346" s="6">
        <f ca="1">IFERROR(__xludf.DUMMYFUNCTION("""COMPUTED_VALUE"""),205547)</f>
        <v>205547</v>
      </c>
      <c r="AD346" s="6" t="str">
        <f ca="1">IFERROR(__xludf.DUMMYFUNCTION("""COMPUTED_VALUE"""),"TRF 06-09")</f>
        <v>TRF 06-09</v>
      </c>
      <c r="AE346" s="6"/>
      <c r="AF346" s="6"/>
    </row>
    <row r="347" spans="1:32" ht="13.2">
      <c r="A347" s="35">
        <f ca="1">IFERROR(__xludf.DUMMYFUNCTION("""COMPUTED_VALUE"""),45541.6612499768)</f>
        <v>45541.661249976802</v>
      </c>
      <c r="B347" s="36" t="str">
        <f ca="1">IFERROR(__xludf.DUMMYFUNCTION("""COMPUTED_VALUE"""),"Felipe")</f>
        <v>Felipe</v>
      </c>
      <c r="C347" s="36" t="str">
        <f ca="1">IFERROR(__xludf.DUMMYFUNCTION("""COMPUTED_VALUE"""),"Caivano")</f>
        <v>Caivano</v>
      </c>
      <c r="D347" s="36" t="str">
        <f ca="1">IFERROR(__xludf.DUMMYFUNCTION("""COMPUTED_VALUE"""),"Buenos aires")</f>
        <v>Buenos aires</v>
      </c>
      <c r="E347" s="38" t="str">
        <f ca="1">IFERROR(__xludf.DUMMYFUNCTION("""COMPUTED_VALUE"""),"ARG")</f>
        <v>ARG</v>
      </c>
      <c r="F347" s="38">
        <f ca="1">IFERROR(__xludf.DUMMYFUNCTION("""COMPUTED_VALUE"""),32133238)</f>
        <v>32133238</v>
      </c>
      <c r="G347" s="37">
        <f ca="1">IFERROR(__xludf.DUMMYFUNCTION("""COMPUTED_VALUE"""),31461)</f>
        <v>31461</v>
      </c>
      <c r="H347" s="38">
        <f ca="1">IFERROR(__xludf.DUMMYFUNCTION("""COMPUTED_VALUE"""),1557930144)</f>
        <v>1557930144</v>
      </c>
      <c r="I347" s="38"/>
      <c r="J347" s="38" t="str">
        <f ca="1">IFERROR(__xludf.DUMMYFUNCTION("""COMPUTED_VALUE"""),"felipecaivano @gmail.con")</f>
        <v>felipecaivano @gmail.con</v>
      </c>
      <c r="K347" s="38" t="str">
        <f ca="1">IFERROR(__xludf.DUMMYFUNCTION("""COMPUTED_VALUE"""),"Masculino")</f>
        <v>Masculino</v>
      </c>
      <c r="L347" s="38" t="str">
        <f ca="1">IFERROR(__xludf.DUMMYFUNCTION("""COMPUTED_VALUE"""),"No")</f>
        <v>No</v>
      </c>
      <c r="M347" s="38"/>
      <c r="N347" s="38" t="str">
        <f ca="1">IFERROR(__xludf.DUMMYFUNCTION("""COMPUTED_VALUE"""),"Star")</f>
        <v>Star</v>
      </c>
      <c r="O347" s="6"/>
      <c r="P347" s="6">
        <f ca="1">IFERROR(__xludf.DUMMYFUNCTION("""COMPUTED_VALUE"""),8551)</f>
        <v>8551</v>
      </c>
      <c r="Q347" s="38" t="str">
        <f ca="1">IFERROR(__xludf.DUMMYFUNCTION("""COMPUTED_VALUE"""),"Little italo ")</f>
        <v xml:space="preserve">Little italo </v>
      </c>
      <c r="R347" s="38" t="str">
        <f ca="1">IFERROR(__xludf.DUMMYFUNCTION("""COMPUTED_VALUE"""),"Juan Pablo percossi")</f>
        <v>Juan Pablo percossi</v>
      </c>
      <c r="S347" s="38" t="str">
        <f ca="1">IFERROR(__xludf.DUMMYFUNCTION("""COMPUTED_VALUE"""),"Felipe caivano")</f>
        <v>Felipe caivano</v>
      </c>
      <c r="T347" s="38"/>
      <c r="U347" s="38"/>
      <c r="V347" s="38"/>
      <c r="W347" s="38"/>
      <c r="X347" s="40"/>
      <c r="Y347" s="6" t="str">
        <f ca="1">IFERROR(__xludf.DUMMYFUNCTION("""COMPUTED_VALUE"""),"No")</f>
        <v>No</v>
      </c>
      <c r="Z347" s="38" t="str">
        <f ca="1">IFERROR(__xludf.DUMMYFUNCTION("""COMPUTED_VALUE"""),"Acepto")</f>
        <v>Acepto</v>
      </c>
      <c r="AA347" s="38" t="str">
        <f ca="1">IFERROR(__xludf.DUMMYFUNCTION("""COMPUTED_VALUE"""),"Repetido")</f>
        <v>Repetido</v>
      </c>
      <c r="AB347" s="38"/>
      <c r="AC347" s="6"/>
      <c r="AD347" s="6"/>
      <c r="AE347" s="6"/>
      <c r="AF347" s="6"/>
    </row>
    <row r="348" spans="1:32" ht="13.2">
      <c r="A348" s="35">
        <f ca="1">IFERROR(__xludf.DUMMYFUNCTION("""COMPUTED_VALUE"""),45541.6997219212)</f>
        <v>45541.699721921199</v>
      </c>
      <c r="B348" s="36" t="str">
        <f ca="1">IFERROR(__xludf.DUMMYFUNCTION("""COMPUTED_VALUE"""),"Joaquin ")</f>
        <v xml:space="preserve">Joaquin </v>
      </c>
      <c r="C348" s="36" t="str">
        <f ca="1">IFERROR(__xludf.DUMMYFUNCTION("""COMPUTED_VALUE"""),"Dono")</f>
        <v>Dono</v>
      </c>
      <c r="D348" s="36" t="str">
        <f ca="1">IFERROR(__xludf.DUMMYFUNCTION("""COMPUTED_VALUE"""),"Bs As")</f>
        <v>Bs As</v>
      </c>
      <c r="E348" s="38" t="str">
        <f ca="1">IFERROR(__xludf.DUMMYFUNCTION("""COMPUTED_VALUE"""),"ARG")</f>
        <v>ARG</v>
      </c>
      <c r="F348" s="38">
        <f ca="1">IFERROR(__xludf.DUMMYFUNCTION("""COMPUTED_VALUE"""),50320674)</f>
        <v>50320674</v>
      </c>
      <c r="G348" s="37">
        <f ca="1">IFERROR(__xludf.DUMMYFUNCTION("""COMPUTED_VALUE"""),40341)</f>
        <v>40341</v>
      </c>
      <c r="H348" s="38">
        <f ca="1">IFERROR(__xludf.DUMMYFUNCTION("""COMPUTED_VALUE"""),1165078788)</f>
        <v>1165078788</v>
      </c>
      <c r="I348" s="38">
        <f ca="1">IFERROR(__xludf.DUMMYFUNCTION("""COMPUTED_VALUE"""),1165078788)</f>
        <v>1165078788</v>
      </c>
      <c r="J348" s="38" t="str">
        <f ca="1">IFERROR(__xludf.DUMMYFUNCTION("""COMPUTED_VALUE"""),"hechi2000@yahoo.com.ar ")</f>
        <v xml:space="preserve">hechi2000@yahoo.com.ar </v>
      </c>
      <c r="K348" s="38" t="str">
        <f ca="1">IFERROR(__xludf.DUMMYFUNCTION("""COMPUTED_VALUE"""),"Masculino")</f>
        <v>Masculino</v>
      </c>
      <c r="L348" s="38" t="str">
        <f ca="1">IFERROR(__xludf.DUMMYFUNCTION("""COMPUTED_VALUE"""),"CVSI")</f>
        <v>CVSI</v>
      </c>
      <c r="M348" s="38"/>
      <c r="N348" s="38" t="str">
        <f ca="1">IFERROR(__xludf.DUMMYFUNCTION("""COMPUTED_VALUE"""),"OPTIMIST TIMONELES")</f>
        <v>OPTIMIST TIMONELES</v>
      </c>
      <c r="O348" s="6"/>
      <c r="P348" s="6">
        <f ca="1">IFERROR(__xludf.DUMMYFUNCTION("""COMPUTED_VALUE"""),3713)</f>
        <v>3713</v>
      </c>
      <c r="Q348" s="38"/>
      <c r="R348" s="38"/>
      <c r="S348" s="38"/>
      <c r="T348" s="38"/>
      <c r="U348" s="38"/>
      <c r="V348" s="38"/>
      <c r="W348" s="38"/>
      <c r="X348" s="40" t="str">
        <f ca="1">IFERROR(__xludf.DUMMYFUNCTION("""COMPUTED_VALUE"""),"Accord salud")</f>
        <v>Accord salud</v>
      </c>
      <c r="Y348" s="6" t="str">
        <f ca="1">IFERROR(__xludf.DUMMYFUNCTION("""COMPUTED_VALUE"""),"No")</f>
        <v>No</v>
      </c>
      <c r="Z348" s="38" t="str">
        <f ca="1">IFERROR(__xludf.DUMMYFUNCTION("""COMPUTED_VALUE"""),"Acepto")</f>
        <v>Acepto</v>
      </c>
      <c r="AA348" s="38" t="str">
        <f ca="1">IFERROR(__xludf.DUMMYFUNCTION("""COMPUTED_VALUE"""),"Pendiente")</f>
        <v>Pendiente</v>
      </c>
      <c r="AB348" s="38"/>
      <c r="AC348" s="6"/>
      <c r="AD348" s="6"/>
      <c r="AE348" s="6"/>
      <c r="AF348" s="6"/>
    </row>
    <row r="349" spans="1:32" ht="13.2">
      <c r="A349" s="35">
        <f ca="1">IFERROR(__xludf.DUMMYFUNCTION("""COMPUTED_VALUE"""),45541.7099878125)</f>
        <v>45541.709987812501</v>
      </c>
      <c r="B349" s="36" t="str">
        <f ca="1">IFERROR(__xludf.DUMMYFUNCTION("""COMPUTED_VALUE"""),"Manu")</f>
        <v>Manu</v>
      </c>
      <c r="C349" s="36" t="str">
        <f ca="1">IFERROR(__xludf.DUMMYFUNCTION("""COMPUTED_VALUE"""),"Cichowolski")</f>
        <v>Cichowolski</v>
      </c>
      <c r="D349" s="36" t="str">
        <f ca="1">IFERROR(__xludf.DUMMYFUNCTION("""COMPUTED_VALUE"""),"CABA")</f>
        <v>CABA</v>
      </c>
      <c r="E349" s="38" t="str">
        <f ca="1">IFERROR(__xludf.DUMMYFUNCTION("""COMPUTED_VALUE"""),"ARG")</f>
        <v>ARG</v>
      </c>
      <c r="F349" s="38">
        <f ca="1">IFERROR(__xludf.DUMMYFUNCTION("""COMPUTED_VALUE"""),50155666)</f>
        <v>50155666</v>
      </c>
      <c r="G349" s="37">
        <f ca="1">IFERROR(__xludf.DUMMYFUNCTION("""COMPUTED_VALUE"""),40202)</f>
        <v>40202</v>
      </c>
      <c r="H349" s="38">
        <f ca="1">IFERROR(__xludf.DUMMYFUNCTION("""COMPUTED_VALUE"""),1132341376)</f>
        <v>1132341376</v>
      </c>
      <c r="I349" s="38">
        <f ca="1">IFERROR(__xludf.DUMMYFUNCTION("""COMPUTED_VALUE"""),1156419068)</f>
        <v>1156419068</v>
      </c>
      <c r="J349" s="38" t="str">
        <f ca="1">IFERROR(__xludf.DUMMYFUNCTION("""COMPUTED_VALUE"""),"miguelcicho@gmail.com")</f>
        <v>miguelcicho@gmail.com</v>
      </c>
      <c r="K349" s="38" t="str">
        <f ca="1">IFERROR(__xludf.DUMMYFUNCTION("""COMPUTED_VALUE"""),"Masculino")</f>
        <v>Masculino</v>
      </c>
      <c r="L349" s="38" t="str">
        <f ca="1">IFERROR(__xludf.DUMMYFUNCTION("""COMPUTED_VALUE"""),"CPNLB")</f>
        <v>CPNLB</v>
      </c>
      <c r="M349" s="38"/>
      <c r="N349" s="38" t="str">
        <f ca="1">IFERROR(__xludf.DUMMYFUNCTION("""COMPUTED_VALUE"""),"OPTIMIST TIMONELES")</f>
        <v>OPTIMIST TIMONELES</v>
      </c>
      <c r="O349" s="6"/>
      <c r="P349" s="6">
        <f ca="1">IFERROR(__xludf.DUMMYFUNCTION("""COMPUTED_VALUE"""),3889)</f>
        <v>3889</v>
      </c>
      <c r="Q349" s="38"/>
      <c r="R349" s="38"/>
      <c r="S349" s="38"/>
      <c r="T349" s="38"/>
      <c r="U349" s="38"/>
      <c r="V349" s="38"/>
      <c r="W349" s="38"/>
      <c r="X349" s="40" t="str">
        <f ca="1">IFERROR(__xludf.DUMMYFUNCTION("""COMPUTED_VALUE"""),"Dosuba")</f>
        <v>Dosuba</v>
      </c>
      <c r="Y349" s="6" t="str">
        <f ca="1">IFERROR(__xludf.DUMMYFUNCTION("""COMPUTED_VALUE"""),"Si")</f>
        <v>Si</v>
      </c>
      <c r="Z349" s="38" t="str">
        <f ca="1">IFERROR(__xludf.DUMMYFUNCTION("""COMPUTED_VALUE"""),"Acepto")</f>
        <v>Acepto</v>
      </c>
      <c r="AA349" s="38" t="str">
        <f ca="1">IFERROR(__xludf.DUMMYFUNCTION("""COMPUTED_VALUE"""),"Pendiente")</f>
        <v>Pendiente</v>
      </c>
      <c r="AB349" s="38"/>
      <c r="AC349" s="6"/>
      <c r="AD349" s="6"/>
      <c r="AE349" s="6"/>
      <c r="AF349" s="6"/>
    </row>
    <row r="350" spans="1:32" ht="13.2">
      <c r="A350" s="35">
        <f ca="1">IFERROR(__xludf.DUMMYFUNCTION("""COMPUTED_VALUE"""),45541.7113074884)</f>
        <v>45541.711307488396</v>
      </c>
      <c r="B350" s="36" t="str">
        <f ca="1">IFERROR(__xludf.DUMMYFUNCTION("""COMPUTED_VALUE"""),"Santi")</f>
        <v>Santi</v>
      </c>
      <c r="C350" s="36" t="str">
        <f ca="1">IFERROR(__xludf.DUMMYFUNCTION("""COMPUTED_VALUE"""),"Cichowolski")</f>
        <v>Cichowolski</v>
      </c>
      <c r="D350" s="36" t="str">
        <f ca="1">IFERROR(__xludf.DUMMYFUNCTION("""COMPUTED_VALUE"""),"caba")</f>
        <v>caba</v>
      </c>
      <c r="E350" s="38" t="str">
        <f ca="1">IFERROR(__xludf.DUMMYFUNCTION("""COMPUTED_VALUE"""),"ARG")</f>
        <v>ARG</v>
      </c>
      <c r="F350" s="38">
        <f ca="1">IFERROR(__xludf.DUMMYFUNCTION("""COMPUTED_VALUE"""),53236907)</f>
        <v>53236907</v>
      </c>
      <c r="G350" s="37">
        <f ca="1">IFERROR(__xludf.DUMMYFUNCTION("""COMPUTED_VALUE"""),41375)</f>
        <v>41375</v>
      </c>
      <c r="H350" s="38">
        <f ca="1">IFERROR(__xludf.DUMMYFUNCTION("""COMPUTED_VALUE"""),1132341376)</f>
        <v>1132341376</v>
      </c>
      <c r="I350" s="38">
        <f ca="1">IFERROR(__xludf.DUMMYFUNCTION("""COMPUTED_VALUE"""),1156419068)</f>
        <v>1156419068</v>
      </c>
      <c r="J350" s="38" t="str">
        <f ca="1">IFERROR(__xludf.DUMMYFUNCTION("""COMPUTED_VALUE"""),"miguelcicho@gmail.com")</f>
        <v>miguelcicho@gmail.com</v>
      </c>
      <c r="K350" s="38" t="str">
        <f ca="1">IFERROR(__xludf.DUMMYFUNCTION("""COMPUTED_VALUE"""),"Masculino")</f>
        <v>Masculino</v>
      </c>
      <c r="L350" s="38" t="str">
        <f ca="1">IFERROR(__xludf.DUMMYFUNCTION("""COMPUTED_VALUE"""),"CPNLB")</f>
        <v>CPNLB</v>
      </c>
      <c r="M350" s="38"/>
      <c r="N350" s="38" t="str">
        <f ca="1">IFERROR(__xludf.DUMMYFUNCTION("""COMPUTED_VALUE"""),"OPTIMIST TIMONELES")</f>
        <v>OPTIMIST TIMONELES</v>
      </c>
      <c r="O350" s="6"/>
      <c r="P350" s="6">
        <f ca="1">IFERROR(__xludf.DUMMYFUNCTION("""COMPUTED_VALUE"""),3992)</f>
        <v>3992</v>
      </c>
      <c r="Q350" s="38"/>
      <c r="R350" s="38"/>
      <c r="S350" s="38"/>
      <c r="T350" s="38"/>
      <c r="U350" s="38"/>
      <c r="V350" s="38"/>
      <c r="W350" s="38"/>
      <c r="X350" s="40" t="str">
        <f ca="1">IFERROR(__xludf.DUMMYFUNCTION("""COMPUTED_VALUE"""),"Dosuba")</f>
        <v>Dosuba</v>
      </c>
      <c r="Y350" s="6" t="str">
        <f ca="1">IFERROR(__xludf.DUMMYFUNCTION("""COMPUTED_VALUE"""),"Si")</f>
        <v>Si</v>
      </c>
      <c r="Z350" s="38" t="str">
        <f ca="1">IFERROR(__xludf.DUMMYFUNCTION("""COMPUTED_VALUE"""),"Acepto")</f>
        <v>Acepto</v>
      </c>
      <c r="AA350" s="38" t="str">
        <f ca="1">IFERROR(__xludf.DUMMYFUNCTION("""COMPUTED_VALUE"""),"Pendiente")</f>
        <v>Pendiente</v>
      </c>
      <c r="AB350" s="38"/>
      <c r="AC350" s="6"/>
      <c r="AD350" s="6"/>
      <c r="AE350" s="6"/>
      <c r="AF350" s="6"/>
    </row>
    <row r="351" spans="1:32" ht="13.2">
      <c r="A351" s="35">
        <f ca="1">IFERROR(__xludf.DUMMYFUNCTION("""COMPUTED_VALUE"""),45541.7710758333)</f>
        <v>45541.771075833298</v>
      </c>
      <c r="B351" s="36" t="str">
        <f ca="1">IFERROR(__xludf.DUMMYFUNCTION("""COMPUTED_VALUE"""),"Abril")</f>
        <v>Abril</v>
      </c>
      <c r="C351" s="36" t="str">
        <f ca="1">IFERROR(__xludf.DUMMYFUNCTION("""COMPUTED_VALUE"""),"Baldi")</f>
        <v>Baldi</v>
      </c>
      <c r="D351" s="36" t="str">
        <f ca="1">IFERROR(__xludf.DUMMYFUNCTION("""COMPUTED_VALUE"""),"CABA")</f>
        <v>CABA</v>
      </c>
      <c r="E351" s="38" t="str">
        <f ca="1">IFERROR(__xludf.DUMMYFUNCTION("""COMPUTED_VALUE"""),"ARG")</f>
        <v>ARG</v>
      </c>
      <c r="F351" s="38">
        <f ca="1">IFERROR(__xludf.DUMMYFUNCTION("""COMPUTED_VALUE"""),51123601)</f>
        <v>51123601</v>
      </c>
      <c r="G351" s="37">
        <f ca="1">IFERROR(__xludf.DUMMYFUNCTION("""COMPUTED_VALUE"""),40658)</f>
        <v>40658</v>
      </c>
      <c r="H351" s="38">
        <f ca="1">IFERROR(__xludf.DUMMYFUNCTION("""COMPUTED_VALUE"""),561273635)</f>
        <v>561273635</v>
      </c>
      <c r="I351" s="38">
        <f ca="1">IFERROR(__xludf.DUMMYFUNCTION("""COMPUTED_VALUE"""),561273635)</f>
        <v>561273635</v>
      </c>
      <c r="J351" s="38" t="str">
        <f ca="1">IFERROR(__xludf.DUMMYFUNCTION("""COMPUTED_VALUE"""),"baldijulio@hotmail.com")</f>
        <v>baldijulio@hotmail.com</v>
      </c>
      <c r="K351" s="38" t="str">
        <f ca="1">IFERROR(__xludf.DUMMYFUNCTION("""COMPUTED_VALUE"""),"Femenino")</f>
        <v>Femenino</v>
      </c>
      <c r="L351" s="38" t="str">
        <f ca="1">IFERROR(__xludf.DUMMYFUNCTION("""COMPUTED_VALUE"""),"YCA")</f>
        <v>YCA</v>
      </c>
      <c r="M351" s="38" t="str">
        <f ca="1">IFERROR(__xludf.DUMMYFUNCTION("""COMPUTED_VALUE"""),"Femenino")</f>
        <v>Femenino</v>
      </c>
      <c r="N351" s="38" t="str">
        <f ca="1">IFERROR(__xludf.DUMMYFUNCTION("""COMPUTED_VALUE"""),"OPTIMIST TIMONELES")</f>
        <v>OPTIMIST TIMONELES</v>
      </c>
      <c r="O351" s="6"/>
      <c r="P351" s="6">
        <f ca="1">IFERROR(__xludf.DUMMYFUNCTION("""COMPUTED_VALUE"""),4082)</f>
        <v>4082</v>
      </c>
      <c r="Q351" s="38" t="str">
        <f ca="1">IFERROR(__xludf.DUMMYFUNCTION("""COMPUTED_VALUE"""),"Madame Queen")</f>
        <v>Madame Queen</v>
      </c>
      <c r="R351" s="38"/>
      <c r="S351" s="38"/>
      <c r="T351" s="38"/>
      <c r="U351" s="38"/>
      <c r="V351" s="38"/>
      <c r="W351" s="38"/>
      <c r="X351" s="40" t="str">
        <f ca="1">IFERROR(__xludf.DUMMYFUNCTION("""COMPUTED_VALUE"""),"DOSUBA")</f>
        <v>DOSUBA</v>
      </c>
      <c r="Y351" s="6" t="str">
        <f ca="1">IFERROR(__xludf.DUMMYFUNCTION("""COMPUTED_VALUE"""),"No")</f>
        <v>No</v>
      </c>
      <c r="Z351" s="38" t="str">
        <f ca="1">IFERROR(__xludf.DUMMYFUNCTION("""COMPUTED_VALUE"""),"Acepto")</f>
        <v>Acepto</v>
      </c>
      <c r="AA351" s="38" t="str">
        <f ca="1">IFERROR(__xludf.DUMMYFUNCTION("""COMPUTED_VALUE"""),"Pendiente")</f>
        <v>Pendiente</v>
      </c>
      <c r="AB351" s="38"/>
      <c r="AC351" s="6"/>
      <c r="AD351" s="6"/>
      <c r="AE351" s="6"/>
      <c r="AF351" s="6"/>
    </row>
    <row r="352" spans="1:32" ht="13.2">
      <c r="A352" s="35">
        <f ca="1">IFERROR(__xludf.DUMMYFUNCTION("""COMPUTED_VALUE"""),45541.7726052662)</f>
        <v>45541.772605266196</v>
      </c>
      <c r="B352" s="36" t="str">
        <f ca="1">IFERROR(__xludf.DUMMYFUNCTION("""COMPUTED_VALUE"""),"Franco ")</f>
        <v xml:space="preserve">Franco </v>
      </c>
      <c r="C352" s="36" t="str">
        <f ca="1">IFERROR(__xludf.DUMMYFUNCTION("""COMPUTED_VALUE"""),"Baldi")</f>
        <v>Baldi</v>
      </c>
      <c r="D352" s="36" t="str">
        <f ca="1">IFERROR(__xludf.DUMMYFUNCTION("""COMPUTED_VALUE"""),"CABA")</f>
        <v>CABA</v>
      </c>
      <c r="E352" s="38" t="str">
        <f ca="1">IFERROR(__xludf.DUMMYFUNCTION("""COMPUTED_VALUE"""),"ARG")</f>
        <v>ARG</v>
      </c>
      <c r="F352" s="38">
        <f ca="1">IFERROR(__xludf.DUMMYFUNCTION("""COMPUTED_VALUE"""),53722572)</f>
        <v>53722572</v>
      </c>
      <c r="G352" s="37">
        <f ca="1">IFERROR(__xludf.DUMMYFUNCTION("""COMPUTED_VALUE"""),41677)</f>
        <v>41677</v>
      </c>
      <c r="H352" s="38">
        <f ca="1">IFERROR(__xludf.DUMMYFUNCTION("""COMPUTED_VALUE"""),561273635)</f>
        <v>561273635</v>
      </c>
      <c r="I352" s="38">
        <f ca="1">IFERROR(__xludf.DUMMYFUNCTION("""COMPUTED_VALUE"""),561273635)</f>
        <v>561273635</v>
      </c>
      <c r="J352" s="38" t="str">
        <f ca="1">IFERROR(__xludf.DUMMYFUNCTION("""COMPUTED_VALUE"""),"baldijulio@hotmail.com")</f>
        <v>baldijulio@hotmail.com</v>
      </c>
      <c r="K352" s="38" t="str">
        <f ca="1">IFERROR(__xludf.DUMMYFUNCTION("""COMPUTED_VALUE"""),"Masculino")</f>
        <v>Masculino</v>
      </c>
      <c r="L352" s="38" t="str">
        <f ca="1">IFERROR(__xludf.DUMMYFUNCTION("""COMPUTED_VALUE"""),"YCA")</f>
        <v>YCA</v>
      </c>
      <c r="M352" s="38" t="str">
        <f ca="1">IFERROR(__xludf.DUMMYFUNCTION("""COMPUTED_VALUE"""),"Interior (Optimist)")</f>
        <v>Interior (Optimist)</v>
      </c>
      <c r="N352" s="38" t="str">
        <f ca="1">IFERROR(__xludf.DUMMYFUNCTION("""COMPUTED_VALUE"""),"OPTIMIST PRINCIPIANTES")</f>
        <v>OPTIMIST PRINCIPIANTES</v>
      </c>
      <c r="O352" s="6"/>
      <c r="P352" s="6">
        <f ca="1">IFERROR(__xludf.DUMMYFUNCTION("""COMPUTED_VALUE"""),3532)</f>
        <v>3532</v>
      </c>
      <c r="Q352" s="38" t="str">
        <f ca="1">IFERROR(__xludf.DUMMYFUNCTION("""COMPUTED_VALUE"""),"FENIX")</f>
        <v>FENIX</v>
      </c>
      <c r="R352" s="38"/>
      <c r="S352" s="38"/>
      <c r="T352" s="38"/>
      <c r="U352" s="38"/>
      <c r="V352" s="38"/>
      <c r="W352" s="38"/>
      <c r="X352" s="40" t="str">
        <f ca="1">IFERROR(__xludf.DUMMYFUNCTION("""COMPUTED_VALUE"""),"DOSUBA")</f>
        <v>DOSUBA</v>
      </c>
      <c r="Y352" s="6" t="str">
        <f ca="1">IFERROR(__xludf.DUMMYFUNCTION("""COMPUTED_VALUE"""),"No")</f>
        <v>No</v>
      </c>
      <c r="Z352" s="38" t="str">
        <f ca="1">IFERROR(__xludf.DUMMYFUNCTION("""COMPUTED_VALUE"""),"Acepto")</f>
        <v>Acepto</v>
      </c>
      <c r="AA352" s="38" t="str">
        <f ca="1">IFERROR(__xludf.DUMMYFUNCTION("""COMPUTED_VALUE"""),"Pendiente")</f>
        <v>Pendiente</v>
      </c>
      <c r="AB352" s="38"/>
      <c r="AC352" s="6"/>
      <c r="AD352" s="6"/>
      <c r="AE352" s="6"/>
      <c r="AF352" s="6"/>
    </row>
    <row r="353" spans="1:32" ht="13.2">
      <c r="A353" s="35">
        <f ca="1">IFERROR(__xludf.DUMMYFUNCTION("""COMPUTED_VALUE"""),45541.8190563194)</f>
        <v>45541.8190563194</v>
      </c>
      <c r="B353" s="36" t="str">
        <f ca="1">IFERROR(__xludf.DUMMYFUNCTION("""COMPUTED_VALUE"""),"GIULIANA")</f>
        <v>GIULIANA</v>
      </c>
      <c r="C353" s="36" t="str">
        <f ca="1">IFERROR(__xludf.DUMMYFUNCTION("""COMPUTED_VALUE"""),"CAREAGA COTTINI")</f>
        <v>CAREAGA COTTINI</v>
      </c>
      <c r="D353" s="36" t="str">
        <f ca="1">IFERROR(__xludf.DUMMYFUNCTION("""COMPUTED_VALUE"""),"SAN ISIDRO")</f>
        <v>SAN ISIDRO</v>
      </c>
      <c r="E353" s="38" t="str">
        <f ca="1">IFERROR(__xludf.DUMMYFUNCTION("""COMPUTED_VALUE"""),"ARG")</f>
        <v>ARG</v>
      </c>
      <c r="F353" s="38">
        <f ca="1">IFERROR(__xludf.DUMMYFUNCTION("""COMPUTED_VALUE"""),53208064)</f>
        <v>53208064</v>
      </c>
      <c r="G353" s="37">
        <f ca="1">IFERROR(__xludf.DUMMYFUNCTION("""COMPUTED_VALUE"""),41417)</f>
        <v>41417</v>
      </c>
      <c r="H353" s="38" t="str">
        <f ca="1">IFERROR(__xludf.DUMMYFUNCTION("""COMPUTED_VALUE"""),"0111555026751")</f>
        <v>0111555026751</v>
      </c>
      <c r="I353" s="38" t="str">
        <f ca="1">IFERROR(__xludf.DUMMYFUNCTION("""COMPUTED_VALUE"""),"0111555026751")</f>
        <v>0111555026751</v>
      </c>
      <c r="J353" s="38" t="str">
        <f ca="1">IFERROR(__xludf.DUMMYFUNCTION("""COMPUTED_VALUE"""),"estudiocareaga@gmail.com")</f>
        <v>estudiocareaga@gmail.com</v>
      </c>
      <c r="K353" s="38" t="str">
        <f ca="1">IFERROR(__xludf.DUMMYFUNCTION("""COMPUTED_VALUE"""),"Femenino")</f>
        <v>Femenino</v>
      </c>
      <c r="L353" s="38" t="str">
        <f ca="1">IFERROR(__xludf.DUMMYFUNCTION("""COMPUTED_VALUE"""),"CNSE")</f>
        <v>CNSE</v>
      </c>
      <c r="M353" s="38" t="str">
        <f ca="1">IFERROR(__xludf.DUMMYFUNCTION("""COMPUTED_VALUE"""),"Femenino")</f>
        <v>Femenino</v>
      </c>
      <c r="N353" s="38" t="str">
        <f ca="1">IFERROR(__xludf.DUMMYFUNCTION("""COMPUTED_VALUE"""),"OPTIMIST PRINCIPIANTES")</f>
        <v>OPTIMIST PRINCIPIANTES</v>
      </c>
      <c r="O353" s="6"/>
      <c r="P353" s="6">
        <f ca="1">IFERROR(__xludf.DUMMYFUNCTION("""COMPUTED_VALUE"""),3458)</f>
        <v>3458</v>
      </c>
      <c r="Q353" s="38" t="str">
        <f ca="1">IFERROR(__xludf.DUMMYFUNCTION("""COMPUTED_VALUE"""),"FLASHITO")</f>
        <v>FLASHITO</v>
      </c>
      <c r="R353" s="38"/>
      <c r="S353" s="38"/>
      <c r="T353" s="38"/>
      <c r="U353" s="38"/>
      <c r="V353" s="38"/>
      <c r="W353" s="38"/>
      <c r="X353" s="40" t="str">
        <f ca="1">IFERROR(__xludf.DUMMYFUNCTION("""COMPUTED_VALUE"""),"OMINT")</f>
        <v>OMINT</v>
      </c>
      <c r="Y353" s="6" t="str">
        <f ca="1">IFERROR(__xludf.DUMMYFUNCTION("""COMPUTED_VALUE"""),"Si")</f>
        <v>Si</v>
      </c>
      <c r="Z353" s="38" t="str">
        <f ca="1">IFERROR(__xludf.DUMMYFUNCTION("""COMPUTED_VALUE"""),"Acepto")</f>
        <v>Acepto</v>
      </c>
      <c r="AA353" s="38" t="str">
        <f ca="1">IFERROR(__xludf.DUMMYFUNCTION("""COMPUTED_VALUE"""),"Pendiente")</f>
        <v>Pendiente</v>
      </c>
      <c r="AB353" s="38"/>
      <c r="AC353" s="6"/>
      <c r="AD353" s="6"/>
      <c r="AE353" s="6"/>
      <c r="AF353" s="6"/>
    </row>
    <row r="354" spans="1:32" ht="13.2">
      <c r="A354" s="35">
        <f ca="1">IFERROR(__xludf.DUMMYFUNCTION("""COMPUTED_VALUE"""),45541.8202491666)</f>
        <v>45541.820249166602</v>
      </c>
      <c r="B354" s="36" t="str">
        <f ca="1">IFERROR(__xludf.DUMMYFUNCTION("""COMPUTED_VALUE"""),"Maria Dolores")</f>
        <v>Maria Dolores</v>
      </c>
      <c r="C354" s="36" t="str">
        <f ca="1">IFERROR(__xludf.DUMMYFUNCTION("""COMPUTED_VALUE"""),"Azar")</f>
        <v>Azar</v>
      </c>
      <c r="D354" s="36" t="str">
        <f ca="1">IFERROR(__xludf.DUMMYFUNCTION("""COMPUTED_VALUE"""),"La Plata")</f>
        <v>La Plata</v>
      </c>
      <c r="E354" s="38" t="str">
        <f ca="1">IFERROR(__xludf.DUMMYFUNCTION("""COMPUTED_VALUE"""),"ARG")</f>
        <v>ARG</v>
      </c>
      <c r="F354" s="38">
        <f ca="1">IFERROR(__xludf.DUMMYFUNCTION("""COMPUTED_VALUE"""),50653382)</f>
        <v>50653382</v>
      </c>
      <c r="G354" s="37">
        <f ca="1">IFERROR(__xludf.DUMMYFUNCTION("""COMPUTED_VALUE"""),40478)</f>
        <v>40478</v>
      </c>
      <c r="H354" s="38">
        <f ca="1">IFERROR(__xludf.DUMMYFUNCTION("""COMPUTED_VALUE"""),2215749477)</f>
        <v>2215749477</v>
      </c>
      <c r="I354" s="38">
        <f ca="1">IFERROR(__xludf.DUMMYFUNCTION("""COMPUTED_VALUE"""),2216426873)</f>
        <v>2216426873</v>
      </c>
      <c r="J354" s="38" t="str">
        <f ca="1">IFERROR(__xludf.DUMMYFUNCTION("""COMPUTED_VALUE"""),"od.emilioazar@gmail.com")</f>
        <v>od.emilioazar@gmail.com</v>
      </c>
      <c r="K354" s="38" t="str">
        <f ca="1">IFERROR(__xludf.DUMMYFUNCTION("""COMPUTED_VALUE"""),"Femenino")</f>
        <v>Femenino</v>
      </c>
      <c r="L354" s="38" t="str">
        <f ca="1">IFERROR(__xludf.DUMMYFUNCTION("""COMPUTED_VALUE"""),"CRLP")</f>
        <v>CRLP</v>
      </c>
      <c r="M354" s="38" t="str">
        <f ca="1">IFERROR(__xludf.DUMMYFUNCTION("""COMPUTED_VALUE"""),"Femenino, Interior (Optimist)")</f>
        <v>Femenino, Interior (Optimist)</v>
      </c>
      <c r="N354" s="38" t="str">
        <f ca="1">IFERROR(__xludf.DUMMYFUNCTION("""COMPUTED_VALUE"""),"OPTIMIST PRINCIPIANTES")</f>
        <v>OPTIMIST PRINCIPIANTES</v>
      </c>
      <c r="O354" s="6"/>
      <c r="P354" s="6">
        <f ca="1">IFERROR(__xludf.DUMMYFUNCTION("""COMPUTED_VALUE"""),3402)</f>
        <v>3402</v>
      </c>
      <c r="Q354" s="38"/>
      <c r="R354" s="38" t="str">
        <f ca="1">IFERROR(__xludf.DUMMYFUNCTION("""COMPUTED_VALUE"""),"Maria Dolores Azar")</f>
        <v>Maria Dolores Azar</v>
      </c>
      <c r="S354" s="38"/>
      <c r="T354" s="38"/>
      <c r="U354" s="38"/>
      <c r="V354" s="38"/>
      <c r="W354" s="38"/>
      <c r="X354" s="40"/>
      <c r="Y354" s="6" t="str">
        <f ca="1">IFERROR(__xludf.DUMMYFUNCTION("""COMPUTED_VALUE"""),"Si")</f>
        <v>Si</v>
      </c>
      <c r="Z354" s="38" t="str">
        <f ca="1">IFERROR(__xludf.DUMMYFUNCTION("""COMPUTED_VALUE"""),"Acepto")</f>
        <v>Acepto</v>
      </c>
      <c r="AA354" s="38" t="str">
        <f ca="1">IFERROR(__xludf.DUMMYFUNCTION("""COMPUTED_VALUE"""),"Pendiente")</f>
        <v>Pendiente</v>
      </c>
      <c r="AB354" s="38"/>
      <c r="AC354" s="6"/>
      <c r="AD354" s="6"/>
      <c r="AE354" s="6"/>
      <c r="AF354" s="6"/>
    </row>
    <row r="355" spans="1:32" ht="13.2">
      <c r="A355" s="35">
        <f ca="1">IFERROR(__xludf.DUMMYFUNCTION("""COMPUTED_VALUE"""),45541.8225701041)</f>
        <v>45541.822570104101</v>
      </c>
      <c r="B355" s="36" t="str">
        <f ca="1">IFERROR(__xludf.DUMMYFUNCTION("""COMPUTED_VALUE"""),"Maria Josefina")</f>
        <v>Maria Josefina</v>
      </c>
      <c r="C355" s="36" t="str">
        <f ca="1">IFERROR(__xludf.DUMMYFUNCTION("""COMPUTED_VALUE"""),"Azar")</f>
        <v>Azar</v>
      </c>
      <c r="D355" s="36" t="str">
        <f ca="1">IFERROR(__xludf.DUMMYFUNCTION("""COMPUTED_VALUE"""),"La Plata")</f>
        <v>La Plata</v>
      </c>
      <c r="E355" s="38" t="str">
        <f ca="1">IFERROR(__xludf.DUMMYFUNCTION("""COMPUTED_VALUE"""),"ARG")</f>
        <v>ARG</v>
      </c>
      <c r="F355" s="38">
        <f ca="1">IFERROR(__xludf.DUMMYFUNCTION("""COMPUTED_VALUE"""),53301205)</f>
        <v>53301205</v>
      </c>
      <c r="G355" s="37">
        <f ca="1">IFERROR(__xludf.DUMMYFUNCTION("""COMPUTED_VALUE"""),41454)</f>
        <v>41454</v>
      </c>
      <c r="H355" s="38">
        <f ca="1">IFERROR(__xludf.DUMMYFUNCTION("""COMPUTED_VALUE"""),2215749477)</f>
        <v>2215749477</v>
      </c>
      <c r="I355" s="38">
        <f ca="1">IFERROR(__xludf.DUMMYFUNCTION("""COMPUTED_VALUE"""),2216426873)</f>
        <v>2216426873</v>
      </c>
      <c r="J355" s="38" t="str">
        <f ca="1">IFERROR(__xludf.DUMMYFUNCTION("""COMPUTED_VALUE"""),"od.emilioazar@gmail.com")</f>
        <v>od.emilioazar@gmail.com</v>
      </c>
      <c r="K355" s="38" t="str">
        <f ca="1">IFERROR(__xludf.DUMMYFUNCTION("""COMPUTED_VALUE"""),"Femenino")</f>
        <v>Femenino</v>
      </c>
      <c r="L355" s="38" t="str">
        <f ca="1">IFERROR(__xludf.DUMMYFUNCTION("""COMPUTED_VALUE"""),"CRLP")</f>
        <v>CRLP</v>
      </c>
      <c r="M355" s="38" t="str">
        <f ca="1">IFERROR(__xludf.DUMMYFUNCTION("""COMPUTED_VALUE"""),"Femenino, Interior (Optimist)")</f>
        <v>Femenino, Interior (Optimist)</v>
      </c>
      <c r="N355" s="38" t="str">
        <f ca="1">IFERROR(__xludf.DUMMYFUNCTION("""COMPUTED_VALUE"""),"OPTIMIST PRINCIPIANTES")</f>
        <v>OPTIMIST PRINCIPIANTES</v>
      </c>
      <c r="O355" s="6"/>
      <c r="P355" s="6">
        <f ca="1">IFERROR(__xludf.DUMMYFUNCTION("""COMPUTED_VALUE"""),3203)</f>
        <v>3203</v>
      </c>
      <c r="Q355" s="38"/>
      <c r="R355" s="38" t="str">
        <f ca="1">IFERROR(__xludf.DUMMYFUNCTION("""COMPUTED_VALUE"""),"Maria Josefina Azar")</f>
        <v>Maria Josefina Azar</v>
      </c>
      <c r="S355" s="38"/>
      <c r="T355" s="38"/>
      <c r="U355" s="38"/>
      <c r="V355" s="38"/>
      <c r="W355" s="38"/>
      <c r="X355" s="40"/>
      <c r="Y355" s="6" t="str">
        <f ca="1">IFERROR(__xludf.DUMMYFUNCTION("""COMPUTED_VALUE"""),"Si")</f>
        <v>Si</v>
      </c>
      <c r="Z355" s="38" t="str">
        <f ca="1">IFERROR(__xludf.DUMMYFUNCTION("""COMPUTED_VALUE"""),"Acepto")</f>
        <v>Acepto</v>
      </c>
      <c r="AA355" s="38" t="str">
        <f ca="1">IFERROR(__xludf.DUMMYFUNCTION("""COMPUTED_VALUE"""),"Pendiente")</f>
        <v>Pendiente</v>
      </c>
      <c r="AB355" s="38"/>
      <c r="AC355" s="6"/>
      <c r="AD355" s="6"/>
      <c r="AE355" s="6"/>
      <c r="AF355" s="6"/>
    </row>
    <row r="356" spans="1:32" ht="13.2">
      <c r="A356" s="35">
        <f ca="1">IFERROR(__xludf.DUMMYFUNCTION("""COMPUTED_VALUE"""),45541.8254161226)</f>
        <v>45541.8254161226</v>
      </c>
      <c r="B356" s="36" t="str">
        <f ca="1">IFERROR(__xludf.DUMMYFUNCTION("""COMPUTED_VALUE"""),"Catalina")</f>
        <v>Catalina</v>
      </c>
      <c r="C356" s="36" t="str">
        <f ca="1">IFERROR(__xludf.DUMMYFUNCTION("""COMPUTED_VALUE"""),"Gomez")</f>
        <v>Gomez</v>
      </c>
      <c r="D356" s="36" t="str">
        <f ca="1">IFERROR(__xludf.DUMMYFUNCTION("""COMPUTED_VALUE"""),"San Pedro")</f>
        <v>San Pedro</v>
      </c>
      <c r="E356" s="38" t="str">
        <f ca="1">IFERROR(__xludf.DUMMYFUNCTION("""COMPUTED_VALUE"""),"ARG")</f>
        <v>ARG</v>
      </c>
      <c r="F356" s="38">
        <f ca="1">IFERROR(__xludf.DUMMYFUNCTION("""COMPUTED_VALUE"""),51049622)</f>
        <v>51049622</v>
      </c>
      <c r="G356" s="37">
        <f ca="1">IFERROR(__xludf.DUMMYFUNCTION("""COMPUTED_VALUE"""),40751)</f>
        <v>40751</v>
      </c>
      <c r="H356" s="38">
        <f ca="1">IFERROR(__xludf.DUMMYFUNCTION("""COMPUTED_VALUE"""),3329310498)</f>
        <v>3329310498</v>
      </c>
      <c r="I356" s="38">
        <f ca="1">IFERROR(__xludf.DUMMYFUNCTION("""COMPUTED_VALUE"""),15605497)</f>
        <v>15605497</v>
      </c>
      <c r="J356" s="38" t="str">
        <f ca="1">IFERROR(__xludf.DUMMYFUNCTION("""COMPUTED_VALUE"""),"noelmuntane@yahoo.es")</f>
        <v>noelmuntane@yahoo.es</v>
      </c>
      <c r="K356" s="38" t="str">
        <f ca="1">IFERROR(__xludf.DUMMYFUNCTION("""COMPUTED_VALUE"""),"Femenino")</f>
        <v>Femenino</v>
      </c>
      <c r="L356" s="38" t="str">
        <f ca="1">IFERROR(__xludf.DUMMYFUNCTION("""COMPUTED_VALUE"""),"CNSP")</f>
        <v>CNSP</v>
      </c>
      <c r="M356" s="38" t="str">
        <f ca="1">IFERROR(__xludf.DUMMYFUNCTION("""COMPUTED_VALUE"""),"Femenino, Interior (Optimist)")</f>
        <v>Femenino, Interior (Optimist)</v>
      </c>
      <c r="N356" s="38" t="str">
        <f ca="1">IFERROR(__xludf.DUMMYFUNCTION("""COMPUTED_VALUE"""),"OPTIMIST TIMONELES")</f>
        <v>OPTIMIST TIMONELES</v>
      </c>
      <c r="O356" s="6"/>
      <c r="P356" s="6">
        <f ca="1">IFERROR(__xludf.DUMMYFUNCTION("""COMPUTED_VALUE"""),3954)</f>
        <v>3954</v>
      </c>
      <c r="Q356" s="38"/>
      <c r="R356" s="38"/>
      <c r="S356" s="38"/>
      <c r="T356" s="38"/>
      <c r="U356" s="38"/>
      <c r="V356" s="38"/>
      <c r="W356" s="38"/>
      <c r="X356" s="40">
        <f ca="1">IFERROR(__xludf.DUMMYFUNCTION("""COMPUTED_VALUE"""),226524238203)</f>
        <v>226524238203</v>
      </c>
      <c r="Y356" s="6" t="str">
        <f ca="1">IFERROR(__xludf.DUMMYFUNCTION("""COMPUTED_VALUE"""),"Si")</f>
        <v>Si</v>
      </c>
      <c r="Z356" s="38" t="str">
        <f ca="1">IFERROR(__xludf.DUMMYFUNCTION("""COMPUTED_VALUE"""),"Acepto")</f>
        <v>Acepto</v>
      </c>
      <c r="AA356" s="38" t="str">
        <f ca="1">IFERROR(__xludf.DUMMYFUNCTION("""COMPUTED_VALUE"""),"Pendiente")</f>
        <v>Pendiente</v>
      </c>
      <c r="AB356" s="38"/>
      <c r="AC356" s="6"/>
      <c r="AD356" s="6"/>
      <c r="AE356" s="6"/>
      <c r="AF356" s="6"/>
    </row>
    <row r="357" spans="1:32" ht="13.2">
      <c r="A357" s="35">
        <f ca="1">IFERROR(__xludf.DUMMYFUNCTION("""COMPUTED_VALUE"""),45541.8629086342)</f>
        <v>45541.862908634197</v>
      </c>
      <c r="B357" s="36" t="str">
        <f ca="1">IFERROR(__xludf.DUMMYFUNCTION("""COMPUTED_VALUE"""),"Félix ")</f>
        <v xml:space="preserve">Félix </v>
      </c>
      <c r="C357" s="36" t="str">
        <f ca="1">IFERROR(__xludf.DUMMYFUNCTION("""COMPUTED_VALUE"""),"Ballestrin")</f>
        <v>Ballestrin</v>
      </c>
      <c r="D357" s="36" t="str">
        <f ca="1">IFERROR(__xludf.DUMMYFUNCTION("""COMPUTED_VALUE"""),"CABA")</f>
        <v>CABA</v>
      </c>
      <c r="E357" s="38" t="str">
        <f ca="1">IFERROR(__xludf.DUMMYFUNCTION("""COMPUTED_VALUE"""),"ARG")</f>
        <v>ARG</v>
      </c>
      <c r="F357" s="38">
        <f ca="1">IFERROR(__xludf.DUMMYFUNCTION("""COMPUTED_VALUE"""),47866930)</f>
        <v>47866930</v>
      </c>
      <c r="G357" s="37">
        <f ca="1">IFERROR(__xludf.DUMMYFUNCTION("""COMPUTED_VALUE"""),39310)</f>
        <v>39310</v>
      </c>
      <c r="H357" s="38">
        <f ca="1">IFERROR(__xludf.DUMMYFUNCTION("""COMPUTED_VALUE"""),91128805595)</f>
        <v>91128805595</v>
      </c>
      <c r="I357" s="38">
        <f ca="1">IFERROR(__xludf.DUMMYFUNCTION("""COMPUTED_VALUE"""),91128805595)</f>
        <v>91128805595</v>
      </c>
      <c r="J357" s="38" t="str">
        <f ca="1">IFERROR(__xludf.DUMMYFUNCTION("""COMPUTED_VALUE"""),"felixballestrin2@gmail.com")</f>
        <v>felixballestrin2@gmail.com</v>
      </c>
      <c r="K357" s="38" t="str">
        <f ca="1">IFERROR(__xludf.DUMMYFUNCTION("""COMPUTED_VALUE"""),"Masculino")</f>
        <v>Masculino</v>
      </c>
      <c r="L357" s="38" t="str">
        <f ca="1">IFERROR(__xludf.DUMMYFUNCTION("""COMPUTED_VALUE"""),"CUBA")</f>
        <v>CUBA</v>
      </c>
      <c r="M357" s="38"/>
      <c r="N357" s="38">
        <f ca="1">IFERROR(__xludf.DUMMYFUNCTION("""COMPUTED_VALUE"""),420)</f>
        <v>420</v>
      </c>
      <c r="O357" s="6">
        <f ca="1">IFERROR(__xludf.DUMMYFUNCTION("""COMPUTED_VALUE"""),70)</f>
        <v>70</v>
      </c>
      <c r="P357" s="6">
        <f ca="1">IFERROR(__xludf.DUMMYFUNCTION("""COMPUTED_VALUE"""),55345)</f>
        <v>55345</v>
      </c>
      <c r="Q357" s="38"/>
      <c r="R357" s="38" t="str">
        <f ca="1">IFERROR(__xludf.DUMMYFUNCTION("""COMPUTED_VALUE"""),"Alejo stern")</f>
        <v>Alejo stern</v>
      </c>
      <c r="S357" s="38" t="str">
        <f ca="1">IFERROR(__xludf.DUMMYFUNCTION("""COMPUTED_VALUE"""),"Félix Ballestrin")</f>
        <v>Félix Ballestrin</v>
      </c>
      <c r="T357" s="38"/>
      <c r="U357" s="38"/>
      <c r="V357" s="38"/>
      <c r="W357" s="38"/>
      <c r="X357" s="40" t="str">
        <f ca="1">IFERROR(__xludf.DUMMYFUNCTION("""COMPUTED_VALUE"""),"Osde ")</f>
        <v xml:space="preserve">Osde </v>
      </c>
      <c r="Y357" s="6" t="str">
        <f ca="1">IFERROR(__xludf.DUMMYFUNCTION("""COMPUTED_VALUE"""),"No")</f>
        <v>No</v>
      </c>
      <c r="Z357" s="38" t="str">
        <f ca="1">IFERROR(__xludf.DUMMYFUNCTION("""COMPUTED_VALUE"""),"Acepto")</f>
        <v>Acepto</v>
      </c>
      <c r="AA357" s="38" t="str">
        <f ca="1">IFERROR(__xludf.DUMMYFUNCTION("""COMPUTED_VALUE"""),"Pendiente")</f>
        <v>Pendiente</v>
      </c>
      <c r="AB357" s="38"/>
      <c r="AC357" s="6"/>
      <c r="AD357" s="6"/>
      <c r="AE357" s="6"/>
      <c r="AF357" s="6"/>
    </row>
    <row r="358" spans="1:32" ht="13.2">
      <c r="A358" s="35">
        <f ca="1">IFERROR(__xludf.DUMMYFUNCTION("""COMPUTED_VALUE"""),45541.8837303587)</f>
        <v>45541.883730358699</v>
      </c>
      <c r="B358" s="36" t="str">
        <f ca="1">IFERROR(__xludf.DUMMYFUNCTION("""COMPUTED_VALUE"""),"Augusto")</f>
        <v>Augusto</v>
      </c>
      <c r="C358" s="36" t="str">
        <f ca="1">IFERROR(__xludf.DUMMYFUNCTION("""COMPUTED_VALUE"""),"Amato")</f>
        <v>Amato</v>
      </c>
      <c r="D358" s="36" t="str">
        <f ca="1">IFERROR(__xludf.DUMMYFUNCTION("""COMPUTED_VALUE"""),"Olivos")</f>
        <v>Olivos</v>
      </c>
      <c r="E358" s="38" t="str">
        <f ca="1">IFERROR(__xludf.DUMMYFUNCTION("""COMPUTED_VALUE"""),"ARG")</f>
        <v>ARG</v>
      </c>
      <c r="F358" s="38">
        <f ca="1">IFERROR(__xludf.DUMMYFUNCTION("""COMPUTED_VALUE"""),22847701)</f>
        <v>22847701</v>
      </c>
      <c r="G358" s="37">
        <f ca="1">IFERROR(__xludf.DUMMYFUNCTION("""COMPUTED_VALUE"""),26492)</f>
        <v>26492</v>
      </c>
      <c r="H358" s="38">
        <f ca="1">IFERROR(__xludf.DUMMYFUNCTION("""COMPUTED_VALUE"""),1135726575)</f>
        <v>1135726575</v>
      </c>
      <c r="I358" s="38"/>
      <c r="J358" s="38" t="str">
        <f ca="1">IFERROR(__xludf.DUMMYFUNCTION("""COMPUTED_VALUE"""),"augusto_amato@hotmail.com")</f>
        <v>augusto_amato@hotmail.com</v>
      </c>
      <c r="K358" s="38" t="str">
        <f ca="1">IFERROR(__xludf.DUMMYFUNCTION("""COMPUTED_VALUE"""),"Masculino")</f>
        <v>Masculino</v>
      </c>
      <c r="L358" s="38" t="str">
        <f ca="1">IFERROR(__xludf.DUMMYFUNCTION("""COMPUTED_VALUE"""),"CNO")</f>
        <v>CNO</v>
      </c>
      <c r="M358" s="38"/>
      <c r="N358" s="38" t="str">
        <f ca="1">IFERROR(__xludf.DUMMYFUNCTION("""COMPUTED_VALUE"""),"SNIPE")</f>
        <v>SNIPE</v>
      </c>
      <c r="O358" s="6"/>
      <c r="P358" s="6" t="str">
        <f ca="1">IFERROR(__xludf.DUMMYFUNCTION("""COMPUTED_VALUE"""),"ARG 31752")</f>
        <v>ARG 31752</v>
      </c>
      <c r="Q358" s="38" t="str">
        <f ca="1">IFERROR(__xludf.DUMMYFUNCTION("""COMPUTED_VALUE"""),"Lightning McQueen")</f>
        <v>Lightning McQueen</v>
      </c>
      <c r="R358" s="38" t="str">
        <f ca="1">IFERROR(__xludf.DUMMYFUNCTION("""COMPUTED_VALUE"""),"Constanza Alvarez")</f>
        <v>Constanza Alvarez</v>
      </c>
      <c r="S358" s="38"/>
      <c r="T358" s="38"/>
      <c r="U358" s="38"/>
      <c r="V358" s="38"/>
      <c r="W358" s="38"/>
      <c r="X358" s="40" t="str">
        <f ca="1">IFERROR(__xludf.DUMMYFUNCTION("""COMPUTED_VALUE"""),"Obra Social del Poder Judicial ")</f>
        <v xml:space="preserve">Obra Social del Poder Judicial </v>
      </c>
      <c r="Y358" s="6" t="str">
        <f ca="1">IFERROR(__xludf.DUMMYFUNCTION("""COMPUTED_VALUE"""),"No")</f>
        <v>No</v>
      </c>
      <c r="Z358" s="38" t="str">
        <f ca="1">IFERROR(__xludf.DUMMYFUNCTION("""COMPUTED_VALUE"""),"Acepto")</f>
        <v>Acepto</v>
      </c>
      <c r="AA358" s="38" t="str">
        <f ca="1">IFERROR(__xludf.DUMMYFUNCTION("""COMPUTED_VALUE"""),"Pendiente")</f>
        <v>Pendiente</v>
      </c>
      <c r="AB358" s="38"/>
      <c r="AC358" s="6"/>
      <c r="AD358" s="6"/>
      <c r="AE358" s="6"/>
      <c r="AF358" s="6"/>
    </row>
    <row r="359" spans="1:32" ht="13.2">
      <c r="A359" s="38"/>
      <c r="B359" s="36"/>
      <c r="C359" s="36"/>
      <c r="D359" s="36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6"/>
      <c r="P359" s="6"/>
      <c r="Q359" s="38"/>
      <c r="R359" s="38"/>
      <c r="S359" s="38"/>
      <c r="T359" s="38"/>
      <c r="U359" s="38"/>
      <c r="V359" s="38"/>
      <c r="W359" s="38"/>
      <c r="X359" s="40"/>
      <c r="Y359" s="6"/>
      <c r="Z359" s="38"/>
      <c r="AA359" s="38"/>
      <c r="AB359" s="38"/>
      <c r="AC359" s="6"/>
      <c r="AD359" s="6"/>
      <c r="AE359" s="6"/>
      <c r="AF359" s="6"/>
    </row>
    <row r="360" spans="1:32" ht="13.2">
      <c r="A360" s="38"/>
      <c r="B360" s="36"/>
      <c r="C360" s="36"/>
      <c r="D360" s="36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6"/>
      <c r="P360" s="6"/>
      <c r="Q360" s="38"/>
      <c r="R360" s="38"/>
      <c r="S360" s="38"/>
      <c r="T360" s="38"/>
      <c r="U360" s="38"/>
      <c r="V360" s="38"/>
      <c r="W360" s="38"/>
      <c r="X360" s="40"/>
      <c r="Y360" s="6"/>
      <c r="Z360" s="38"/>
      <c r="AA360" s="38"/>
      <c r="AB360" s="38"/>
      <c r="AC360" s="6"/>
      <c r="AD360" s="6"/>
      <c r="AE360" s="6"/>
      <c r="AF360" s="6"/>
    </row>
    <row r="361" spans="1:32" ht="13.2">
      <c r="A361" s="38"/>
      <c r="B361" s="36"/>
      <c r="C361" s="36"/>
      <c r="D361" s="36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6"/>
      <c r="P361" s="6"/>
      <c r="Q361" s="38"/>
      <c r="R361" s="38"/>
      <c r="S361" s="38"/>
      <c r="T361" s="38"/>
      <c r="U361" s="38"/>
      <c r="V361" s="38"/>
      <c r="W361" s="38"/>
      <c r="X361" s="40"/>
      <c r="Y361" s="6"/>
      <c r="Z361" s="38"/>
      <c r="AA361" s="38"/>
      <c r="AB361" s="38"/>
      <c r="AC361" s="6"/>
      <c r="AD361" s="6"/>
      <c r="AE361" s="6"/>
      <c r="AF361" s="6"/>
    </row>
    <row r="362" spans="1:32" ht="13.2">
      <c r="A362" s="38"/>
      <c r="B362" s="36"/>
      <c r="C362" s="36"/>
      <c r="D362" s="36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6"/>
      <c r="P362" s="6"/>
      <c r="Q362" s="38"/>
      <c r="R362" s="38"/>
      <c r="S362" s="38"/>
      <c r="T362" s="38"/>
      <c r="U362" s="38"/>
      <c r="V362" s="38"/>
      <c r="W362" s="38"/>
      <c r="X362" s="40"/>
      <c r="Y362" s="6"/>
      <c r="Z362" s="38"/>
      <c r="AA362" s="38"/>
      <c r="AB362" s="38"/>
      <c r="AC362" s="6"/>
      <c r="AD362" s="6"/>
      <c r="AE362" s="6"/>
      <c r="AF362" s="6"/>
    </row>
    <row r="363" spans="1:32" ht="13.2">
      <c r="A363" s="38"/>
      <c r="B363" s="36"/>
      <c r="C363" s="36"/>
      <c r="D363" s="36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6"/>
      <c r="P363" s="6"/>
      <c r="Q363" s="38"/>
      <c r="R363" s="38"/>
      <c r="S363" s="38"/>
      <c r="T363" s="38"/>
      <c r="U363" s="38"/>
      <c r="V363" s="38"/>
      <c r="W363" s="38"/>
      <c r="X363" s="40"/>
      <c r="Y363" s="6"/>
      <c r="Z363" s="38"/>
      <c r="AA363" s="38"/>
      <c r="AB363" s="38"/>
      <c r="AC363" s="6"/>
      <c r="AD363" s="6"/>
      <c r="AE363" s="6"/>
      <c r="AF363" s="6"/>
    </row>
    <row r="364" spans="1:32" ht="13.2">
      <c r="A364" s="38"/>
      <c r="B364" s="36"/>
      <c r="C364" s="36"/>
      <c r="D364" s="36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6"/>
      <c r="P364" s="6"/>
      <c r="Q364" s="38"/>
      <c r="R364" s="38"/>
      <c r="S364" s="38"/>
      <c r="T364" s="38"/>
      <c r="U364" s="38"/>
      <c r="V364" s="38"/>
      <c r="W364" s="38"/>
      <c r="X364" s="40"/>
      <c r="Y364" s="6"/>
      <c r="Z364" s="38"/>
      <c r="AA364" s="38"/>
      <c r="AB364" s="38"/>
      <c r="AC364" s="6"/>
      <c r="AD364" s="6"/>
      <c r="AE364" s="6"/>
      <c r="AF364" s="6"/>
    </row>
    <row r="365" spans="1:32" ht="13.2">
      <c r="A365" s="38"/>
      <c r="B365" s="36"/>
      <c r="C365" s="36"/>
      <c r="D365" s="36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6"/>
      <c r="P365" s="6"/>
      <c r="Q365" s="38"/>
      <c r="R365" s="38"/>
      <c r="S365" s="38"/>
      <c r="T365" s="38"/>
      <c r="U365" s="38"/>
      <c r="V365" s="38"/>
      <c r="W365" s="38"/>
      <c r="X365" s="40"/>
      <c r="Y365" s="6"/>
      <c r="Z365" s="38"/>
      <c r="AA365" s="38"/>
      <c r="AB365" s="38"/>
      <c r="AC365" s="6"/>
      <c r="AD365" s="6"/>
      <c r="AE365" s="6"/>
      <c r="AF365" s="6"/>
    </row>
    <row r="366" spans="1:32" ht="13.2">
      <c r="A366" s="38"/>
      <c r="B366" s="36"/>
      <c r="C366" s="36"/>
      <c r="D366" s="36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6"/>
      <c r="P366" s="6"/>
      <c r="Q366" s="38"/>
      <c r="R366" s="38"/>
      <c r="S366" s="38"/>
      <c r="T366" s="38"/>
      <c r="U366" s="38"/>
      <c r="V366" s="38"/>
      <c r="W366" s="38"/>
      <c r="X366" s="40"/>
      <c r="Y366" s="6"/>
      <c r="Z366" s="38"/>
      <c r="AA366" s="38"/>
      <c r="AB366" s="38"/>
      <c r="AC366" s="6"/>
      <c r="AD366" s="6"/>
      <c r="AE366" s="6"/>
      <c r="AF366" s="6"/>
    </row>
    <row r="367" spans="1:32" ht="13.2">
      <c r="A367" s="38"/>
      <c r="B367" s="36"/>
      <c r="C367" s="36"/>
      <c r="D367" s="36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6"/>
      <c r="P367" s="6"/>
      <c r="Q367" s="38"/>
      <c r="R367" s="38"/>
      <c r="S367" s="38"/>
      <c r="T367" s="38"/>
      <c r="U367" s="38"/>
      <c r="V367" s="38"/>
      <c r="W367" s="38"/>
      <c r="X367" s="40"/>
      <c r="Y367" s="6"/>
      <c r="Z367" s="38"/>
      <c r="AA367" s="38"/>
      <c r="AB367" s="38"/>
      <c r="AC367" s="6"/>
      <c r="AD367" s="6"/>
      <c r="AE367" s="6"/>
      <c r="AF367" s="6"/>
    </row>
    <row r="368" spans="1:32" ht="13.2">
      <c r="A368" s="38"/>
      <c r="B368" s="36"/>
      <c r="C368" s="36"/>
      <c r="D368" s="36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6"/>
      <c r="P368" s="6"/>
      <c r="Q368" s="38"/>
      <c r="R368" s="38"/>
      <c r="S368" s="38"/>
      <c r="T368" s="38"/>
      <c r="U368" s="38"/>
      <c r="V368" s="38"/>
      <c r="W368" s="38"/>
      <c r="X368" s="40"/>
      <c r="Y368" s="6"/>
      <c r="Z368" s="38"/>
      <c r="AA368" s="38"/>
      <c r="AB368" s="38"/>
      <c r="AC368" s="6"/>
      <c r="AD368" s="6"/>
      <c r="AE368" s="6"/>
      <c r="AF368" s="6"/>
    </row>
    <row r="369" spans="1:32" ht="13.2">
      <c r="A369" s="38"/>
      <c r="B369" s="36"/>
      <c r="C369" s="36"/>
      <c r="D369" s="36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6"/>
      <c r="P369" s="6"/>
      <c r="Q369" s="38"/>
      <c r="R369" s="38"/>
      <c r="S369" s="38"/>
      <c r="T369" s="38"/>
      <c r="U369" s="38"/>
      <c r="V369" s="38"/>
      <c r="W369" s="38"/>
      <c r="X369" s="40"/>
      <c r="Y369" s="6"/>
      <c r="Z369" s="38"/>
      <c r="AA369" s="38"/>
      <c r="AB369" s="38"/>
      <c r="AC369" s="6"/>
      <c r="AD369" s="6"/>
      <c r="AE369" s="6"/>
      <c r="AF369" s="6"/>
    </row>
    <row r="370" spans="1:32" ht="13.2">
      <c r="A370" s="38"/>
      <c r="B370" s="36"/>
      <c r="C370" s="36"/>
      <c r="D370" s="36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6"/>
      <c r="P370" s="6"/>
      <c r="Q370" s="38"/>
      <c r="R370" s="38"/>
      <c r="S370" s="38"/>
      <c r="T370" s="38"/>
      <c r="U370" s="38"/>
      <c r="V370" s="38"/>
      <c r="W370" s="38"/>
      <c r="X370" s="40"/>
      <c r="Y370" s="6"/>
      <c r="Z370" s="38"/>
      <c r="AA370" s="38"/>
      <c r="AB370" s="38"/>
      <c r="AC370" s="6"/>
      <c r="AD370" s="6"/>
      <c r="AE370" s="6"/>
      <c r="AF370" s="6"/>
    </row>
    <row r="371" spans="1:32" ht="13.2">
      <c r="A371" s="38"/>
      <c r="B371" s="36"/>
      <c r="C371" s="36"/>
      <c r="D371" s="36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6"/>
      <c r="P371" s="6"/>
      <c r="Q371" s="38"/>
      <c r="R371" s="38"/>
      <c r="S371" s="38"/>
      <c r="T371" s="38"/>
      <c r="U371" s="38"/>
      <c r="V371" s="38"/>
      <c r="W371" s="38"/>
      <c r="X371" s="40"/>
      <c r="Y371" s="6"/>
      <c r="Z371" s="38"/>
      <c r="AA371" s="38"/>
      <c r="AB371" s="38"/>
      <c r="AC371" s="6"/>
      <c r="AD371" s="6"/>
      <c r="AE371" s="6"/>
      <c r="AF371" s="6"/>
    </row>
    <row r="372" spans="1:32" ht="13.2">
      <c r="A372" s="38"/>
      <c r="B372" s="36"/>
      <c r="C372" s="36"/>
      <c r="D372" s="36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6"/>
      <c r="P372" s="6"/>
      <c r="Q372" s="38"/>
      <c r="R372" s="38"/>
      <c r="S372" s="38"/>
      <c r="T372" s="38"/>
      <c r="U372" s="38"/>
      <c r="V372" s="38"/>
      <c r="W372" s="38"/>
      <c r="X372" s="40"/>
      <c r="Y372" s="6"/>
      <c r="Z372" s="38"/>
      <c r="AA372" s="38"/>
      <c r="AB372" s="38"/>
      <c r="AC372" s="6"/>
      <c r="AD372" s="6"/>
      <c r="AE372" s="6"/>
      <c r="AF372" s="6"/>
    </row>
    <row r="373" spans="1:32" ht="13.2">
      <c r="A373" s="38"/>
      <c r="B373" s="36"/>
      <c r="C373" s="36"/>
      <c r="D373" s="36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6"/>
      <c r="P373" s="6"/>
      <c r="Q373" s="38"/>
      <c r="R373" s="38"/>
      <c r="S373" s="38"/>
      <c r="T373" s="38"/>
      <c r="U373" s="38"/>
      <c r="V373" s="38"/>
      <c r="W373" s="38"/>
      <c r="X373" s="40"/>
      <c r="Y373" s="6"/>
      <c r="Z373" s="38"/>
      <c r="AA373" s="38"/>
      <c r="AB373" s="38"/>
      <c r="AC373" s="6"/>
      <c r="AD373" s="6"/>
      <c r="AE373" s="6"/>
      <c r="AF373" s="6"/>
    </row>
    <row r="374" spans="1:32" ht="13.2">
      <c r="A374" s="38"/>
      <c r="B374" s="36"/>
      <c r="C374" s="36"/>
      <c r="D374" s="36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6"/>
      <c r="P374" s="6"/>
      <c r="Q374" s="38"/>
      <c r="R374" s="38"/>
      <c r="S374" s="38"/>
      <c r="T374" s="38"/>
      <c r="U374" s="38"/>
      <c r="V374" s="38"/>
      <c r="W374" s="38"/>
      <c r="X374" s="40"/>
      <c r="Y374" s="6"/>
      <c r="Z374" s="38"/>
      <c r="AA374" s="38"/>
      <c r="AB374" s="38"/>
      <c r="AC374" s="6"/>
      <c r="AD374" s="6"/>
      <c r="AE374" s="6"/>
      <c r="AF374" s="6"/>
    </row>
    <row r="375" spans="1:32" ht="13.2">
      <c r="A375" s="38"/>
      <c r="B375" s="36"/>
      <c r="C375" s="36"/>
      <c r="D375" s="36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6"/>
      <c r="P375" s="6"/>
      <c r="Q375" s="38"/>
      <c r="R375" s="38"/>
      <c r="S375" s="38"/>
      <c r="T375" s="38"/>
      <c r="U375" s="38"/>
      <c r="V375" s="38"/>
      <c r="W375" s="38"/>
      <c r="X375" s="40"/>
      <c r="Y375" s="6"/>
      <c r="Z375" s="38"/>
      <c r="AA375" s="38"/>
      <c r="AB375" s="38"/>
      <c r="AC375" s="6"/>
      <c r="AD375" s="6"/>
      <c r="AE375" s="6"/>
      <c r="AF375" s="6"/>
    </row>
    <row r="376" spans="1:32" ht="13.2">
      <c r="A376" s="38"/>
      <c r="B376" s="36"/>
      <c r="C376" s="36"/>
      <c r="D376" s="36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6"/>
      <c r="P376" s="6"/>
      <c r="Q376" s="38"/>
      <c r="R376" s="38"/>
      <c r="S376" s="38"/>
      <c r="T376" s="38"/>
      <c r="U376" s="38"/>
      <c r="V376" s="38"/>
      <c r="W376" s="38"/>
      <c r="X376" s="40"/>
      <c r="Y376" s="6"/>
      <c r="Z376" s="38"/>
      <c r="AA376" s="38"/>
      <c r="AB376" s="38"/>
      <c r="AC376" s="6"/>
      <c r="AD376" s="6"/>
      <c r="AE376" s="6"/>
      <c r="AF376" s="6"/>
    </row>
    <row r="377" spans="1:32" ht="13.2">
      <c r="A377" s="38"/>
      <c r="B377" s="36"/>
      <c r="C377" s="36"/>
      <c r="D377" s="36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6"/>
      <c r="P377" s="6"/>
      <c r="Q377" s="38"/>
      <c r="R377" s="38"/>
      <c r="S377" s="38"/>
      <c r="T377" s="38"/>
      <c r="U377" s="38"/>
      <c r="V377" s="38"/>
      <c r="W377" s="38"/>
      <c r="X377" s="40"/>
      <c r="Y377" s="6"/>
      <c r="Z377" s="38"/>
      <c r="AA377" s="38"/>
      <c r="AB377" s="38"/>
      <c r="AC377" s="6"/>
      <c r="AD377" s="6"/>
      <c r="AE377" s="6"/>
      <c r="AF377" s="6"/>
    </row>
    <row r="378" spans="1:32" ht="13.2">
      <c r="A378" s="38"/>
      <c r="B378" s="36"/>
      <c r="C378" s="36"/>
      <c r="D378" s="36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6"/>
      <c r="P378" s="6"/>
      <c r="Q378" s="38"/>
      <c r="R378" s="38"/>
      <c r="S378" s="38"/>
      <c r="T378" s="38"/>
      <c r="U378" s="38"/>
      <c r="V378" s="38"/>
      <c r="W378" s="38"/>
      <c r="X378" s="40"/>
      <c r="Y378" s="6"/>
      <c r="Z378" s="38"/>
      <c r="AA378" s="38"/>
      <c r="AB378" s="38"/>
      <c r="AC378" s="6"/>
      <c r="AD378" s="6"/>
      <c r="AE378" s="6"/>
      <c r="AF378" s="6"/>
    </row>
    <row r="379" spans="1:32" ht="13.2">
      <c r="A379" s="38"/>
      <c r="B379" s="36"/>
      <c r="C379" s="36"/>
      <c r="D379" s="36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6"/>
      <c r="P379" s="6"/>
      <c r="Q379" s="38"/>
      <c r="R379" s="38"/>
      <c r="S379" s="38"/>
      <c r="T379" s="38"/>
      <c r="U379" s="38"/>
      <c r="V379" s="38"/>
      <c r="W379" s="38"/>
      <c r="X379" s="40"/>
      <c r="Y379" s="6"/>
      <c r="Z379" s="38"/>
      <c r="AA379" s="38"/>
      <c r="AB379" s="38"/>
      <c r="AC379" s="6"/>
      <c r="AD379" s="6"/>
      <c r="AE379" s="6"/>
      <c r="AF379" s="6"/>
    </row>
    <row r="380" spans="1:32" ht="13.2">
      <c r="A380" s="38"/>
      <c r="B380" s="36"/>
      <c r="C380" s="36"/>
      <c r="D380" s="36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6"/>
      <c r="P380" s="6"/>
      <c r="Q380" s="38"/>
      <c r="R380" s="38"/>
      <c r="S380" s="38"/>
      <c r="T380" s="38"/>
      <c r="U380" s="38"/>
      <c r="V380" s="38"/>
      <c r="W380" s="38"/>
      <c r="X380" s="40"/>
      <c r="Y380" s="6"/>
      <c r="Z380" s="38"/>
      <c r="AA380" s="38"/>
      <c r="AB380" s="38"/>
      <c r="AC380" s="6"/>
      <c r="AD380" s="6"/>
      <c r="AE380" s="6"/>
      <c r="AF380" s="6"/>
    </row>
    <row r="381" spans="1:32" ht="13.2">
      <c r="A381" s="38"/>
      <c r="B381" s="36"/>
      <c r="C381" s="36"/>
      <c r="D381" s="36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6"/>
      <c r="P381" s="6"/>
      <c r="Q381" s="38"/>
      <c r="R381" s="38"/>
      <c r="S381" s="38"/>
      <c r="T381" s="38"/>
      <c r="U381" s="38"/>
      <c r="V381" s="38"/>
      <c r="W381" s="38"/>
      <c r="X381" s="40"/>
      <c r="Y381" s="6"/>
      <c r="Z381" s="38"/>
      <c r="AA381" s="38"/>
      <c r="AB381" s="38"/>
      <c r="AC381" s="6"/>
      <c r="AD381" s="6"/>
      <c r="AE381" s="6"/>
      <c r="AF381" s="38"/>
    </row>
    <row r="382" spans="1:32" ht="13.2">
      <c r="A382" s="38"/>
      <c r="B382" s="36"/>
      <c r="C382" s="36"/>
      <c r="D382" s="36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6"/>
      <c r="P382" s="6"/>
      <c r="Q382" s="38"/>
      <c r="R382" s="38"/>
      <c r="S382" s="38"/>
      <c r="T382" s="38"/>
      <c r="U382" s="38"/>
      <c r="V382" s="38"/>
      <c r="W382" s="38"/>
      <c r="X382" s="40"/>
      <c r="Y382" s="6"/>
      <c r="Z382" s="38"/>
      <c r="AA382" s="38"/>
      <c r="AB382" s="38"/>
      <c r="AC382" s="6"/>
      <c r="AD382" s="6"/>
      <c r="AE382" s="6"/>
      <c r="AF382" s="38"/>
    </row>
    <row r="383" spans="1:32" ht="13.2">
      <c r="A383" s="38"/>
      <c r="B383" s="36"/>
      <c r="C383" s="36"/>
      <c r="D383" s="36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6"/>
      <c r="P383" s="6"/>
      <c r="Q383" s="38"/>
      <c r="R383" s="38"/>
      <c r="S383" s="38"/>
      <c r="T383" s="38"/>
      <c r="U383" s="38"/>
      <c r="V383" s="38"/>
      <c r="W383" s="38"/>
      <c r="X383" s="40"/>
      <c r="Y383" s="6"/>
      <c r="Z383" s="38"/>
      <c r="AA383" s="38"/>
      <c r="AB383" s="38"/>
      <c r="AC383" s="6"/>
      <c r="AD383" s="6"/>
      <c r="AE383" s="6"/>
      <c r="AF383" s="38"/>
    </row>
    <row r="384" spans="1:32" ht="13.2">
      <c r="A384" s="38"/>
      <c r="B384" s="36"/>
      <c r="C384" s="36"/>
      <c r="D384" s="36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6"/>
      <c r="P384" s="6"/>
      <c r="Q384" s="38"/>
      <c r="R384" s="38"/>
      <c r="S384" s="38"/>
      <c r="T384" s="38"/>
      <c r="U384" s="38"/>
      <c r="V384" s="38"/>
      <c r="W384" s="38"/>
      <c r="X384" s="40"/>
      <c r="Y384" s="6"/>
      <c r="Z384" s="38"/>
      <c r="AA384" s="38"/>
      <c r="AB384" s="38"/>
      <c r="AC384" s="6"/>
      <c r="AD384" s="6"/>
      <c r="AE384" s="6"/>
      <c r="AF384" s="38"/>
    </row>
    <row r="385" spans="1:32" ht="13.2">
      <c r="A385" s="38"/>
      <c r="B385" s="36"/>
      <c r="C385" s="36"/>
      <c r="D385" s="36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6"/>
      <c r="P385" s="6"/>
      <c r="Q385" s="38"/>
      <c r="R385" s="38"/>
      <c r="S385" s="38"/>
      <c r="T385" s="38"/>
      <c r="U385" s="38"/>
      <c r="V385" s="38"/>
      <c r="W385" s="38"/>
      <c r="X385" s="40"/>
      <c r="Y385" s="6"/>
      <c r="Z385" s="38"/>
      <c r="AA385" s="38"/>
      <c r="AB385" s="38"/>
      <c r="AC385" s="6"/>
      <c r="AD385" s="6"/>
      <c r="AE385" s="6"/>
      <c r="AF385" s="38"/>
    </row>
    <row r="386" spans="1:32" ht="13.2">
      <c r="A386" s="38"/>
      <c r="B386" s="36"/>
      <c r="C386" s="36"/>
      <c r="D386" s="36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6"/>
      <c r="P386" s="6"/>
      <c r="Q386" s="38"/>
      <c r="R386" s="38"/>
      <c r="S386" s="38"/>
      <c r="T386" s="38"/>
      <c r="U386" s="38"/>
      <c r="V386" s="38"/>
      <c r="W386" s="38"/>
      <c r="X386" s="40"/>
      <c r="Y386" s="6"/>
      <c r="Z386" s="38"/>
      <c r="AA386" s="38"/>
      <c r="AB386" s="38"/>
      <c r="AC386" s="6"/>
      <c r="AD386" s="6"/>
      <c r="AE386" s="6"/>
      <c r="AF386" s="38"/>
    </row>
    <row r="387" spans="1:32" ht="13.2">
      <c r="A387" s="38"/>
      <c r="B387" s="36"/>
      <c r="C387" s="36"/>
      <c r="D387" s="36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6"/>
      <c r="P387" s="6"/>
      <c r="Q387" s="38"/>
      <c r="R387" s="38"/>
      <c r="S387" s="38"/>
      <c r="T387" s="38"/>
      <c r="U387" s="38"/>
      <c r="V387" s="38"/>
      <c r="W387" s="38"/>
      <c r="X387" s="40"/>
      <c r="Y387" s="6"/>
      <c r="Z387" s="38"/>
      <c r="AA387" s="38"/>
      <c r="AB387" s="38"/>
      <c r="AC387" s="6"/>
      <c r="AD387" s="6"/>
      <c r="AE387" s="6"/>
      <c r="AF387" s="38"/>
    </row>
    <row r="388" spans="1:32" ht="13.2">
      <c r="A388" s="38"/>
      <c r="B388" s="36"/>
      <c r="C388" s="36"/>
      <c r="D388" s="36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6"/>
      <c r="P388" s="6"/>
      <c r="Q388" s="38"/>
      <c r="R388" s="38"/>
      <c r="S388" s="38"/>
      <c r="T388" s="38"/>
      <c r="U388" s="38"/>
      <c r="V388" s="38"/>
      <c r="W388" s="38"/>
      <c r="X388" s="40"/>
      <c r="Y388" s="6"/>
      <c r="Z388" s="38"/>
      <c r="AA388" s="38"/>
      <c r="AB388" s="38"/>
      <c r="AC388" s="6"/>
      <c r="AD388" s="6"/>
      <c r="AE388" s="6"/>
      <c r="AF388" s="38"/>
    </row>
    <row r="389" spans="1:32" ht="13.2">
      <c r="A389" s="38"/>
      <c r="B389" s="36"/>
      <c r="C389" s="36"/>
      <c r="D389" s="36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6"/>
      <c r="P389" s="6"/>
      <c r="Q389" s="38"/>
      <c r="R389" s="38"/>
      <c r="S389" s="38"/>
      <c r="T389" s="38"/>
      <c r="U389" s="38"/>
      <c r="V389" s="38"/>
      <c r="W389" s="38"/>
      <c r="X389" s="40"/>
      <c r="Y389" s="6"/>
      <c r="Z389" s="38"/>
      <c r="AA389" s="38"/>
      <c r="AB389" s="38"/>
      <c r="AC389" s="6"/>
      <c r="AD389" s="6"/>
      <c r="AE389" s="6"/>
      <c r="AF389" s="38"/>
    </row>
    <row r="390" spans="1:32" ht="13.2">
      <c r="A390" s="38"/>
      <c r="B390" s="36"/>
      <c r="C390" s="36"/>
      <c r="D390" s="36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6"/>
      <c r="P390" s="6"/>
      <c r="Q390" s="38"/>
      <c r="R390" s="38"/>
      <c r="S390" s="38"/>
      <c r="T390" s="38"/>
      <c r="U390" s="38"/>
      <c r="V390" s="38"/>
      <c r="W390" s="38"/>
      <c r="X390" s="40"/>
      <c r="Y390" s="6"/>
      <c r="Z390" s="38"/>
      <c r="AA390" s="38"/>
      <c r="AB390" s="38"/>
      <c r="AC390" s="6"/>
      <c r="AD390" s="6"/>
      <c r="AE390" s="6"/>
      <c r="AF390" s="38"/>
    </row>
    <row r="391" spans="1:32" ht="13.2">
      <c r="A391" s="38"/>
      <c r="B391" s="36"/>
      <c r="C391" s="36"/>
      <c r="D391" s="36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6"/>
      <c r="P391" s="6"/>
      <c r="Q391" s="38"/>
      <c r="R391" s="38"/>
      <c r="S391" s="38"/>
      <c r="T391" s="38"/>
      <c r="U391" s="38"/>
      <c r="V391" s="38"/>
      <c r="W391" s="38"/>
      <c r="X391" s="40"/>
      <c r="Y391" s="6"/>
      <c r="Z391" s="38"/>
      <c r="AA391" s="38"/>
      <c r="AB391" s="38"/>
      <c r="AC391" s="6"/>
      <c r="AD391" s="6"/>
      <c r="AE391" s="6"/>
      <c r="AF391" s="38"/>
    </row>
    <row r="392" spans="1:32" ht="13.2">
      <c r="A392" s="38"/>
      <c r="B392" s="36"/>
      <c r="C392" s="36"/>
      <c r="D392" s="36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6"/>
      <c r="P392" s="6"/>
      <c r="Q392" s="38"/>
      <c r="R392" s="38"/>
      <c r="S392" s="38"/>
      <c r="T392" s="38"/>
      <c r="U392" s="38"/>
      <c r="V392" s="38"/>
      <c r="W392" s="38"/>
      <c r="X392" s="40"/>
      <c r="Y392" s="6"/>
      <c r="Z392" s="38"/>
      <c r="AA392" s="38"/>
      <c r="AB392" s="38"/>
      <c r="AC392" s="6"/>
      <c r="AD392" s="6"/>
      <c r="AE392" s="6"/>
      <c r="AF392" s="38"/>
    </row>
    <row r="393" spans="1:32" ht="13.2">
      <c r="A393" s="38"/>
      <c r="B393" s="36"/>
      <c r="C393" s="36"/>
      <c r="D393" s="36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6"/>
      <c r="P393" s="6"/>
      <c r="Q393" s="38"/>
      <c r="R393" s="38"/>
      <c r="S393" s="38"/>
      <c r="T393" s="38"/>
      <c r="U393" s="38"/>
      <c r="V393" s="38"/>
      <c r="W393" s="38"/>
      <c r="X393" s="40"/>
      <c r="Y393" s="38"/>
      <c r="Z393" s="38"/>
      <c r="AA393" s="38"/>
      <c r="AB393" s="38"/>
      <c r="AC393" s="6"/>
      <c r="AD393" s="6"/>
      <c r="AE393" s="6"/>
      <c r="AF393" s="38"/>
    </row>
    <row r="394" spans="1:32" ht="13.2">
      <c r="A394" s="38"/>
      <c r="B394" s="36"/>
      <c r="C394" s="36"/>
      <c r="D394" s="36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6"/>
      <c r="P394" s="6"/>
      <c r="Q394" s="38"/>
      <c r="R394" s="38"/>
      <c r="S394" s="38"/>
      <c r="T394" s="38"/>
      <c r="U394" s="38"/>
      <c r="V394" s="38"/>
      <c r="W394" s="38"/>
      <c r="X394" s="40"/>
      <c r="Y394" s="38"/>
      <c r="Z394" s="38"/>
      <c r="AA394" s="38"/>
      <c r="AB394" s="38"/>
      <c r="AC394" s="6"/>
      <c r="AD394" s="6"/>
      <c r="AE394" s="6"/>
      <c r="AF394" s="38"/>
    </row>
    <row r="395" spans="1:32" ht="13.2">
      <c r="A395" s="38"/>
      <c r="B395" s="36"/>
      <c r="C395" s="36"/>
      <c r="D395" s="36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6"/>
      <c r="P395" s="6"/>
      <c r="Q395" s="38"/>
      <c r="R395" s="38"/>
      <c r="S395" s="38"/>
      <c r="T395" s="38"/>
      <c r="U395" s="38"/>
      <c r="V395" s="38"/>
      <c r="W395" s="38"/>
      <c r="X395" s="40"/>
      <c r="Y395" s="38"/>
      <c r="Z395" s="38"/>
      <c r="AA395" s="38"/>
      <c r="AB395" s="38"/>
      <c r="AC395" s="6"/>
      <c r="AD395" s="6"/>
      <c r="AE395" s="6"/>
      <c r="AF395" s="38"/>
    </row>
    <row r="396" spans="1:32" ht="13.2">
      <c r="A396" s="38"/>
      <c r="B396" s="36"/>
      <c r="C396" s="36"/>
      <c r="D396" s="36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6"/>
      <c r="P396" s="6"/>
      <c r="Q396" s="38"/>
      <c r="R396" s="38"/>
      <c r="S396" s="38"/>
      <c r="T396" s="38"/>
      <c r="U396" s="38"/>
      <c r="V396" s="38"/>
      <c r="W396" s="38"/>
      <c r="X396" s="40"/>
      <c r="Y396" s="38"/>
      <c r="Z396" s="38"/>
      <c r="AA396" s="38"/>
      <c r="AB396" s="38"/>
      <c r="AC396" s="6"/>
      <c r="AD396" s="6"/>
      <c r="AE396" s="6"/>
      <c r="AF396" s="38"/>
    </row>
    <row r="397" spans="1:32" ht="13.2">
      <c r="A397" s="38"/>
      <c r="B397" s="36"/>
      <c r="C397" s="36"/>
      <c r="D397" s="36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6"/>
      <c r="P397" s="6"/>
      <c r="Q397" s="38"/>
      <c r="R397" s="38"/>
      <c r="S397" s="38"/>
      <c r="T397" s="38"/>
      <c r="U397" s="38"/>
      <c r="V397" s="38"/>
      <c r="W397" s="38"/>
      <c r="X397" s="40"/>
      <c r="Y397" s="38"/>
      <c r="Z397" s="38"/>
      <c r="AA397" s="38"/>
      <c r="AB397" s="38"/>
      <c r="AC397" s="6"/>
      <c r="AD397" s="6"/>
      <c r="AE397" s="6"/>
      <c r="AF397" s="38"/>
    </row>
    <row r="398" spans="1:32" ht="13.2">
      <c r="A398" s="38"/>
      <c r="B398" s="36"/>
      <c r="C398" s="36"/>
      <c r="D398" s="36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6"/>
      <c r="P398" s="6"/>
      <c r="Q398" s="38"/>
      <c r="R398" s="38"/>
      <c r="S398" s="38"/>
      <c r="T398" s="38"/>
      <c r="U398" s="38"/>
      <c r="V398" s="38"/>
      <c r="W398" s="38"/>
      <c r="X398" s="40"/>
      <c r="Y398" s="38"/>
      <c r="Z398" s="38"/>
      <c r="AA398" s="38"/>
      <c r="AB398" s="38"/>
      <c r="AC398" s="6"/>
      <c r="AD398" s="6"/>
      <c r="AE398" s="6"/>
      <c r="AF398" s="38"/>
    </row>
    <row r="399" spans="1:32" ht="13.2">
      <c r="A399" s="38"/>
      <c r="B399" s="36"/>
      <c r="C399" s="36"/>
      <c r="D399" s="36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6"/>
      <c r="P399" s="6"/>
      <c r="Q399" s="38"/>
      <c r="R399" s="38"/>
      <c r="S399" s="38"/>
      <c r="T399" s="38"/>
      <c r="U399" s="38"/>
      <c r="V399" s="38"/>
      <c r="W399" s="38"/>
      <c r="X399" s="40"/>
      <c r="Y399" s="38"/>
      <c r="Z399" s="38"/>
      <c r="AA399" s="38"/>
      <c r="AB399" s="38"/>
      <c r="AC399" s="6"/>
      <c r="AD399" s="6"/>
      <c r="AE399" s="6"/>
      <c r="AF399" s="38"/>
    </row>
    <row r="400" spans="1:32" ht="13.2">
      <c r="A400" s="38"/>
      <c r="B400" s="36"/>
      <c r="C400" s="36"/>
      <c r="D400" s="36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6"/>
      <c r="P400" s="6"/>
      <c r="Q400" s="38"/>
      <c r="R400" s="38"/>
      <c r="S400" s="38"/>
      <c r="T400" s="38"/>
      <c r="U400" s="38"/>
      <c r="V400" s="38"/>
      <c r="W400" s="38"/>
      <c r="X400" s="40"/>
      <c r="Y400" s="38"/>
      <c r="Z400" s="38"/>
      <c r="AA400" s="38"/>
      <c r="AB400" s="38"/>
      <c r="AC400" s="6"/>
      <c r="AD400" s="6"/>
      <c r="AE400" s="6"/>
      <c r="AF400" s="38"/>
    </row>
    <row r="401" spans="1:32" ht="13.2">
      <c r="A401" s="38"/>
      <c r="B401" s="36"/>
      <c r="C401" s="36"/>
      <c r="D401" s="36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6"/>
      <c r="P401" s="6"/>
      <c r="Q401" s="38"/>
      <c r="R401" s="38"/>
      <c r="S401" s="38"/>
      <c r="T401" s="38"/>
      <c r="U401" s="38"/>
      <c r="V401" s="38"/>
      <c r="W401" s="38"/>
      <c r="X401" s="40"/>
      <c r="Y401" s="38"/>
      <c r="Z401" s="38"/>
      <c r="AA401" s="38"/>
      <c r="AB401" s="38"/>
      <c r="AC401" s="6"/>
      <c r="AD401" s="6"/>
      <c r="AE401" s="6"/>
      <c r="AF401" s="38"/>
    </row>
    <row r="402" spans="1:32" ht="13.2">
      <c r="A402" s="38"/>
      <c r="B402" s="36"/>
      <c r="C402" s="36"/>
      <c r="D402" s="36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6"/>
      <c r="P402" s="6"/>
      <c r="Q402" s="38"/>
      <c r="R402" s="38"/>
      <c r="S402" s="38"/>
      <c r="T402" s="38"/>
      <c r="U402" s="38"/>
      <c r="V402" s="38"/>
      <c r="W402" s="38"/>
      <c r="X402" s="40"/>
      <c r="Y402" s="38"/>
      <c r="Z402" s="38"/>
      <c r="AA402" s="38"/>
      <c r="AB402" s="38"/>
      <c r="AC402" s="6"/>
      <c r="AD402" s="6"/>
      <c r="AE402" s="6"/>
      <c r="AF402" s="38"/>
    </row>
    <row r="403" spans="1:32" ht="13.2">
      <c r="A403" s="38"/>
      <c r="B403" s="36"/>
      <c r="C403" s="36"/>
      <c r="D403" s="36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6"/>
      <c r="P403" s="6"/>
      <c r="Q403" s="38"/>
      <c r="R403" s="38"/>
      <c r="S403" s="38"/>
      <c r="T403" s="38"/>
      <c r="U403" s="38"/>
      <c r="V403" s="38"/>
      <c r="W403" s="38"/>
      <c r="X403" s="40"/>
      <c r="Y403" s="38"/>
      <c r="Z403" s="38"/>
      <c r="AA403" s="38"/>
      <c r="AB403" s="38"/>
      <c r="AC403" s="6"/>
      <c r="AD403" s="6"/>
      <c r="AE403" s="6"/>
      <c r="AF403" s="38"/>
    </row>
    <row r="404" spans="1:32" ht="13.2">
      <c r="A404" s="38"/>
      <c r="B404" s="36"/>
      <c r="C404" s="36"/>
      <c r="D404" s="36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6"/>
      <c r="P404" s="6"/>
      <c r="Q404" s="38"/>
      <c r="R404" s="38"/>
      <c r="S404" s="38"/>
      <c r="T404" s="38"/>
      <c r="U404" s="38"/>
      <c r="V404" s="38"/>
      <c r="W404" s="38"/>
      <c r="X404" s="40"/>
      <c r="Y404" s="38"/>
      <c r="Z404" s="38"/>
      <c r="AA404" s="38"/>
      <c r="AB404" s="38"/>
      <c r="AC404" s="6"/>
      <c r="AD404" s="6"/>
      <c r="AE404" s="6"/>
      <c r="AF404" s="38"/>
    </row>
    <row r="405" spans="1:32" ht="13.2">
      <c r="A405" s="38"/>
      <c r="B405" s="36"/>
      <c r="C405" s="36"/>
      <c r="D405" s="36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6"/>
      <c r="P405" s="6"/>
      <c r="Q405" s="38"/>
      <c r="R405" s="38"/>
      <c r="S405" s="38"/>
      <c r="T405" s="38"/>
      <c r="U405" s="38"/>
      <c r="V405" s="38"/>
      <c r="W405" s="38"/>
      <c r="X405" s="40"/>
      <c r="Y405" s="38"/>
      <c r="Z405" s="38"/>
      <c r="AA405" s="38"/>
      <c r="AB405" s="38"/>
      <c r="AC405" s="6"/>
      <c r="AD405" s="6"/>
      <c r="AE405" s="6"/>
      <c r="AF405" s="38"/>
    </row>
    <row r="406" spans="1:32" ht="13.2">
      <c r="A406" s="38"/>
      <c r="B406" s="36"/>
      <c r="C406" s="36"/>
      <c r="D406" s="36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6"/>
      <c r="P406" s="6"/>
      <c r="Q406" s="38"/>
      <c r="R406" s="38"/>
      <c r="S406" s="38"/>
      <c r="T406" s="38"/>
      <c r="U406" s="38"/>
      <c r="V406" s="38"/>
      <c r="W406" s="38"/>
      <c r="X406" s="40"/>
      <c r="Y406" s="38"/>
      <c r="Z406" s="38"/>
      <c r="AA406" s="38"/>
      <c r="AB406" s="38"/>
      <c r="AC406" s="6"/>
      <c r="AD406" s="6"/>
      <c r="AE406" s="6"/>
      <c r="AF406" s="38"/>
    </row>
    <row r="407" spans="1:32" ht="13.2">
      <c r="A407" s="38"/>
      <c r="B407" s="36"/>
      <c r="C407" s="36"/>
      <c r="D407" s="36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6"/>
      <c r="P407" s="6"/>
      <c r="Q407" s="38"/>
      <c r="R407" s="38"/>
      <c r="S407" s="38"/>
      <c r="T407" s="38"/>
      <c r="U407" s="38"/>
      <c r="V407" s="38"/>
      <c r="W407" s="38"/>
      <c r="X407" s="40"/>
      <c r="Y407" s="38"/>
      <c r="Z407" s="38"/>
      <c r="AA407" s="38"/>
      <c r="AB407" s="38"/>
      <c r="AC407" s="6"/>
      <c r="AD407" s="6"/>
      <c r="AE407" s="6"/>
      <c r="AF407" s="38"/>
    </row>
    <row r="408" spans="1:32" ht="13.2">
      <c r="A408" s="38"/>
      <c r="B408" s="36"/>
      <c r="C408" s="36"/>
      <c r="D408" s="36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6"/>
      <c r="P408" s="6"/>
      <c r="Q408" s="38"/>
      <c r="R408" s="38"/>
      <c r="S408" s="38"/>
      <c r="T408" s="38"/>
      <c r="U408" s="38"/>
      <c r="V408" s="38"/>
      <c r="W408" s="38"/>
      <c r="X408" s="40"/>
      <c r="Y408" s="38"/>
      <c r="Z408" s="38"/>
      <c r="AA408" s="38"/>
      <c r="AB408" s="38"/>
      <c r="AC408" s="6"/>
      <c r="AD408" s="6"/>
      <c r="AE408" s="6"/>
      <c r="AF408" s="38"/>
    </row>
    <row r="409" spans="1:32" ht="13.2">
      <c r="A409" s="38"/>
      <c r="B409" s="36"/>
      <c r="C409" s="36"/>
      <c r="D409" s="36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6"/>
      <c r="P409" s="6"/>
      <c r="Q409" s="38"/>
      <c r="R409" s="38"/>
      <c r="S409" s="38"/>
      <c r="T409" s="38"/>
      <c r="U409" s="38"/>
      <c r="V409" s="38"/>
      <c r="W409" s="38"/>
      <c r="X409" s="40"/>
      <c r="Y409" s="38"/>
      <c r="Z409" s="38"/>
      <c r="AA409" s="38"/>
      <c r="AB409" s="38"/>
      <c r="AC409" s="6"/>
      <c r="AD409" s="6"/>
      <c r="AE409" s="6"/>
      <c r="AF409" s="38"/>
    </row>
    <row r="410" spans="1:32" ht="13.2">
      <c r="A410" s="38"/>
      <c r="B410" s="36"/>
      <c r="C410" s="36"/>
      <c r="D410" s="36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6"/>
      <c r="P410" s="6"/>
      <c r="Q410" s="38"/>
      <c r="R410" s="38"/>
      <c r="S410" s="38"/>
      <c r="T410" s="38"/>
      <c r="U410" s="38"/>
      <c r="V410" s="38"/>
      <c r="W410" s="38"/>
      <c r="X410" s="40"/>
      <c r="Y410" s="38"/>
      <c r="Z410" s="38"/>
      <c r="AA410" s="38"/>
      <c r="AB410" s="38"/>
      <c r="AC410" s="6"/>
      <c r="AD410" s="6"/>
      <c r="AE410" s="6"/>
      <c r="AF410" s="38"/>
    </row>
    <row r="411" spans="1:32" ht="13.2">
      <c r="A411" s="38"/>
      <c r="B411" s="36"/>
      <c r="C411" s="36"/>
      <c r="D411" s="36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6"/>
      <c r="P411" s="6"/>
      <c r="Q411" s="38"/>
      <c r="R411" s="38"/>
      <c r="S411" s="38"/>
      <c r="T411" s="38"/>
      <c r="U411" s="38"/>
      <c r="V411" s="38"/>
      <c r="W411" s="38"/>
      <c r="X411" s="40"/>
      <c r="Y411" s="38"/>
      <c r="Z411" s="38"/>
      <c r="AA411" s="38"/>
      <c r="AB411" s="38"/>
      <c r="AC411" s="6"/>
      <c r="AD411" s="6"/>
      <c r="AE411" s="6"/>
      <c r="AF411" s="38"/>
    </row>
    <row r="412" spans="1:32" ht="13.2">
      <c r="A412" s="38"/>
      <c r="B412" s="36"/>
      <c r="C412" s="36"/>
      <c r="D412" s="36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6"/>
      <c r="P412" s="6"/>
      <c r="Q412" s="38"/>
      <c r="R412" s="38"/>
      <c r="S412" s="38"/>
      <c r="T412" s="38"/>
      <c r="U412" s="38"/>
      <c r="V412" s="38"/>
      <c r="W412" s="38"/>
      <c r="X412" s="40"/>
      <c r="Y412" s="38"/>
      <c r="Z412" s="38"/>
      <c r="AA412" s="38"/>
      <c r="AB412" s="38"/>
      <c r="AC412" s="6"/>
      <c r="AD412" s="6"/>
      <c r="AE412" s="6"/>
      <c r="AF412" s="38"/>
    </row>
    <row r="413" spans="1:32" ht="13.2">
      <c r="A413" s="38"/>
      <c r="B413" s="36"/>
      <c r="C413" s="36"/>
      <c r="D413" s="36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6"/>
      <c r="P413" s="6"/>
      <c r="Q413" s="38"/>
      <c r="R413" s="38"/>
      <c r="S413" s="38"/>
      <c r="T413" s="38"/>
      <c r="U413" s="38"/>
      <c r="V413" s="38"/>
      <c r="W413" s="38"/>
      <c r="X413" s="40"/>
      <c r="Y413" s="38"/>
      <c r="Z413" s="38"/>
      <c r="AA413" s="38"/>
      <c r="AB413" s="38"/>
      <c r="AC413" s="6"/>
      <c r="AD413" s="6"/>
      <c r="AE413" s="6"/>
      <c r="AF413" s="38"/>
    </row>
    <row r="414" spans="1:32" ht="13.2">
      <c r="A414" s="38"/>
      <c r="B414" s="36"/>
      <c r="C414" s="36"/>
      <c r="D414" s="36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6"/>
      <c r="P414" s="6"/>
      <c r="Q414" s="38"/>
      <c r="R414" s="38"/>
      <c r="S414" s="38"/>
      <c r="T414" s="38"/>
      <c r="U414" s="38"/>
      <c r="V414" s="38"/>
      <c r="W414" s="38"/>
      <c r="X414" s="40"/>
      <c r="Y414" s="38"/>
      <c r="Z414" s="38"/>
      <c r="AA414" s="38"/>
      <c r="AB414" s="38"/>
      <c r="AC414" s="6"/>
      <c r="AD414" s="6"/>
      <c r="AE414" s="6"/>
      <c r="AF414" s="38"/>
    </row>
    <row r="415" spans="1:32" ht="13.2">
      <c r="A415" s="38"/>
      <c r="B415" s="36"/>
      <c r="C415" s="36"/>
      <c r="D415" s="36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6"/>
      <c r="P415" s="6"/>
      <c r="Q415" s="38"/>
      <c r="R415" s="38"/>
      <c r="S415" s="38"/>
      <c r="T415" s="38"/>
      <c r="U415" s="38"/>
      <c r="V415" s="38"/>
      <c r="W415" s="38"/>
      <c r="X415" s="40"/>
      <c r="Y415" s="38"/>
      <c r="Z415" s="38"/>
      <c r="AA415" s="38"/>
      <c r="AB415" s="38"/>
      <c r="AC415" s="6"/>
      <c r="AD415" s="6"/>
      <c r="AE415" s="6"/>
      <c r="AF415" s="38"/>
    </row>
    <row r="416" spans="1:32" ht="13.2">
      <c r="A416" s="38"/>
      <c r="B416" s="36"/>
      <c r="C416" s="36"/>
      <c r="D416" s="36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6"/>
      <c r="P416" s="6"/>
      <c r="Q416" s="38"/>
      <c r="R416" s="38"/>
      <c r="S416" s="38"/>
      <c r="T416" s="38"/>
      <c r="U416" s="38"/>
      <c r="V416" s="38"/>
      <c r="W416" s="38"/>
      <c r="X416" s="40"/>
      <c r="Y416" s="38"/>
      <c r="Z416" s="38"/>
      <c r="AA416" s="38"/>
      <c r="AB416" s="38"/>
      <c r="AC416" s="6"/>
      <c r="AD416" s="6"/>
      <c r="AE416" s="6"/>
      <c r="AF416" s="38"/>
    </row>
    <row r="417" spans="1:32" ht="13.2">
      <c r="A417" s="38"/>
      <c r="B417" s="36"/>
      <c r="C417" s="36"/>
      <c r="D417" s="36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6"/>
      <c r="P417" s="6"/>
      <c r="Q417" s="38"/>
      <c r="R417" s="38"/>
      <c r="S417" s="38"/>
      <c r="T417" s="38"/>
      <c r="U417" s="38"/>
      <c r="V417" s="38"/>
      <c r="W417" s="38"/>
      <c r="X417" s="40"/>
      <c r="Y417" s="38"/>
      <c r="Z417" s="38"/>
      <c r="AA417" s="38"/>
      <c r="AB417" s="38"/>
      <c r="AC417" s="6"/>
      <c r="AD417" s="6"/>
      <c r="AE417" s="6"/>
      <c r="AF417" s="38"/>
    </row>
    <row r="418" spans="1:32" ht="13.2">
      <c r="A418" s="38"/>
      <c r="B418" s="36"/>
      <c r="C418" s="36"/>
      <c r="D418" s="36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6"/>
      <c r="P418" s="6"/>
      <c r="Q418" s="38"/>
      <c r="R418" s="38"/>
      <c r="S418" s="38"/>
      <c r="T418" s="38"/>
      <c r="U418" s="38"/>
      <c r="V418" s="38"/>
      <c r="W418" s="38"/>
      <c r="X418" s="40"/>
      <c r="Y418" s="38"/>
      <c r="Z418" s="38"/>
      <c r="AA418" s="38"/>
      <c r="AB418" s="38"/>
      <c r="AC418" s="6"/>
      <c r="AD418" s="6"/>
      <c r="AE418" s="6"/>
      <c r="AF418" s="38"/>
    </row>
    <row r="419" spans="1:32" ht="13.2">
      <c r="A419" s="38"/>
      <c r="B419" s="36"/>
      <c r="C419" s="36"/>
      <c r="D419" s="36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6"/>
      <c r="P419" s="6"/>
      <c r="Q419" s="38"/>
      <c r="R419" s="38"/>
      <c r="S419" s="38"/>
      <c r="T419" s="38"/>
      <c r="U419" s="38"/>
      <c r="V419" s="38"/>
      <c r="W419" s="38"/>
      <c r="X419" s="40"/>
      <c r="Y419" s="38"/>
      <c r="Z419" s="38"/>
      <c r="AA419" s="38"/>
      <c r="AB419" s="38"/>
      <c r="AC419" s="6"/>
      <c r="AD419" s="6"/>
      <c r="AE419" s="6"/>
      <c r="AF419" s="38"/>
    </row>
    <row r="420" spans="1:32" ht="13.2">
      <c r="A420" s="38"/>
      <c r="B420" s="36"/>
      <c r="C420" s="36"/>
      <c r="D420" s="36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6"/>
      <c r="P420" s="6"/>
      <c r="Q420" s="38"/>
      <c r="R420" s="38"/>
      <c r="S420" s="38"/>
      <c r="T420" s="38"/>
      <c r="U420" s="38"/>
      <c r="V420" s="38"/>
      <c r="W420" s="38"/>
      <c r="X420" s="40"/>
      <c r="Y420" s="38"/>
      <c r="Z420" s="38"/>
      <c r="AA420" s="38"/>
      <c r="AB420" s="38"/>
      <c r="AC420" s="6"/>
      <c r="AD420" s="6"/>
      <c r="AE420" s="6"/>
      <c r="AF420" s="38"/>
    </row>
    <row r="421" spans="1:32" ht="13.2">
      <c r="A421" s="38"/>
      <c r="B421" s="36"/>
      <c r="C421" s="36"/>
      <c r="D421" s="36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6"/>
      <c r="P421" s="6"/>
      <c r="Q421" s="38"/>
      <c r="R421" s="38"/>
      <c r="S421" s="38"/>
      <c r="T421" s="38"/>
      <c r="U421" s="38"/>
      <c r="V421" s="38"/>
      <c r="W421" s="38"/>
      <c r="X421" s="40"/>
      <c r="Y421" s="38"/>
      <c r="Z421" s="38"/>
      <c r="AA421" s="38"/>
      <c r="AB421" s="38"/>
      <c r="AC421" s="6"/>
      <c r="AD421" s="6"/>
      <c r="AE421" s="6"/>
      <c r="AF421" s="38"/>
    </row>
    <row r="422" spans="1:32" ht="13.2">
      <c r="A422" s="38"/>
      <c r="B422" s="36"/>
      <c r="C422" s="36"/>
      <c r="D422" s="36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6"/>
      <c r="P422" s="6"/>
      <c r="Q422" s="38"/>
      <c r="R422" s="38"/>
      <c r="S422" s="38"/>
      <c r="T422" s="38"/>
      <c r="U422" s="38"/>
      <c r="V422" s="38"/>
      <c r="W422" s="38"/>
      <c r="X422" s="40"/>
      <c r="Y422" s="38"/>
      <c r="Z422" s="38"/>
      <c r="AA422" s="38"/>
      <c r="AB422" s="38"/>
      <c r="AC422" s="6"/>
      <c r="AD422" s="6"/>
      <c r="AE422" s="6"/>
      <c r="AF422" s="38"/>
    </row>
    <row r="423" spans="1:32" ht="13.2">
      <c r="A423" s="38"/>
      <c r="B423" s="36"/>
      <c r="C423" s="36"/>
      <c r="D423" s="36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6"/>
      <c r="P423" s="6"/>
      <c r="Q423" s="38"/>
      <c r="R423" s="38"/>
      <c r="S423" s="38"/>
      <c r="T423" s="38"/>
      <c r="U423" s="38"/>
      <c r="V423" s="38"/>
      <c r="W423" s="38"/>
      <c r="X423" s="40"/>
      <c r="Y423" s="38"/>
      <c r="Z423" s="38"/>
      <c r="AA423" s="38"/>
      <c r="AB423" s="38"/>
      <c r="AC423" s="6"/>
      <c r="AD423" s="6"/>
      <c r="AE423" s="6"/>
      <c r="AF423" s="38"/>
    </row>
    <row r="424" spans="1:32" ht="13.2">
      <c r="A424" s="38"/>
      <c r="B424" s="36"/>
      <c r="C424" s="36"/>
      <c r="D424" s="36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6"/>
      <c r="P424" s="6"/>
      <c r="Q424" s="38"/>
      <c r="R424" s="38"/>
      <c r="S424" s="38"/>
      <c r="T424" s="38"/>
      <c r="U424" s="38"/>
      <c r="V424" s="38"/>
      <c r="W424" s="38"/>
      <c r="X424" s="40"/>
      <c r="Y424" s="38"/>
      <c r="Z424" s="38"/>
      <c r="AA424" s="38"/>
      <c r="AB424" s="38"/>
      <c r="AC424" s="6"/>
      <c r="AD424" s="6"/>
      <c r="AE424" s="6"/>
      <c r="AF424" s="38"/>
    </row>
    <row r="425" spans="1:32" ht="13.2">
      <c r="A425" s="38"/>
      <c r="B425" s="36"/>
      <c r="C425" s="36"/>
      <c r="D425" s="36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6"/>
      <c r="P425" s="6"/>
      <c r="Q425" s="38"/>
      <c r="R425" s="38"/>
      <c r="S425" s="38"/>
      <c r="T425" s="38"/>
      <c r="U425" s="38"/>
      <c r="V425" s="38"/>
      <c r="W425" s="38"/>
      <c r="X425" s="40"/>
      <c r="Y425" s="38"/>
      <c r="Z425" s="38"/>
      <c r="AA425" s="38"/>
      <c r="AB425" s="38"/>
      <c r="AC425" s="6"/>
      <c r="AD425" s="6"/>
      <c r="AE425" s="6"/>
      <c r="AF425" s="38"/>
    </row>
    <row r="426" spans="1:32" ht="13.2">
      <c r="A426" s="38"/>
      <c r="B426" s="36"/>
      <c r="C426" s="36"/>
      <c r="D426" s="36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6"/>
      <c r="P426" s="6"/>
      <c r="Q426" s="38"/>
      <c r="R426" s="38"/>
      <c r="S426" s="38"/>
      <c r="T426" s="38"/>
      <c r="U426" s="38"/>
      <c r="V426" s="38"/>
      <c r="W426" s="38"/>
      <c r="X426" s="40"/>
      <c r="Y426" s="38"/>
      <c r="Z426" s="38"/>
      <c r="AA426" s="38"/>
      <c r="AB426" s="38"/>
      <c r="AC426" s="6"/>
      <c r="AD426" s="6"/>
      <c r="AE426" s="6"/>
      <c r="AF426" s="38"/>
    </row>
    <row r="427" spans="1:32" ht="13.2">
      <c r="A427" s="38"/>
      <c r="B427" s="36"/>
      <c r="C427" s="36"/>
      <c r="D427" s="36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6"/>
      <c r="P427" s="6"/>
      <c r="Q427" s="38"/>
      <c r="R427" s="38"/>
      <c r="S427" s="38"/>
      <c r="T427" s="38"/>
      <c r="U427" s="38"/>
      <c r="V427" s="38"/>
      <c r="W427" s="38"/>
      <c r="X427" s="40"/>
      <c r="Y427" s="38"/>
      <c r="Z427" s="38"/>
      <c r="AA427" s="38"/>
      <c r="AB427" s="38"/>
      <c r="AC427" s="6"/>
      <c r="AD427" s="6"/>
      <c r="AE427" s="6"/>
      <c r="AF427" s="38"/>
    </row>
    <row r="428" spans="1:32" ht="13.2">
      <c r="A428" s="38"/>
      <c r="B428" s="36"/>
      <c r="C428" s="36"/>
      <c r="D428" s="36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6"/>
      <c r="P428" s="6"/>
      <c r="Q428" s="38"/>
      <c r="R428" s="38"/>
      <c r="S428" s="38"/>
      <c r="T428" s="38"/>
      <c r="U428" s="38"/>
      <c r="V428" s="38"/>
      <c r="W428" s="38"/>
      <c r="X428" s="40"/>
      <c r="Y428" s="38"/>
      <c r="Z428" s="38"/>
      <c r="AA428" s="38"/>
      <c r="AB428" s="38"/>
      <c r="AC428" s="6"/>
      <c r="AD428" s="6"/>
      <c r="AE428" s="6"/>
      <c r="AF428" s="38"/>
    </row>
    <row r="429" spans="1:32" ht="13.2">
      <c r="A429" s="38"/>
      <c r="B429" s="36"/>
      <c r="C429" s="36"/>
      <c r="D429" s="36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6"/>
      <c r="P429" s="6"/>
      <c r="Q429" s="38"/>
      <c r="R429" s="38"/>
      <c r="S429" s="38"/>
      <c r="T429" s="38"/>
      <c r="U429" s="38"/>
      <c r="V429" s="38"/>
      <c r="W429" s="38"/>
      <c r="X429" s="40"/>
      <c r="Y429" s="38"/>
      <c r="Z429" s="38"/>
      <c r="AA429" s="38"/>
      <c r="AB429" s="38"/>
      <c r="AC429" s="6"/>
      <c r="AD429" s="6"/>
      <c r="AE429" s="6"/>
      <c r="AF429" s="38"/>
    </row>
    <row r="430" spans="1:32" ht="13.2">
      <c r="A430" s="38"/>
      <c r="B430" s="36"/>
      <c r="C430" s="36"/>
      <c r="D430" s="36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6"/>
      <c r="P430" s="6"/>
      <c r="Q430" s="38"/>
      <c r="R430" s="38"/>
      <c r="S430" s="38"/>
      <c r="T430" s="38"/>
      <c r="U430" s="38"/>
      <c r="V430" s="38"/>
      <c r="W430" s="38"/>
      <c r="X430" s="40"/>
      <c r="Y430" s="38"/>
      <c r="Z430" s="38"/>
      <c r="AA430" s="38"/>
      <c r="AB430" s="38"/>
      <c r="AC430" s="6"/>
      <c r="AD430" s="6"/>
      <c r="AE430" s="6"/>
      <c r="AF430" s="38"/>
    </row>
    <row r="431" spans="1:32" ht="13.2">
      <c r="A431" s="38"/>
      <c r="B431" s="36"/>
      <c r="C431" s="36"/>
      <c r="D431" s="36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6"/>
      <c r="P431" s="6"/>
      <c r="Q431" s="38"/>
      <c r="R431" s="38"/>
      <c r="S431" s="38"/>
      <c r="T431" s="38"/>
      <c r="U431" s="38"/>
      <c r="V431" s="38"/>
      <c r="W431" s="38"/>
      <c r="X431" s="40"/>
      <c r="Y431" s="38"/>
      <c r="Z431" s="38"/>
      <c r="AA431" s="38"/>
      <c r="AB431" s="38"/>
      <c r="AC431" s="6"/>
      <c r="AD431" s="6"/>
      <c r="AE431" s="6"/>
      <c r="AF431" s="38"/>
    </row>
    <row r="432" spans="1:32" ht="13.2">
      <c r="A432" s="38"/>
      <c r="B432" s="36"/>
      <c r="C432" s="36"/>
      <c r="D432" s="36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6"/>
      <c r="P432" s="6"/>
      <c r="Q432" s="38"/>
      <c r="R432" s="38"/>
      <c r="S432" s="38"/>
      <c r="T432" s="38"/>
      <c r="U432" s="38"/>
      <c r="V432" s="38"/>
      <c r="W432" s="38"/>
      <c r="X432" s="40"/>
      <c r="Y432" s="38"/>
      <c r="Z432" s="38"/>
      <c r="AA432" s="38"/>
      <c r="AB432" s="38"/>
      <c r="AC432" s="6"/>
      <c r="AD432" s="6"/>
      <c r="AE432" s="6"/>
      <c r="AF432" s="38"/>
    </row>
    <row r="433" spans="1:32" ht="13.2">
      <c r="A433" s="38"/>
      <c r="B433" s="36"/>
      <c r="C433" s="36"/>
      <c r="D433" s="36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6"/>
      <c r="P433" s="6"/>
      <c r="Q433" s="38"/>
      <c r="R433" s="38"/>
      <c r="S433" s="38"/>
      <c r="T433" s="38"/>
      <c r="U433" s="38"/>
      <c r="V433" s="38"/>
      <c r="W433" s="38"/>
      <c r="X433" s="40"/>
      <c r="Y433" s="38"/>
      <c r="Z433" s="38"/>
      <c r="AA433" s="38"/>
      <c r="AB433" s="38"/>
      <c r="AC433" s="6"/>
      <c r="AD433" s="6"/>
      <c r="AE433" s="6"/>
      <c r="AF433" s="38"/>
    </row>
    <row r="434" spans="1:32" ht="13.2">
      <c r="A434" s="38"/>
      <c r="B434" s="36"/>
      <c r="C434" s="36"/>
      <c r="D434" s="36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6"/>
      <c r="P434" s="6"/>
      <c r="Q434" s="38"/>
      <c r="R434" s="38"/>
      <c r="S434" s="38"/>
      <c r="T434" s="38"/>
      <c r="U434" s="38"/>
      <c r="V434" s="38"/>
      <c r="W434" s="38"/>
      <c r="X434" s="40"/>
      <c r="Y434" s="38"/>
      <c r="Z434" s="38"/>
      <c r="AA434" s="38"/>
      <c r="AB434" s="38"/>
      <c r="AC434" s="6"/>
      <c r="AD434" s="6"/>
      <c r="AE434" s="6"/>
      <c r="AF434" s="38"/>
    </row>
    <row r="435" spans="1:32" ht="13.2">
      <c r="A435" s="38"/>
      <c r="B435" s="36"/>
      <c r="C435" s="36"/>
      <c r="D435" s="36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6"/>
      <c r="P435" s="6"/>
      <c r="Q435" s="38"/>
      <c r="R435" s="38"/>
      <c r="S435" s="38"/>
      <c r="T435" s="38"/>
      <c r="U435" s="38"/>
      <c r="V435" s="38"/>
      <c r="W435" s="38"/>
      <c r="X435" s="40"/>
      <c r="Y435" s="38"/>
      <c r="Z435" s="38"/>
      <c r="AA435" s="38"/>
      <c r="AB435" s="38"/>
      <c r="AC435" s="6"/>
      <c r="AD435" s="6"/>
      <c r="AE435" s="6"/>
      <c r="AF435" s="38"/>
    </row>
    <row r="436" spans="1:32" ht="13.2">
      <c r="A436" s="38"/>
      <c r="B436" s="36"/>
      <c r="C436" s="36"/>
      <c r="D436" s="36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6"/>
      <c r="P436" s="6"/>
      <c r="Q436" s="38"/>
      <c r="R436" s="38"/>
      <c r="S436" s="38"/>
      <c r="T436" s="38"/>
      <c r="U436" s="38"/>
      <c r="V436" s="38"/>
      <c r="W436" s="38"/>
      <c r="X436" s="40"/>
      <c r="Y436" s="38"/>
      <c r="Z436" s="38"/>
      <c r="AA436" s="38"/>
      <c r="AB436" s="38"/>
      <c r="AC436" s="6"/>
      <c r="AD436" s="6"/>
      <c r="AE436" s="6"/>
      <c r="AF436" s="38"/>
    </row>
    <row r="437" spans="1:32" ht="13.2">
      <c r="A437" s="38"/>
      <c r="B437" s="36"/>
      <c r="C437" s="36"/>
      <c r="D437" s="36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6"/>
      <c r="P437" s="6"/>
      <c r="Q437" s="38"/>
      <c r="R437" s="38"/>
      <c r="S437" s="38"/>
      <c r="T437" s="38"/>
      <c r="U437" s="38"/>
      <c r="V437" s="38"/>
      <c r="W437" s="38"/>
      <c r="X437" s="40"/>
      <c r="Y437" s="38"/>
      <c r="Z437" s="38"/>
      <c r="AA437" s="38"/>
      <c r="AB437" s="38"/>
      <c r="AC437" s="6"/>
      <c r="AD437" s="6"/>
      <c r="AE437" s="6"/>
      <c r="AF437" s="38"/>
    </row>
    <row r="438" spans="1:32" ht="13.2">
      <c r="A438" s="38"/>
      <c r="B438" s="36"/>
      <c r="C438" s="36"/>
      <c r="D438" s="36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6"/>
      <c r="P438" s="6"/>
      <c r="Q438" s="38"/>
      <c r="R438" s="38"/>
      <c r="S438" s="38"/>
      <c r="T438" s="38"/>
      <c r="U438" s="38"/>
      <c r="V438" s="38"/>
      <c r="W438" s="38"/>
      <c r="X438" s="40"/>
      <c r="Y438" s="38"/>
      <c r="Z438" s="38"/>
      <c r="AA438" s="38"/>
      <c r="AB438" s="38"/>
      <c r="AC438" s="6"/>
      <c r="AD438" s="6"/>
      <c r="AE438" s="6"/>
      <c r="AF438" s="38"/>
    </row>
    <row r="439" spans="1:32" ht="13.2">
      <c r="A439" s="38"/>
      <c r="B439" s="36"/>
      <c r="C439" s="36"/>
      <c r="D439" s="36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6"/>
      <c r="P439" s="6"/>
      <c r="Q439" s="38"/>
      <c r="R439" s="38"/>
      <c r="S439" s="38"/>
      <c r="T439" s="38"/>
      <c r="U439" s="38"/>
      <c r="V439" s="38"/>
      <c r="W439" s="38"/>
      <c r="X439" s="40"/>
      <c r="Y439" s="38"/>
      <c r="Z439" s="38"/>
      <c r="AA439" s="38"/>
      <c r="AB439" s="38"/>
      <c r="AC439" s="6"/>
      <c r="AD439" s="6"/>
      <c r="AE439" s="6"/>
      <c r="AF439" s="38"/>
    </row>
    <row r="440" spans="1:32" ht="13.2">
      <c r="A440" s="38"/>
      <c r="B440" s="36"/>
      <c r="C440" s="36"/>
      <c r="D440" s="36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6"/>
      <c r="P440" s="6"/>
      <c r="Q440" s="38"/>
      <c r="R440" s="38"/>
      <c r="S440" s="38"/>
      <c r="T440" s="38"/>
      <c r="U440" s="38"/>
      <c r="V440" s="38"/>
      <c r="W440" s="38"/>
      <c r="X440" s="40"/>
      <c r="Y440" s="38"/>
      <c r="Z440" s="38"/>
      <c r="AA440" s="38"/>
      <c r="AB440" s="38"/>
      <c r="AC440" s="6"/>
      <c r="AD440" s="6"/>
      <c r="AE440" s="6"/>
      <c r="AF440" s="38"/>
    </row>
    <row r="441" spans="1:32" ht="13.2">
      <c r="A441" s="38"/>
      <c r="B441" s="36"/>
      <c r="C441" s="36"/>
      <c r="D441" s="36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6"/>
      <c r="P441" s="6"/>
      <c r="Q441" s="38"/>
      <c r="R441" s="38"/>
      <c r="S441" s="38"/>
      <c r="T441" s="38"/>
      <c r="U441" s="38"/>
      <c r="V441" s="38"/>
      <c r="W441" s="38"/>
      <c r="X441" s="40"/>
      <c r="Y441" s="38"/>
      <c r="Z441" s="38"/>
      <c r="AA441" s="38"/>
      <c r="AB441" s="38"/>
      <c r="AC441" s="6"/>
      <c r="AD441" s="6"/>
      <c r="AE441" s="6"/>
      <c r="AF441" s="38"/>
    </row>
    <row r="442" spans="1:32" ht="13.2">
      <c r="A442" s="38"/>
      <c r="B442" s="36"/>
      <c r="C442" s="36"/>
      <c r="D442" s="36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6"/>
      <c r="P442" s="6"/>
      <c r="Q442" s="38"/>
      <c r="R442" s="38"/>
      <c r="S442" s="38"/>
      <c r="T442" s="38"/>
      <c r="U442" s="38"/>
      <c r="V442" s="38"/>
      <c r="W442" s="38"/>
      <c r="X442" s="40"/>
      <c r="Y442" s="38"/>
      <c r="Z442" s="38"/>
      <c r="AA442" s="38"/>
      <c r="AB442" s="38"/>
      <c r="AC442" s="6"/>
      <c r="AD442" s="6"/>
      <c r="AE442" s="6"/>
      <c r="AF442" s="38"/>
    </row>
    <row r="443" spans="1:32" ht="13.2">
      <c r="A443" s="38"/>
      <c r="B443" s="36"/>
      <c r="C443" s="36"/>
      <c r="D443" s="36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6"/>
      <c r="P443" s="6"/>
      <c r="Q443" s="38"/>
      <c r="R443" s="38"/>
      <c r="S443" s="38"/>
      <c r="T443" s="38"/>
      <c r="U443" s="38"/>
      <c r="V443" s="38"/>
      <c r="W443" s="38"/>
      <c r="X443" s="40"/>
      <c r="Y443" s="38"/>
      <c r="Z443" s="38"/>
      <c r="AA443" s="38"/>
      <c r="AB443" s="38"/>
      <c r="AC443" s="6"/>
      <c r="AD443" s="6"/>
      <c r="AE443" s="6"/>
      <c r="AF443" s="38"/>
    </row>
    <row r="444" spans="1:32" ht="13.2">
      <c r="A444" s="38"/>
      <c r="B444" s="36"/>
      <c r="C444" s="36"/>
      <c r="D444" s="36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6"/>
      <c r="P444" s="6"/>
      <c r="Q444" s="38"/>
      <c r="R444" s="38"/>
      <c r="S444" s="38"/>
      <c r="T444" s="38"/>
      <c r="U444" s="38"/>
      <c r="V444" s="38"/>
      <c r="W444" s="38"/>
      <c r="X444" s="40"/>
      <c r="Y444" s="38"/>
      <c r="Z444" s="38"/>
      <c r="AA444" s="38"/>
      <c r="AB444" s="38"/>
      <c r="AC444" s="6"/>
      <c r="AD444" s="6"/>
      <c r="AE444" s="6"/>
      <c r="AF444" s="38"/>
    </row>
    <row r="445" spans="1:32" ht="13.2">
      <c r="A445" s="38"/>
      <c r="B445" s="36"/>
      <c r="C445" s="36"/>
      <c r="D445" s="36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6"/>
      <c r="P445" s="6"/>
      <c r="Q445" s="38"/>
      <c r="R445" s="38"/>
      <c r="S445" s="38"/>
      <c r="T445" s="38"/>
      <c r="U445" s="38"/>
      <c r="V445" s="38"/>
      <c r="W445" s="38"/>
      <c r="X445" s="40"/>
      <c r="Y445" s="38"/>
      <c r="Z445" s="38"/>
      <c r="AA445" s="38"/>
      <c r="AB445" s="38"/>
      <c r="AC445" s="6"/>
      <c r="AD445" s="6"/>
      <c r="AE445" s="6"/>
      <c r="AF445" s="38"/>
    </row>
    <row r="446" spans="1:32" ht="13.2">
      <c r="A446" s="38"/>
      <c r="B446" s="36"/>
      <c r="C446" s="36"/>
      <c r="D446" s="36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6"/>
      <c r="P446" s="6"/>
      <c r="Q446" s="38"/>
      <c r="R446" s="38"/>
      <c r="S446" s="38"/>
      <c r="T446" s="38"/>
      <c r="U446" s="38"/>
      <c r="V446" s="38"/>
      <c r="W446" s="38"/>
      <c r="X446" s="40"/>
      <c r="Y446" s="38"/>
      <c r="Z446" s="38"/>
      <c r="AA446" s="38"/>
      <c r="AB446" s="38"/>
      <c r="AC446" s="6"/>
      <c r="AD446" s="6"/>
      <c r="AE446" s="6"/>
      <c r="AF446" s="38"/>
    </row>
    <row r="447" spans="1:32" ht="13.2">
      <c r="A447" s="38"/>
      <c r="B447" s="36"/>
      <c r="C447" s="36"/>
      <c r="D447" s="36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6"/>
      <c r="P447" s="6"/>
      <c r="Q447" s="38"/>
      <c r="R447" s="38"/>
      <c r="S447" s="38"/>
      <c r="T447" s="38"/>
      <c r="U447" s="38"/>
      <c r="V447" s="38"/>
      <c r="W447" s="38"/>
      <c r="X447" s="40"/>
      <c r="Y447" s="38"/>
      <c r="Z447" s="38"/>
      <c r="AA447" s="38"/>
      <c r="AB447" s="38"/>
      <c r="AC447" s="6"/>
      <c r="AD447" s="6"/>
      <c r="AE447" s="6"/>
      <c r="AF447" s="38"/>
    </row>
    <row r="448" spans="1:32" ht="13.2">
      <c r="A448" s="38"/>
      <c r="B448" s="36"/>
      <c r="C448" s="36"/>
      <c r="D448" s="36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6"/>
      <c r="P448" s="6"/>
      <c r="Q448" s="38"/>
      <c r="R448" s="38"/>
      <c r="S448" s="38"/>
      <c r="T448" s="38"/>
      <c r="U448" s="38"/>
      <c r="V448" s="38"/>
      <c r="W448" s="38"/>
      <c r="X448" s="40"/>
      <c r="Y448" s="38"/>
      <c r="Z448" s="38"/>
      <c r="AA448" s="38"/>
      <c r="AB448" s="38"/>
      <c r="AC448" s="6"/>
      <c r="AD448" s="6"/>
      <c r="AE448" s="6"/>
      <c r="AF448" s="38"/>
    </row>
    <row r="449" spans="1:32" ht="13.2">
      <c r="A449" s="38"/>
      <c r="B449" s="36"/>
      <c r="C449" s="36"/>
      <c r="D449" s="36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6"/>
      <c r="P449" s="6"/>
      <c r="Q449" s="38"/>
      <c r="R449" s="38"/>
      <c r="S449" s="38"/>
      <c r="T449" s="38"/>
      <c r="U449" s="38"/>
      <c r="V449" s="38"/>
      <c r="W449" s="38"/>
      <c r="X449" s="40"/>
      <c r="Y449" s="38"/>
      <c r="Z449" s="38"/>
      <c r="AA449" s="38"/>
      <c r="AB449" s="38"/>
      <c r="AC449" s="6"/>
      <c r="AD449" s="6"/>
      <c r="AE449" s="6"/>
      <c r="AF449" s="38"/>
    </row>
    <row r="450" spans="1:32" ht="13.2">
      <c r="A450" s="38"/>
      <c r="B450" s="36"/>
      <c r="C450" s="36"/>
      <c r="D450" s="36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6"/>
      <c r="P450" s="6"/>
      <c r="Q450" s="38"/>
      <c r="R450" s="38"/>
      <c r="S450" s="38"/>
      <c r="T450" s="38"/>
      <c r="U450" s="38"/>
      <c r="V450" s="38"/>
      <c r="W450" s="38"/>
      <c r="X450" s="40"/>
      <c r="Y450" s="38"/>
      <c r="Z450" s="38"/>
      <c r="AA450" s="38"/>
      <c r="AB450" s="38"/>
      <c r="AC450" s="6"/>
      <c r="AD450" s="6"/>
      <c r="AE450" s="6"/>
      <c r="AF450" s="38"/>
    </row>
    <row r="451" spans="1:32" ht="13.2">
      <c r="A451" s="38"/>
      <c r="B451" s="36"/>
      <c r="C451" s="36"/>
      <c r="D451" s="36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6"/>
      <c r="P451" s="6"/>
      <c r="Q451" s="38"/>
      <c r="R451" s="38"/>
      <c r="S451" s="38"/>
      <c r="T451" s="38"/>
      <c r="U451" s="38"/>
      <c r="V451" s="38"/>
      <c r="W451" s="38"/>
      <c r="X451" s="40"/>
      <c r="Y451" s="38"/>
      <c r="Z451" s="38"/>
      <c r="AA451" s="38"/>
      <c r="AB451" s="38"/>
      <c r="AC451" s="6"/>
      <c r="AD451" s="6"/>
      <c r="AE451" s="6"/>
      <c r="AF451" s="38"/>
    </row>
    <row r="452" spans="1:32" ht="13.2">
      <c r="A452" s="38"/>
      <c r="B452" s="36"/>
      <c r="C452" s="36"/>
      <c r="D452" s="36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6"/>
      <c r="P452" s="6"/>
      <c r="Q452" s="38"/>
      <c r="R452" s="38"/>
      <c r="S452" s="38"/>
      <c r="T452" s="38"/>
      <c r="U452" s="38"/>
      <c r="V452" s="38"/>
      <c r="W452" s="38"/>
      <c r="X452" s="40"/>
      <c r="Y452" s="38"/>
      <c r="Z452" s="38"/>
      <c r="AA452" s="38"/>
      <c r="AB452" s="38"/>
      <c r="AC452" s="6"/>
      <c r="AD452" s="6"/>
      <c r="AE452" s="6"/>
      <c r="AF452" s="38"/>
    </row>
    <row r="453" spans="1:32" ht="13.2">
      <c r="A453" s="38"/>
      <c r="B453" s="36"/>
      <c r="C453" s="36"/>
      <c r="D453" s="36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6"/>
      <c r="P453" s="6"/>
      <c r="Q453" s="38"/>
      <c r="R453" s="38"/>
      <c r="S453" s="38"/>
      <c r="T453" s="38"/>
      <c r="U453" s="38"/>
      <c r="V453" s="38"/>
      <c r="W453" s="38"/>
      <c r="X453" s="40"/>
      <c r="Y453" s="38"/>
      <c r="Z453" s="38"/>
      <c r="AA453" s="38"/>
      <c r="AB453" s="38"/>
      <c r="AC453" s="6"/>
      <c r="AD453" s="6"/>
      <c r="AE453" s="6"/>
      <c r="AF453" s="38"/>
    </row>
    <row r="454" spans="1:32" ht="13.2">
      <c r="A454" s="38"/>
      <c r="B454" s="36"/>
      <c r="C454" s="36"/>
      <c r="D454" s="36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6"/>
      <c r="P454" s="6"/>
      <c r="Q454" s="38"/>
      <c r="R454" s="38"/>
      <c r="S454" s="38"/>
      <c r="T454" s="38"/>
      <c r="U454" s="38"/>
      <c r="V454" s="38"/>
      <c r="W454" s="38"/>
      <c r="X454" s="40"/>
      <c r="Y454" s="38"/>
      <c r="Z454" s="38"/>
      <c r="AA454" s="38"/>
      <c r="AB454" s="38"/>
      <c r="AC454" s="6"/>
      <c r="AD454" s="6"/>
      <c r="AE454" s="6"/>
      <c r="AF454" s="38"/>
    </row>
    <row r="455" spans="1:32" ht="13.2">
      <c r="A455" s="38"/>
      <c r="B455" s="36"/>
      <c r="C455" s="36"/>
      <c r="D455" s="36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6"/>
      <c r="P455" s="6"/>
      <c r="Q455" s="38"/>
      <c r="R455" s="38"/>
      <c r="S455" s="38"/>
      <c r="T455" s="38"/>
      <c r="U455" s="38"/>
      <c r="V455" s="38"/>
      <c r="W455" s="38"/>
      <c r="X455" s="40"/>
      <c r="Y455" s="38"/>
      <c r="Z455" s="38"/>
      <c r="AA455" s="38"/>
      <c r="AB455" s="38"/>
      <c r="AC455" s="6"/>
      <c r="AD455" s="6"/>
      <c r="AE455" s="6"/>
      <c r="AF455" s="38"/>
    </row>
    <row r="456" spans="1:32" ht="13.2">
      <c r="A456" s="38"/>
      <c r="B456" s="36"/>
      <c r="C456" s="36"/>
      <c r="D456" s="36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6"/>
      <c r="P456" s="6"/>
      <c r="Q456" s="38"/>
      <c r="R456" s="38"/>
      <c r="S456" s="38"/>
      <c r="T456" s="38"/>
      <c r="U456" s="38"/>
      <c r="V456" s="38"/>
      <c r="W456" s="38"/>
      <c r="X456" s="40"/>
      <c r="Y456" s="38"/>
      <c r="Z456" s="38"/>
      <c r="AA456" s="38"/>
      <c r="AB456" s="38"/>
      <c r="AC456" s="6"/>
      <c r="AD456" s="6"/>
      <c r="AE456" s="6"/>
      <c r="AF456" s="38"/>
    </row>
    <row r="457" spans="1:32" ht="13.2">
      <c r="A457" s="38"/>
      <c r="B457" s="36"/>
      <c r="C457" s="36"/>
      <c r="D457" s="36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6"/>
      <c r="P457" s="6"/>
      <c r="Q457" s="38"/>
      <c r="R457" s="38"/>
      <c r="S457" s="38"/>
      <c r="T457" s="38"/>
      <c r="U457" s="38"/>
      <c r="V457" s="38"/>
      <c r="W457" s="38"/>
      <c r="X457" s="40"/>
      <c r="Y457" s="38"/>
      <c r="Z457" s="38"/>
      <c r="AA457" s="38"/>
      <c r="AB457" s="38"/>
      <c r="AC457" s="6"/>
      <c r="AD457" s="6"/>
      <c r="AE457" s="6"/>
      <c r="AF457" s="38"/>
    </row>
    <row r="458" spans="1:32" ht="13.2">
      <c r="A458" s="38"/>
      <c r="B458" s="36"/>
      <c r="C458" s="36"/>
      <c r="D458" s="36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6"/>
      <c r="P458" s="6"/>
      <c r="Q458" s="38"/>
      <c r="R458" s="38"/>
      <c r="S458" s="38"/>
      <c r="T458" s="38"/>
      <c r="U458" s="38"/>
      <c r="V458" s="38"/>
      <c r="W458" s="38"/>
      <c r="X458" s="40"/>
      <c r="Y458" s="38"/>
      <c r="Z458" s="38"/>
      <c r="AA458" s="38"/>
      <c r="AB458" s="38"/>
      <c r="AC458" s="6"/>
      <c r="AD458" s="6"/>
      <c r="AE458" s="6"/>
      <c r="AF458" s="38"/>
    </row>
    <row r="459" spans="1:32" ht="13.2">
      <c r="B459" s="36"/>
      <c r="C459" s="36"/>
      <c r="D459" s="36"/>
      <c r="O459" s="6"/>
      <c r="P459" s="6"/>
      <c r="X459" s="40"/>
      <c r="AC459" s="6"/>
      <c r="AD459" s="6"/>
      <c r="AE459" s="6"/>
    </row>
    <row r="460" spans="1:32" ht="13.2">
      <c r="B460" s="36"/>
      <c r="C460" s="36"/>
      <c r="D460" s="36"/>
      <c r="O460" s="6"/>
      <c r="P460" s="6"/>
      <c r="X460" s="40"/>
      <c r="AC460" s="6"/>
      <c r="AD460" s="6"/>
      <c r="AE460" s="6"/>
    </row>
    <row r="461" spans="1:32" ht="13.2">
      <c r="B461" s="36"/>
      <c r="C461" s="36"/>
      <c r="D461" s="36"/>
      <c r="O461" s="6"/>
      <c r="P461" s="6"/>
      <c r="X461" s="40"/>
      <c r="AC461" s="6"/>
      <c r="AD461" s="6"/>
      <c r="AE461" s="6"/>
    </row>
    <row r="462" spans="1:32" ht="13.2">
      <c r="B462" s="36"/>
      <c r="C462" s="36"/>
      <c r="D462" s="36"/>
      <c r="O462" s="6"/>
      <c r="P462" s="6"/>
      <c r="X462" s="40"/>
      <c r="AC462" s="6"/>
      <c r="AD462" s="6"/>
      <c r="AE462" s="6"/>
    </row>
    <row r="463" spans="1:32" ht="13.2">
      <c r="B463" s="36"/>
      <c r="C463" s="36"/>
      <c r="D463" s="36"/>
      <c r="O463" s="6"/>
      <c r="P463" s="6"/>
      <c r="X463" s="40"/>
      <c r="AC463" s="6"/>
      <c r="AD463" s="6"/>
      <c r="AE463" s="6"/>
    </row>
    <row r="464" spans="1:32" ht="13.2">
      <c r="B464" s="36"/>
      <c r="C464" s="36"/>
      <c r="D464" s="36"/>
      <c r="O464" s="6"/>
      <c r="P464" s="6"/>
      <c r="X464" s="40"/>
      <c r="AC464" s="6"/>
      <c r="AD464" s="6"/>
      <c r="AE464" s="6"/>
    </row>
    <row r="465" spans="2:31" ht="13.2">
      <c r="B465" s="36"/>
      <c r="C465" s="36"/>
      <c r="D465" s="36"/>
      <c r="O465" s="6"/>
      <c r="P465" s="6"/>
      <c r="X465" s="40"/>
      <c r="AC465" s="6"/>
      <c r="AD465" s="6"/>
      <c r="AE465" s="6"/>
    </row>
    <row r="466" spans="2:31" ht="13.2">
      <c r="B466" s="36"/>
      <c r="C466" s="36"/>
      <c r="D466" s="36"/>
      <c r="O466" s="6"/>
      <c r="P466" s="6"/>
      <c r="X466" s="40"/>
      <c r="AC466" s="6"/>
      <c r="AD466" s="6"/>
      <c r="AE466" s="6"/>
    </row>
    <row r="467" spans="2:31" ht="13.2">
      <c r="B467" s="36"/>
      <c r="C467" s="36"/>
      <c r="D467" s="36"/>
      <c r="O467" s="6"/>
      <c r="P467" s="6"/>
      <c r="X467" s="40"/>
      <c r="AC467" s="6"/>
      <c r="AD467" s="6"/>
      <c r="AE467" s="6"/>
    </row>
    <row r="468" spans="2:31" ht="13.2">
      <c r="B468" s="36"/>
      <c r="C468" s="36"/>
      <c r="D468" s="36"/>
      <c r="O468" s="6"/>
      <c r="P468" s="6"/>
      <c r="X468" s="40"/>
      <c r="AC468" s="6"/>
      <c r="AD468" s="6"/>
      <c r="AE468" s="6"/>
    </row>
    <row r="469" spans="2:31" ht="13.2">
      <c r="B469" s="36"/>
      <c r="C469" s="36"/>
      <c r="D469" s="36"/>
      <c r="O469" s="6"/>
      <c r="P469" s="6"/>
      <c r="X469" s="40"/>
      <c r="AC469" s="6"/>
      <c r="AD469" s="6"/>
      <c r="AE469" s="6"/>
    </row>
    <row r="470" spans="2:31" ht="13.2">
      <c r="B470" s="36"/>
      <c r="C470" s="36"/>
      <c r="D470" s="36"/>
      <c r="O470" s="6"/>
      <c r="P470" s="6"/>
      <c r="X470" s="40"/>
      <c r="AC470" s="6"/>
      <c r="AD470" s="6"/>
      <c r="AE470" s="6"/>
    </row>
    <row r="471" spans="2:31" ht="13.2">
      <c r="B471" s="36"/>
      <c r="C471" s="36"/>
      <c r="D471" s="36"/>
      <c r="O471" s="6"/>
      <c r="P471" s="6"/>
      <c r="X471" s="40"/>
      <c r="AC471" s="6"/>
      <c r="AD471" s="6"/>
      <c r="AE471" s="6"/>
    </row>
    <row r="472" spans="2:31" ht="13.2">
      <c r="B472" s="36"/>
      <c r="C472" s="36"/>
      <c r="D472" s="36"/>
      <c r="O472" s="6"/>
      <c r="P472" s="6"/>
      <c r="X472" s="40"/>
      <c r="AC472" s="6"/>
      <c r="AD472" s="6"/>
      <c r="AE472" s="6"/>
    </row>
    <row r="473" spans="2:31" ht="13.2">
      <c r="B473" s="36"/>
      <c r="C473" s="36"/>
      <c r="D473" s="36"/>
      <c r="O473" s="6"/>
      <c r="P473" s="6"/>
      <c r="X473" s="40"/>
      <c r="AC473" s="6"/>
      <c r="AD473" s="6"/>
      <c r="AE473" s="6"/>
    </row>
    <row r="474" spans="2:31" ht="13.2">
      <c r="B474" s="36"/>
      <c r="C474" s="36"/>
      <c r="D474" s="36"/>
      <c r="O474" s="6"/>
      <c r="P474" s="6"/>
      <c r="X474" s="40"/>
      <c r="AC474" s="6"/>
      <c r="AD474" s="6"/>
      <c r="AE474" s="6"/>
    </row>
    <row r="475" spans="2:31" ht="13.2">
      <c r="B475" s="36"/>
      <c r="C475" s="36"/>
      <c r="D475" s="36"/>
      <c r="O475" s="6"/>
      <c r="P475" s="6"/>
      <c r="X475" s="40"/>
      <c r="AC475" s="6"/>
      <c r="AD475" s="6"/>
      <c r="AE475" s="6"/>
    </row>
    <row r="476" spans="2:31" ht="13.2">
      <c r="B476" s="36"/>
      <c r="C476" s="36"/>
      <c r="D476" s="36"/>
      <c r="O476" s="6"/>
      <c r="P476" s="6"/>
      <c r="X476" s="40"/>
      <c r="AC476" s="6"/>
      <c r="AD476" s="6"/>
      <c r="AE476" s="6"/>
    </row>
    <row r="477" spans="2:31" ht="13.2">
      <c r="B477" s="36"/>
      <c r="C477" s="36"/>
      <c r="D477" s="36"/>
      <c r="O477" s="6"/>
      <c r="P477" s="6"/>
      <c r="X477" s="40"/>
      <c r="AC477" s="6"/>
      <c r="AD477" s="6"/>
      <c r="AE477" s="6"/>
    </row>
    <row r="478" spans="2:31" ht="13.2">
      <c r="B478" s="36"/>
      <c r="C478" s="36"/>
      <c r="D478" s="36"/>
      <c r="O478" s="6"/>
      <c r="P478" s="6"/>
      <c r="X478" s="40"/>
      <c r="AC478" s="6"/>
      <c r="AD478" s="6"/>
      <c r="AE478" s="6"/>
    </row>
    <row r="479" spans="2:31" ht="13.2">
      <c r="B479" s="36"/>
      <c r="C479" s="36"/>
      <c r="D479" s="36"/>
      <c r="O479" s="6"/>
      <c r="P479" s="6"/>
      <c r="X479" s="40"/>
      <c r="AC479" s="6"/>
      <c r="AD479" s="6"/>
      <c r="AE479" s="6"/>
    </row>
    <row r="480" spans="2:31" ht="13.2">
      <c r="B480" s="36"/>
      <c r="C480" s="36"/>
      <c r="D480" s="36"/>
      <c r="O480" s="6"/>
      <c r="P480" s="6"/>
      <c r="X480" s="40"/>
      <c r="AC480" s="6"/>
      <c r="AD480" s="6"/>
      <c r="AE480" s="6"/>
    </row>
    <row r="481" spans="2:31" ht="13.2">
      <c r="B481" s="36"/>
      <c r="C481" s="36"/>
      <c r="D481" s="36"/>
      <c r="O481" s="6"/>
      <c r="P481" s="6"/>
      <c r="X481" s="40"/>
      <c r="AC481" s="6"/>
      <c r="AD481" s="6"/>
      <c r="AE481" s="6"/>
    </row>
    <row r="482" spans="2:31" ht="13.2">
      <c r="B482" s="36"/>
      <c r="C482" s="36"/>
      <c r="D482" s="36"/>
      <c r="O482" s="6"/>
      <c r="P482" s="6"/>
      <c r="X482" s="40"/>
      <c r="AC482" s="6"/>
      <c r="AD482" s="6"/>
      <c r="AE482" s="6"/>
    </row>
    <row r="483" spans="2:31" ht="13.2">
      <c r="B483" s="36"/>
      <c r="C483" s="36"/>
      <c r="D483" s="36"/>
      <c r="O483" s="6"/>
      <c r="P483" s="6"/>
      <c r="X483" s="40"/>
      <c r="AC483" s="6"/>
      <c r="AD483" s="6"/>
      <c r="AE483" s="6"/>
    </row>
    <row r="484" spans="2:31" ht="13.2">
      <c r="B484" s="36"/>
      <c r="C484" s="36"/>
      <c r="D484" s="36"/>
      <c r="O484" s="6"/>
      <c r="P484" s="6"/>
      <c r="X484" s="40"/>
      <c r="AC484" s="6"/>
      <c r="AD484" s="6"/>
      <c r="AE484" s="6"/>
    </row>
    <row r="485" spans="2:31" ht="13.2">
      <c r="B485" s="36"/>
      <c r="C485" s="36"/>
      <c r="D485" s="36"/>
      <c r="O485" s="6"/>
      <c r="P485" s="6"/>
      <c r="X485" s="40"/>
      <c r="AC485" s="6"/>
      <c r="AD485" s="6"/>
      <c r="AE485" s="6"/>
    </row>
    <row r="486" spans="2:31" ht="13.2">
      <c r="B486" s="36"/>
      <c r="C486" s="36"/>
      <c r="D486" s="36"/>
      <c r="O486" s="6"/>
      <c r="P486" s="6"/>
      <c r="X486" s="40"/>
      <c r="AC486" s="6"/>
      <c r="AD486" s="6"/>
      <c r="AE486" s="6"/>
    </row>
    <row r="487" spans="2:31" ht="13.2">
      <c r="B487" s="36"/>
      <c r="C487" s="36"/>
      <c r="D487" s="36"/>
      <c r="O487" s="6"/>
      <c r="P487" s="6"/>
      <c r="X487" s="40"/>
      <c r="AC487" s="6"/>
      <c r="AD487" s="6"/>
      <c r="AE487" s="6"/>
    </row>
    <row r="488" spans="2:31" ht="13.2">
      <c r="B488" s="36"/>
      <c r="C488" s="36"/>
      <c r="D488" s="36"/>
      <c r="O488" s="6"/>
      <c r="P488" s="6"/>
      <c r="X488" s="40"/>
      <c r="AC488" s="6"/>
      <c r="AD488" s="6"/>
      <c r="AE488" s="6"/>
    </row>
    <row r="489" spans="2:31" ht="13.2">
      <c r="B489" s="36"/>
      <c r="C489" s="36"/>
      <c r="D489" s="36"/>
      <c r="O489" s="6"/>
      <c r="P489" s="6"/>
      <c r="X489" s="40"/>
      <c r="AC489" s="6"/>
      <c r="AD489" s="6"/>
      <c r="AE489" s="6"/>
    </row>
    <row r="490" spans="2:31" ht="13.2">
      <c r="B490" s="36"/>
      <c r="C490" s="36"/>
      <c r="D490" s="36"/>
      <c r="O490" s="6"/>
      <c r="P490" s="6"/>
      <c r="X490" s="40"/>
      <c r="AC490" s="6"/>
      <c r="AD490" s="6"/>
      <c r="AE490" s="6"/>
    </row>
    <row r="491" spans="2:31" ht="13.2">
      <c r="B491" s="36"/>
      <c r="C491" s="36"/>
      <c r="D491" s="36"/>
      <c r="O491" s="6"/>
      <c r="P491" s="6"/>
      <c r="X491" s="40"/>
      <c r="AC491" s="6"/>
      <c r="AD491" s="6"/>
      <c r="AE491" s="6"/>
    </row>
    <row r="492" spans="2:31" ht="13.2">
      <c r="B492" s="36"/>
      <c r="C492" s="36"/>
      <c r="D492" s="36"/>
      <c r="O492" s="6"/>
      <c r="P492" s="6"/>
      <c r="X492" s="40"/>
      <c r="AC492" s="6"/>
      <c r="AD492" s="6"/>
      <c r="AE492" s="6"/>
    </row>
  </sheetData>
  <mergeCells count="1">
    <mergeCell ref="B1:M1"/>
  </mergeCells>
  <conditionalFormatting sqref="A3:A52 A54:A102">
    <cfRule type="cellIs" dxfId="52" priority="1" operator="equal">
      <formula>"En proceso"</formula>
    </cfRule>
  </conditionalFormatting>
  <conditionalFormatting sqref="B3:B102">
    <cfRule type="cellIs" dxfId="51" priority="2" operator="equal">
      <formula>"OK"</formula>
    </cfRule>
  </conditionalFormatting>
  <conditionalFormatting sqref="C3:D102">
    <cfRule type="cellIs" dxfId="50" priority="3" operator="equal">
      <formula>"Si"</formula>
    </cfRule>
  </conditionalFormatting>
  <conditionalFormatting sqref="F3:F102">
    <cfRule type="cellIs" dxfId="49" priority="4" operator="equal">
      <formula>"Si"</formula>
    </cfRule>
  </conditionalFormatting>
  <conditionalFormatting sqref="AA3:AB492">
    <cfRule type="cellIs" dxfId="48" priority="6" operator="equal">
      <formula>"Pendiente"</formula>
    </cfRule>
    <cfRule type="cellIs" dxfId="47" priority="7" operator="equal">
      <formula>"Terminado"</formula>
    </cfRule>
    <cfRule type="cellIs" dxfId="46" priority="9" operator="equal">
      <formula>"Parcial"</formula>
    </cfRule>
  </conditionalFormatting>
  <conditionalFormatting sqref="AB3:AC4 AB22:AC93 AB95:AC492">
    <cfRule type="cellIs" dxfId="45" priority="8" operator="equal">
      <formula>"A Controlar"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G99"/>
  <sheetViews>
    <sheetView topLeftCell="B1" workbookViewId="0"/>
  </sheetViews>
  <sheetFormatPr defaultColWidth="12.6640625" defaultRowHeight="15.75" customHeight="1"/>
  <cols>
    <col min="1" max="1" width="6.21875" hidden="1" customWidth="1"/>
    <col min="2" max="2" width="14.88671875" customWidth="1"/>
    <col min="3" max="3" width="12.33203125" customWidth="1"/>
    <col min="4" max="4" width="15.6640625" customWidth="1"/>
    <col min="5" max="5" width="19.88671875" customWidth="1"/>
    <col min="6" max="6" width="4.33203125" customWidth="1"/>
    <col min="7" max="7" width="6.6640625" hidden="1" customWidth="1"/>
    <col min="8" max="8" width="4.33203125" hidden="1" customWidth="1"/>
    <col min="9" max="9" width="12.6640625" hidden="1"/>
    <col min="10" max="10" width="6.44140625" hidden="1" customWidth="1"/>
    <col min="11" max="11" width="12.6640625" hidden="1"/>
    <col min="12" max="12" width="8.44140625" customWidth="1"/>
    <col min="13" max="13" width="9.77734375" customWidth="1"/>
    <col min="14" max="14" width="11.33203125" customWidth="1"/>
    <col min="15" max="15" width="5.44140625" hidden="1" customWidth="1"/>
    <col min="16" max="16" width="7" hidden="1" customWidth="1"/>
    <col min="17" max="17" width="6.44140625" customWidth="1"/>
    <col min="18" max="18" width="10.21875" customWidth="1"/>
    <col min="19" max="19" width="10.109375" hidden="1" customWidth="1"/>
    <col min="20" max="25" width="10.33203125" hidden="1" customWidth="1"/>
    <col min="26" max="26" width="12.88671875" hidden="1" customWidth="1"/>
    <col min="27" max="27" width="7" hidden="1" customWidth="1"/>
    <col min="28" max="28" width="11" customWidth="1"/>
    <col min="29" max="29" width="10.6640625" hidden="1" customWidth="1"/>
    <col min="30" max="30" width="11.109375" hidden="1" customWidth="1"/>
    <col min="31" max="31" width="10.6640625" hidden="1" customWidth="1"/>
    <col min="32" max="32" width="12.6640625" hidden="1"/>
  </cols>
  <sheetData>
    <row r="1" spans="1:33" ht="22.8">
      <c r="A1" s="40"/>
      <c r="B1" s="48" t="s">
        <v>33</v>
      </c>
      <c r="C1" s="49"/>
      <c r="D1" s="49"/>
      <c r="E1" s="49"/>
      <c r="F1" s="49"/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33" ht="15" customHeight="1">
      <c r="A2" s="40"/>
      <c r="B2" s="51" t="s">
        <v>48</v>
      </c>
      <c r="C2" s="2"/>
      <c r="D2" s="2"/>
      <c r="E2" s="2"/>
      <c r="F2" s="63" t="str">
        <f ca="1">"Inscriptos: "&amp;COUNTA(C4:C100)</f>
        <v>Inscriptos: 24</v>
      </c>
      <c r="G2" s="2"/>
      <c r="H2" s="2"/>
      <c r="I2" s="54"/>
      <c r="J2" s="54"/>
      <c r="K2" s="54"/>
      <c r="L2" s="40"/>
      <c r="M2" s="2"/>
      <c r="N2" s="2"/>
      <c r="O2" s="2"/>
      <c r="P2" s="2"/>
      <c r="Q2" s="2"/>
      <c r="R2" s="2"/>
      <c r="S2" s="2"/>
      <c r="T2" s="54"/>
      <c r="U2" s="54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3" ht="66">
      <c r="A3" s="40" t="s">
        <v>49</v>
      </c>
      <c r="B3" s="2" t="str">
        <f ca="1">IFERROR(__xludf.DUMMYFUNCTION("query(Titulos)"),"Dia y Hora")</f>
        <v>Dia y Hora</v>
      </c>
      <c r="C3" s="66" t="str">
        <f ca="1">IFERROR(__xludf.DUMMYFUNCTION("""COMPUTED_VALUE"""),"Nombre")</f>
        <v>Nombre</v>
      </c>
      <c r="D3" s="66" t="str">
        <f ca="1">IFERROR(__xludf.DUMMYFUNCTION("""COMPUTED_VALUE"""),"Apellido")</f>
        <v>Apellido</v>
      </c>
      <c r="E3" s="66" t="str">
        <f ca="1">IFERROR(__xludf.DUMMYFUNCTION("""COMPUTED_VALUE"""),"Ciudad")</f>
        <v>Ciudad</v>
      </c>
      <c r="F3" s="2" t="str">
        <f ca="1">IFERROR(__xludf.DUMMYFUNCTION("""COMPUTED_VALUE"""),"Pais")</f>
        <v>Pais</v>
      </c>
      <c r="G3" s="2" t="str">
        <f ca="1">IFERROR(__xludf.DUMMYFUNCTION("""COMPUTED_VALUE"""),"DNI")</f>
        <v>DNI</v>
      </c>
      <c r="H3" s="2" t="str">
        <f ca="1">IFERROR(__xludf.DUMMYFUNCTION("""COMPUTED_VALUE"""),"Nacimiento")</f>
        <v>Nacimiento</v>
      </c>
      <c r="I3" s="2" t="str">
        <f ca="1">IFERROR(__xludf.DUMMYFUNCTION("""COMPUTED_VALUE"""),"Celular de Contacto")</f>
        <v>Celular de Contacto</v>
      </c>
      <c r="J3" s="2" t="str">
        <f ca="1">IFERROR(__xludf.DUMMYFUNCTION("""COMPUTED_VALUE"""),"Celular de Emergencias")</f>
        <v>Celular de Emergencias</v>
      </c>
      <c r="K3" s="2" t="str">
        <f ca="1">IFERROR(__xludf.DUMMYFUNCTION("""COMPUTED_VALUE"""),"email")</f>
        <v>email</v>
      </c>
      <c r="L3" s="2" t="str">
        <f ca="1">IFERROR(__xludf.DUMMYFUNCTION("""COMPUTED_VALUE"""),"Sexo")</f>
        <v>Sexo</v>
      </c>
      <c r="M3" s="2" t="str">
        <f ca="1">IFERROR(__xludf.DUMMYFUNCTION("""COMPUTED_VALUE"""),"Club")</f>
        <v>Club</v>
      </c>
      <c r="N3" s="2" t="str">
        <f ca="1">IFERROR(__xludf.DUMMYFUNCTION("""COMPUTED_VALUE"""),"Categoría")</f>
        <v>Categoría</v>
      </c>
      <c r="O3" s="2" t="str">
        <f ca="1">IFERROR(__xludf.DUMMYFUNCTION("""COMPUTED_VALUE"""),"Clase")</f>
        <v>Clase</v>
      </c>
      <c r="P3" s="2" t="str">
        <f ca="1">IFERROR(__xludf.DUMMYFUNCTION("""COMPUTED_VALUE"""),"Proa Nº")</f>
        <v>Proa Nº</v>
      </c>
      <c r="Q3" s="2" t="str">
        <f ca="1">IFERROR(__xludf.DUMMYFUNCTION("""COMPUTED_VALUE"""),"Vela")</f>
        <v>Vela</v>
      </c>
      <c r="R3" s="2" t="str">
        <f ca="1">IFERROR(__xludf.DUMMYFUNCTION("""COMPUTED_VALUE"""),"Nombre del Barco")</f>
        <v>Nombre del Barco</v>
      </c>
      <c r="S3" s="2" t="str">
        <f ca="1">IFERROR(__xludf.DUMMYFUNCTION("""COMPUTED_VALUE"""),"Tripulante 1")</f>
        <v>Tripulante 1</v>
      </c>
      <c r="T3" s="2" t="str">
        <f ca="1">IFERROR(__xludf.DUMMYFUNCTION("""COMPUTED_VALUE"""),"Tripulante 2")</f>
        <v>Tripulante 2</v>
      </c>
      <c r="U3" s="2" t="str">
        <f ca="1">IFERROR(__xludf.DUMMYFUNCTION("""COMPUTED_VALUE"""),"Tripulante 3")</f>
        <v>Tripulante 3</v>
      </c>
      <c r="V3" s="2" t="str">
        <f ca="1">IFERROR(__xludf.DUMMYFUNCTION("""COMPUTED_VALUE"""),"Tripulante 4")</f>
        <v>Tripulante 4</v>
      </c>
      <c r="W3" s="2" t="str">
        <f ca="1">IFERROR(__xludf.DUMMYFUNCTION("""COMPUTED_VALUE"""),"Tripulante 5")</f>
        <v>Tripulante 5</v>
      </c>
      <c r="X3" s="2" t="str">
        <f ca="1">IFERROR(__xludf.DUMMYFUNCTION("""COMPUTED_VALUE"""),"Tripulante 6")</f>
        <v>Tripulante 6</v>
      </c>
      <c r="Y3" s="2" t="str">
        <f ca="1">IFERROR(__xludf.DUMMYFUNCTION("""COMPUTED_VALUE"""),"Obra Social/Nº Afiliado")</f>
        <v>Obra Social/Nº Afiliado</v>
      </c>
      <c r="Z3" s="2" t="str">
        <f ca="1">IFERROR(__xludf.DUMMYFUNCTION("""COMPUTED_VALUE"""),"Bajada YCO")</f>
        <v>Bajada YCO</v>
      </c>
      <c r="AA3" s="54" t="str">
        <f ca="1">IFERROR(__xludf.DUMMYFUNCTION("""COMPUTED_VALUE"""),"Términos y Condiciones")</f>
        <v>Términos y Condiciones</v>
      </c>
      <c r="AB3" s="2" t="str">
        <f ca="1">IFERROR(__xludf.DUMMYFUNCTION("""COMPUTED_VALUE"""),"Pago")</f>
        <v>Pago</v>
      </c>
      <c r="AC3" s="54" t="str">
        <f ca="1">IFERROR(__xludf.DUMMYFUNCTION("""COMPUTED_VALUE"""),"Importe")</f>
        <v>Importe</v>
      </c>
      <c r="AD3" s="2" t="str">
        <f ca="1">IFERROR(__xludf.DUMMYFUNCTION("""COMPUTED_VALUE"""),"RECIBO")</f>
        <v>RECIBO</v>
      </c>
      <c r="AE3" s="2"/>
      <c r="AG3" s="92" t="s">
        <v>32</v>
      </c>
    </row>
    <row r="4" spans="1:33" ht="13.2">
      <c r="B4" s="68">
        <f ca="1">IFERROR(__xludf.DUMMYFUNCTION("filter(Datos,Clases=A3)"),45533.9759424305)</f>
        <v>45533.975942430501</v>
      </c>
      <c r="C4" s="36" t="str">
        <f ca="1">IFERROR(__xludf.DUMMYFUNCTION("""COMPUTED_VALUE"""),"Pedro")</f>
        <v>Pedro</v>
      </c>
      <c r="D4" s="36" t="str">
        <f ca="1">IFERROR(__xludf.DUMMYFUNCTION("""COMPUTED_VALUE"""),"Álvarez Gallesio ")</f>
        <v xml:space="preserve">Álvarez Gallesio </v>
      </c>
      <c r="E4" s="36" t="str">
        <f ca="1">IFERROR(__xludf.DUMMYFUNCTION("""COMPUTED_VALUE"""),"Buenos Aires ")</f>
        <v xml:space="preserve">Buenos Aires </v>
      </c>
      <c r="F4" s="6" t="str">
        <f ca="1">IFERROR(__xludf.DUMMYFUNCTION("""COMPUTED_VALUE"""),"ARG")</f>
        <v>ARG</v>
      </c>
      <c r="G4" s="6">
        <f ca="1">IFERROR(__xludf.DUMMYFUNCTION("""COMPUTED_VALUE"""),43243582)</f>
        <v>43243582</v>
      </c>
      <c r="H4" s="37">
        <f ca="1">IFERROR(__xludf.DUMMYFUNCTION("""COMPUTED_VALUE"""),36959)</f>
        <v>36959</v>
      </c>
      <c r="I4" s="38">
        <f ca="1">IFERROR(__xludf.DUMMYFUNCTION("""COMPUTED_VALUE"""),1562549151)</f>
        <v>1562549151</v>
      </c>
      <c r="J4" s="38">
        <f ca="1">IFERROR(__xludf.DUMMYFUNCTION("""COMPUTED_VALUE"""),1556391617)</f>
        <v>1556391617</v>
      </c>
      <c r="K4" s="38" t="str">
        <f ca="1">IFERROR(__xludf.DUMMYFUNCTION("""COMPUTED_VALUE"""),"pepiag2922@gmail.com")</f>
        <v>pepiag2922@gmail.com</v>
      </c>
      <c r="L4" s="38" t="str">
        <f ca="1">IFERROR(__xludf.DUMMYFUNCTION("""COMPUTED_VALUE"""),"Masculino")</f>
        <v>Masculino</v>
      </c>
      <c r="M4" s="38" t="str">
        <f ca="1">IFERROR(__xludf.DUMMYFUNCTION("""COMPUTED_VALUE"""),"YCA")</f>
        <v>YCA</v>
      </c>
      <c r="N4" s="38"/>
      <c r="O4" s="38" t="str">
        <f ca="1">IFERROR(__xludf.DUMMYFUNCTION("""COMPUTED_VALUE"""),"ILCA 6")</f>
        <v>ILCA 6</v>
      </c>
      <c r="P4" s="38"/>
      <c r="Q4" s="38">
        <f ca="1">IFERROR(__xludf.DUMMYFUNCTION("""COMPUTED_VALUE"""),182710)</f>
        <v>182710</v>
      </c>
      <c r="R4" s="38"/>
      <c r="S4" s="38"/>
      <c r="T4" s="38"/>
      <c r="U4" s="38"/>
      <c r="V4" s="38"/>
      <c r="W4" s="38"/>
      <c r="X4" s="38"/>
      <c r="Y4" s="38"/>
      <c r="Z4" s="38" t="str">
        <f ca="1">IFERROR(__xludf.DUMMYFUNCTION("""COMPUTED_VALUE"""),"No")</f>
        <v>No</v>
      </c>
      <c r="AA4" s="6" t="str">
        <f ca="1">IFERROR(__xludf.DUMMYFUNCTION("""COMPUTED_VALUE"""),"Acepto")</f>
        <v>Acepto</v>
      </c>
      <c r="AB4" s="38" t="str">
        <f ca="1">IFERROR(__xludf.DUMMYFUNCTION("""COMPUTED_VALUE"""),"Pendiente")</f>
        <v>Pendiente</v>
      </c>
      <c r="AC4" s="6"/>
      <c r="AD4" s="38"/>
      <c r="AE4" s="38"/>
      <c r="AF4" s="38"/>
      <c r="AG4" s="38"/>
    </row>
    <row r="5" spans="1:33" ht="13.2">
      <c r="B5" s="68">
        <f ca="1">IFERROR(__xludf.DUMMYFUNCTION("""COMPUTED_VALUE"""),45533.4642335069)</f>
        <v>45533.4642335069</v>
      </c>
      <c r="C5" s="36" t="str">
        <f ca="1">IFERROR(__xludf.DUMMYFUNCTION("""COMPUTED_VALUE"""),"Benjamín ")</f>
        <v xml:space="preserve">Benjamín </v>
      </c>
      <c r="D5" s="36" t="str">
        <f ca="1">IFERROR(__xludf.DUMMYFUNCTION("""COMPUTED_VALUE"""),"Bizet ")</f>
        <v xml:space="preserve">Bizet </v>
      </c>
      <c r="E5" s="36" t="str">
        <f ca="1">IFERROR(__xludf.DUMMYFUNCTION("""COMPUTED_VALUE"""),"La Plata")</f>
        <v>La Plata</v>
      </c>
      <c r="F5" s="6" t="str">
        <f ca="1">IFERROR(__xludf.DUMMYFUNCTION("""COMPUTED_VALUE"""),"ARG")</f>
        <v>ARG</v>
      </c>
      <c r="G5" s="6">
        <f ca="1">IFERROR(__xludf.DUMMYFUNCTION("""COMPUTED_VALUE"""),47551873)</f>
        <v>47551873</v>
      </c>
      <c r="H5" s="37">
        <f ca="1">IFERROR(__xludf.DUMMYFUNCTION("""COMPUTED_VALUE"""),39077)</f>
        <v>39077</v>
      </c>
      <c r="I5" s="38">
        <f ca="1">IFERROR(__xludf.DUMMYFUNCTION("""COMPUTED_VALUE"""),2213064915)</f>
        <v>2213064915</v>
      </c>
      <c r="J5" s="38">
        <f ca="1">IFERROR(__xludf.DUMMYFUNCTION("""COMPUTED_VALUE"""),2215663203)</f>
        <v>2215663203</v>
      </c>
      <c r="K5" s="38" t="str">
        <f ca="1">IFERROR(__xludf.DUMMYFUNCTION("""COMPUTED_VALUE"""),"benjabizet22@gmail.com")</f>
        <v>benjabizet22@gmail.com</v>
      </c>
      <c r="L5" s="38" t="str">
        <f ca="1">IFERROR(__xludf.DUMMYFUNCTION("""COMPUTED_VALUE"""),"Masculino")</f>
        <v>Masculino</v>
      </c>
      <c r="M5" s="38" t="str">
        <f ca="1">IFERROR(__xludf.DUMMYFUNCTION("""COMPUTED_VALUE"""),"CRLP ")</f>
        <v xml:space="preserve">CRLP </v>
      </c>
      <c r="N5" s="38"/>
      <c r="O5" s="38" t="str">
        <f ca="1">IFERROR(__xludf.DUMMYFUNCTION("""COMPUTED_VALUE"""),"ILCA 6")</f>
        <v>ILCA 6</v>
      </c>
      <c r="P5" s="38"/>
      <c r="Q5" s="38">
        <f ca="1">IFERROR(__xludf.DUMMYFUNCTION("""COMPUTED_VALUE"""),169450)</f>
        <v>169450</v>
      </c>
      <c r="R5" s="38"/>
      <c r="S5" s="38"/>
      <c r="T5" s="38"/>
      <c r="U5" s="38"/>
      <c r="V5" s="38"/>
      <c r="W5" s="38"/>
      <c r="X5" s="38"/>
      <c r="Y5" s="38"/>
      <c r="Z5" s="38" t="str">
        <f ca="1">IFERROR(__xludf.DUMMYFUNCTION("""COMPUTED_VALUE"""),"No")</f>
        <v>No</v>
      </c>
      <c r="AA5" s="6" t="str">
        <f ca="1">IFERROR(__xludf.DUMMYFUNCTION("""COMPUTED_VALUE"""),"Acepto")</f>
        <v>Acepto</v>
      </c>
      <c r="AB5" s="38" t="str">
        <f ca="1">IFERROR(__xludf.DUMMYFUNCTION("""COMPUTED_VALUE"""),"Terminado")</f>
        <v>Terminado</v>
      </c>
      <c r="AC5" s="6">
        <f ca="1">IFERROR(__xludf.DUMMYFUNCTION("""COMPUTED_VALUE"""),50000)</f>
        <v>50000</v>
      </c>
      <c r="AD5" s="38">
        <f ca="1">IFERROR(__xludf.DUMMYFUNCTION("""COMPUTED_VALUE"""),205074)</f>
        <v>205074</v>
      </c>
      <c r="AE5" s="38" t="str">
        <f ca="1">IFERROR(__xludf.DUMMYFUNCTION("""COMPUTED_VALUE"""),"TRF 29-08")</f>
        <v>TRF 29-08</v>
      </c>
      <c r="AF5" s="38"/>
      <c r="AG5" s="38"/>
    </row>
    <row r="6" spans="1:33" ht="13.2">
      <c r="B6" s="68">
        <f ca="1">IFERROR(__xludf.DUMMYFUNCTION("""COMPUTED_VALUE"""),45535.6269066666)</f>
        <v>45535.626906666599</v>
      </c>
      <c r="C6" s="36" t="str">
        <f ca="1">IFERROR(__xludf.DUMMYFUNCTION("""COMPUTED_VALUE"""),"Luis")</f>
        <v>Luis</v>
      </c>
      <c r="D6" s="36" t="str">
        <f ca="1">IFERROR(__xludf.DUMMYFUNCTION("""COMPUTED_VALUE"""),"Cerrato")</f>
        <v>Cerrato</v>
      </c>
      <c r="E6" s="36" t="str">
        <f ca="1">IFERROR(__xludf.DUMMYFUNCTION("""COMPUTED_VALUE"""),"Buenos Aires")</f>
        <v>Buenos Aires</v>
      </c>
      <c r="F6" s="6" t="str">
        <f ca="1">IFERROR(__xludf.DUMMYFUNCTION("""COMPUTED_VALUE"""),"ARG")</f>
        <v>ARG</v>
      </c>
      <c r="G6" s="6">
        <f ca="1">IFERROR(__xludf.DUMMYFUNCTION("""COMPUTED_VALUE"""),17749448)</f>
        <v>17749448</v>
      </c>
      <c r="H6" s="37">
        <f ca="1">IFERROR(__xludf.DUMMYFUNCTION("""COMPUTED_VALUE"""),23867)</f>
        <v>23867</v>
      </c>
      <c r="I6" s="38">
        <f ca="1">IFERROR(__xludf.DUMMYFUNCTION("""COMPUTED_VALUE"""),1150041298)</f>
        <v>1150041298</v>
      </c>
      <c r="J6" s="38">
        <f ca="1">IFERROR(__xludf.DUMMYFUNCTION("""COMPUTED_VALUE"""),1121939562)</f>
        <v>1121939562</v>
      </c>
      <c r="K6" s="38" t="str">
        <f ca="1">IFERROR(__xludf.DUMMYFUNCTION("""COMPUTED_VALUE"""),"luis.a.cerrato@gmail.com")</f>
        <v>luis.a.cerrato@gmail.com</v>
      </c>
      <c r="L6" s="38" t="str">
        <f ca="1">IFERROR(__xludf.DUMMYFUNCTION("""COMPUTED_VALUE"""),"Masculino")</f>
        <v>Masculino</v>
      </c>
      <c r="M6" s="38" t="str">
        <f ca="1">IFERROR(__xludf.DUMMYFUNCTION("""COMPUTED_VALUE"""),"YCO")</f>
        <v>YCO</v>
      </c>
      <c r="N6" s="38" t="str">
        <f ca="1">IFERROR(__xludf.DUMMYFUNCTION("""COMPUTED_VALUE"""),"Master (ILCA)")</f>
        <v>Master (ILCA)</v>
      </c>
      <c r="O6" s="38" t="str">
        <f ca="1">IFERROR(__xludf.DUMMYFUNCTION("""COMPUTED_VALUE"""),"ILCA 6")</f>
        <v>ILCA 6</v>
      </c>
      <c r="P6" s="38"/>
      <c r="Q6" s="38">
        <f ca="1">IFERROR(__xludf.DUMMYFUNCTION("""COMPUTED_VALUE"""),184290)</f>
        <v>184290</v>
      </c>
      <c r="R6" s="38" t="str">
        <f ca="1">IFERROR(__xludf.DUMMYFUNCTION("""COMPUTED_VALUE"""),"Sandro")</f>
        <v>Sandro</v>
      </c>
      <c r="S6" s="38"/>
      <c r="T6" s="38"/>
      <c r="U6" s="38"/>
      <c r="V6" s="38"/>
      <c r="W6" s="38"/>
      <c r="X6" s="38"/>
      <c r="Y6" s="38" t="str">
        <f ca="1">IFERROR(__xludf.DUMMYFUNCTION("""COMPUTED_VALUE"""),"Osde")</f>
        <v>Osde</v>
      </c>
      <c r="Z6" s="38" t="str">
        <f ca="1">IFERROR(__xludf.DUMMYFUNCTION("""COMPUTED_VALUE"""),"Si")</f>
        <v>Si</v>
      </c>
      <c r="AA6" s="6" t="str">
        <f ca="1">IFERROR(__xludf.DUMMYFUNCTION("""COMPUTED_VALUE"""),"Acepto")</f>
        <v>Acepto</v>
      </c>
      <c r="AB6" s="38" t="str">
        <f ca="1">IFERROR(__xludf.DUMMYFUNCTION("""COMPUTED_VALUE"""),"Terminado")</f>
        <v>Terminado</v>
      </c>
      <c r="AC6" s="6">
        <f ca="1">IFERROR(__xludf.DUMMYFUNCTION("""COMPUTED_VALUE"""),45000)</f>
        <v>45000</v>
      </c>
      <c r="AD6" s="38">
        <f ca="1">IFERROR(__xludf.DUMMYFUNCTION("""COMPUTED_VALUE"""),205168)</f>
        <v>205168</v>
      </c>
      <c r="AE6" s="38" t="str">
        <f ca="1">IFERROR(__xludf.DUMMYFUNCTION("""COMPUTED_VALUE"""),"TRF 31-08")</f>
        <v>TRF 31-08</v>
      </c>
      <c r="AF6" s="38"/>
      <c r="AG6" s="38"/>
    </row>
    <row r="7" spans="1:33" ht="13.2">
      <c r="B7" s="68">
        <f ca="1">IFERROR(__xludf.DUMMYFUNCTION("""COMPUTED_VALUE"""),45538.4155449074)</f>
        <v>45538.415544907402</v>
      </c>
      <c r="C7" s="36" t="str">
        <f ca="1">IFERROR(__xludf.DUMMYFUNCTION("""COMPUTED_VALUE"""),"Sebastián ")</f>
        <v xml:space="preserve">Sebastián </v>
      </c>
      <c r="D7" s="36" t="str">
        <f ca="1">IFERROR(__xludf.DUMMYFUNCTION("""COMPUTED_VALUE"""),"Clua D'alessandro ")</f>
        <v xml:space="preserve">Clua D'alessandro </v>
      </c>
      <c r="E7" s="36" t="str">
        <f ca="1">IFERROR(__xludf.DUMMYFUNCTION("""COMPUTED_VALUE"""),"La plata")</f>
        <v>La plata</v>
      </c>
      <c r="F7" s="6" t="str">
        <f ca="1">IFERROR(__xludf.DUMMYFUNCTION("""COMPUTED_VALUE"""),"ARG")</f>
        <v>ARG</v>
      </c>
      <c r="G7" s="6">
        <f ca="1">IFERROR(__xludf.DUMMYFUNCTION("""COMPUTED_VALUE"""),33850814)</f>
        <v>33850814</v>
      </c>
      <c r="H7" s="37">
        <f ca="1">IFERROR(__xludf.DUMMYFUNCTION("""COMPUTED_VALUE"""),32299)</f>
        <v>32299</v>
      </c>
      <c r="I7" s="38">
        <f ca="1">IFERROR(__xludf.DUMMYFUNCTION("""COMPUTED_VALUE"""),2215343741)</f>
        <v>2215343741</v>
      </c>
      <c r="J7" s="38">
        <f ca="1">IFERROR(__xludf.DUMMYFUNCTION("""COMPUTED_VALUE"""),2215411548)</f>
        <v>2215411548</v>
      </c>
      <c r="K7" s="38" t="str">
        <f ca="1">IFERROR(__xludf.DUMMYFUNCTION("""COMPUTED_VALUE"""),"sebas.clua@gmail.com")</f>
        <v>sebas.clua@gmail.com</v>
      </c>
      <c r="L7" s="38" t="str">
        <f ca="1">IFERROR(__xludf.DUMMYFUNCTION("""COMPUTED_VALUE"""),"Masculino")</f>
        <v>Masculino</v>
      </c>
      <c r="M7" s="38" t="str">
        <f ca="1">IFERROR(__xludf.DUMMYFUNCTION("""COMPUTED_VALUE"""),"Gasav")</f>
        <v>Gasav</v>
      </c>
      <c r="N7" s="38" t="str">
        <f ca="1">IFERROR(__xludf.DUMMYFUNCTION("""COMPUTED_VALUE"""),"Master (ILCA)")</f>
        <v>Master (ILCA)</v>
      </c>
      <c r="O7" s="38" t="str">
        <f ca="1">IFERROR(__xludf.DUMMYFUNCTION("""COMPUTED_VALUE"""),"ILCA 6")</f>
        <v>ILCA 6</v>
      </c>
      <c r="P7" s="38"/>
      <c r="Q7" s="38" t="str">
        <f ca="1">IFERROR(__xludf.DUMMYFUNCTION("""COMPUTED_VALUE"""),"ALA 2")</f>
        <v>ALA 2</v>
      </c>
      <c r="R7" s="38" t="str">
        <f ca="1">IFERROR(__xludf.DUMMYFUNCTION("""COMPUTED_VALUE"""),"Gollo")</f>
        <v>Gollo</v>
      </c>
      <c r="S7" s="38"/>
      <c r="T7" s="38"/>
      <c r="U7" s="38"/>
      <c r="V7" s="38"/>
      <c r="W7" s="38"/>
      <c r="X7" s="38"/>
      <c r="Y7" s="38"/>
      <c r="Z7" s="38" t="str">
        <f ca="1">IFERROR(__xludf.DUMMYFUNCTION("""COMPUTED_VALUE"""),"Si")</f>
        <v>Si</v>
      </c>
      <c r="AA7" s="6" t="str">
        <f ca="1">IFERROR(__xludf.DUMMYFUNCTION("""COMPUTED_VALUE"""),"Acepto")</f>
        <v>Acepto</v>
      </c>
      <c r="AB7" s="38" t="str">
        <f ca="1">IFERROR(__xludf.DUMMYFUNCTION("""COMPUTED_VALUE"""),"Pendiente")</f>
        <v>Pendiente</v>
      </c>
      <c r="AC7" s="6"/>
      <c r="AD7" s="38"/>
      <c r="AE7" s="38"/>
      <c r="AF7" s="38"/>
      <c r="AG7" s="38"/>
    </row>
    <row r="8" spans="1:33" ht="13.2">
      <c r="B8" s="68">
        <f ca="1">IFERROR(__xludf.DUMMYFUNCTION("""COMPUTED_VALUE"""),45535.9223474074)</f>
        <v>45535.922347407402</v>
      </c>
      <c r="C8" s="36" t="str">
        <f ca="1">IFERROR(__xludf.DUMMYFUNCTION("""COMPUTED_VALUE"""),"Tomás ")</f>
        <v xml:space="preserve">Tomás </v>
      </c>
      <c r="D8" s="36" t="str">
        <f ca="1">IFERROR(__xludf.DUMMYFUNCTION("""COMPUTED_VALUE"""),"De ezcurra")</f>
        <v>De ezcurra</v>
      </c>
      <c r="E8" s="36" t="str">
        <f ca="1">IFERROR(__xludf.DUMMYFUNCTION("""COMPUTED_VALUE"""),"Bs as")</f>
        <v>Bs as</v>
      </c>
      <c r="F8" s="6" t="str">
        <f ca="1">IFERROR(__xludf.DUMMYFUNCTION("""COMPUTED_VALUE"""),"ARG")</f>
        <v>ARG</v>
      </c>
      <c r="G8" s="6">
        <f ca="1">IFERROR(__xludf.DUMMYFUNCTION("""COMPUTED_VALUE"""),49064224)</f>
        <v>49064224</v>
      </c>
      <c r="H8" s="37">
        <f ca="1">IFERROR(__xludf.DUMMYFUNCTION("""COMPUTED_VALUE"""),39731)</f>
        <v>39731</v>
      </c>
      <c r="I8" s="38">
        <f ca="1">IFERROR(__xludf.DUMMYFUNCTION("""COMPUTED_VALUE"""),1540279334)</f>
        <v>1540279334</v>
      </c>
      <c r="J8" s="38">
        <f ca="1">IFERROR(__xludf.DUMMYFUNCTION("""COMPUTED_VALUE"""),1540279334)</f>
        <v>1540279334</v>
      </c>
      <c r="K8" s="38" t="str">
        <f ca="1">IFERROR(__xludf.DUMMYFUNCTION("""COMPUTED_VALUE"""),"tdezcu@gmail.com")</f>
        <v>tdezcu@gmail.com</v>
      </c>
      <c r="L8" s="38" t="str">
        <f ca="1">IFERROR(__xludf.DUMMYFUNCTION("""COMPUTED_VALUE"""),"Masculino")</f>
        <v>Masculino</v>
      </c>
      <c r="M8" s="38" t="str">
        <f ca="1">IFERROR(__xludf.DUMMYFUNCTION("""COMPUTED_VALUE"""),"Cnsi")</f>
        <v>Cnsi</v>
      </c>
      <c r="N8" s="38"/>
      <c r="O8" s="38" t="str">
        <f ca="1">IFERROR(__xludf.DUMMYFUNCTION("""COMPUTED_VALUE"""),"ILCA 6")</f>
        <v>ILCA 6</v>
      </c>
      <c r="P8" s="38"/>
      <c r="Q8" s="38">
        <f ca="1">IFERROR(__xludf.DUMMYFUNCTION("""COMPUTED_VALUE"""),222112)</f>
        <v>222112</v>
      </c>
      <c r="R8" s="38"/>
      <c r="S8" s="38"/>
      <c r="T8" s="38"/>
      <c r="U8" s="38"/>
      <c r="V8" s="38"/>
      <c r="W8" s="38"/>
      <c r="X8" s="38"/>
      <c r="Y8" s="38">
        <f ca="1">IFERROR(__xludf.DUMMYFUNCTION("""COMPUTED_VALUE"""),61721757103)</f>
        <v>61721757103</v>
      </c>
      <c r="Z8" s="38" t="str">
        <f ca="1">IFERROR(__xludf.DUMMYFUNCTION("""COMPUTED_VALUE"""),"No")</f>
        <v>No</v>
      </c>
      <c r="AA8" s="6" t="str">
        <f ca="1">IFERROR(__xludf.DUMMYFUNCTION("""COMPUTED_VALUE"""),"Acepto")</f>
        <v>Acepto</v>
      </c>
      <c r="AB8" s="38" t="str">
        <f ca="1">IFERROR(__xludf.DUMMYFUNCTION("""COMPUTED_VALUE"""),"Terminado")</f>
        <v>Terminado</v>
      </c>
      <c r="AC8" s="6">
        <f ca="1">IFERROR(__xludf.DUMMYFUNCTION("""COMPUTED_VALUE"""),45000)</f>
        <v>45000</v>
      </c>
      <c r="AD8" s="38">
        <f ca="1">IFERROR(__xludf.DUMMYFUNCTION("""COMPUTED_VALUE"""),205340)</f>
        <v>205340</v>
      </c>
      <c r="AE8" s="38" t="str">
        <f ca="1">IFERROR(__xludf.DUMMYFUNCTION("""COMPUTED_VALUE"""),"TRF 31-08")</f>
        <v>TRF 31-08</v>
      </c>
      <c r="AF8" s="38"/>
      <c r="AG8" s="38"/>
    </row>
    <row r="9" spans="1:33" ht="13.2">
      <c r="B9" s="68">
        <f ca="1">IFERROR(__xludf.DUMMYFUNCTION("""COMPUTED_VALUE"""),45538.4134942361)</f>
        <v>45538.413494236098</v>
      </c>
      <c r="C9" s="36" t="str">
        <f ca="1">IFERROR(__xludf.DUMMYFUNCTION("""COMPUTED_VALUE"""),"Adriana ")</f>
        <v xml:space="preserve">Adriana </v>
      </c>
      <c r="D9" s="36" t="str">
        <f ca="1">IFERROR(__xludf.DUMMYFUNCTION("""COMPUTED_VALUE"""),"Demaestri ")</f>
        <v xml:space="preserve">Demaestri </v>
      </c>
      <c r="E9" s="36" t="str">
        <f ca="1">IFERROR(__xludf.DUMMYFUNCTION("""COMPUTED_VALUE"""),"Bs as ")</f>
        <v xml:space="preserve">Bs as </v>
      </c>
      <c r="F9" s="6" t="str">
        <f ca="1">IFERROR(__xludf.DUMMYFUNCTION("""COMPUTED_VALUE"""),"ARG")</f>
        <v>ARG</v>
      </c>
      <c r="G9" s="6">
        <f ca="1">IFERROR(__xludf.DUMMYFUNCTION("""COMPUTED_VALUE"""),20383836)</f>
        <v>20383836</v>
      </c>
      <c r="H9" s="37">
        <f ca="1">IFERROR(__xludf.DUMMYFUNCTION("""COMPUTED_VALUE"""),-668975)</f>
        <v>-668975</v>
      </c>
      <c r="I9" s="38">
        <f ca="1">IFERROR(__xludf.DUMMYFUNCTION("""COMPUTED_VALUE"""),1566102090)</f>
        <v>1566102090</v>
      </c>
      <c r="J9" s="38"/>
      <c r="K9" s="38" t="str">
        <f ca="1">IFERROR(__xludf.DUMMYFUNCTION("""COMPUTED_VALUE"""),"Adriobstdemaestri@gmail.com")</f>
        <v>Adriobstdemaestri@gmail.com</v>
      </c>
      <c r="L9" s="38" t="str">
        <f ca="1">IFERROR(__xludf.DUMMYFUNCTION("""COMPUTED_VALUE"""),"Femenino")</f>
        <v>Femenino</v>
      </c>
      <c r="M9" s="38" t="str">
        <f ca="1">IFERROR(__xludf.DUMMYFUNCTION("""COMPUTED_VALUE"""),"CNO")</f>
        <v>CNO</v>
      </c>
      <c r="N9" s="38" t="str">
        <f ca="1">IFERROR(__xludf.DUMMYFUNCTION("""COMPUTED_VALUE"""),"Femenino, Master (ILCA)")</f>
        <v>Femenino, Master (ILCA)</v>
      </c>
      <c r="O9" s="38" t="str">
        <f ca="1">IFERROR(__xludf.DUMMYFUNCTION("""COMPUTED_VALUE"""),"ILCA 6")</f>
        <v>ILCA 6</v>
      </c>
      <c r="P9" s="38"/>
      <c r="Q9" s="38">
        <f ca="1">IFERROR(__xludf.DUMMYFUNCTION("""COMPUTED_VALUE"""),218280)</f>
        <v>218280</v>
      </c>
      <c r="R9" s="38"/>
      <c r="S9" s="38"/>
      <c r="T9" s="38"/>
      <c r="U9" s="38"/>
      <c r="V9" s="38"/>
      <c r="W9" s="38"/>
      <c r="X9" s="38"/>
      <c r="Y9" s="38"/>
      <c r="Z9" s="38" t="str">
        <f ca="1">IFERROR(__xludf.DUMMYFUNCTION("""COMPUTED_VALUE"""),"No")</f>
        <v>No</v>
      </c>
      <c r="AA9" s="6" t="str">
        <f ca="1">IFERROR(__xludf.DUMMYFUNCTION("""COMPUTED_VALUE"""),"Acepto")</f>
        <v>Acepto</v>
      </c>
      <c r="AB9" s="38" t="str">
        <f ca="1">IFERROR(__xludf.DUMMYFUNCTION("""COMPUTED_VALUE"""),"Pendiente")</f>
        <v>Pendiente</v>
      </c>
      <c r="AC9" s="6"/>
      <c r="AD9" s="38"/>
      <c r="AE9" s="38"/>
      <c r="AF9" s="38"/>
      <c r="AG9" s="38"/>
    </row>
    <row r="10" spans="1:33" ht="13.2">
      <c r="B10" s="68">
        <f ca="1">IFERROR(__xludf.DUMMYFUNCTION("""COMPUTED_VALUE"""),45535.4944087268)</f>
        <v>45535.494408726801</v>
      </c>
      <c r="C10" s="36" t="str">
        <f ca="1">IFERROR(__xludf.DUMMYFUNCTION("""COMPUTED_VALUE"""),"Tomas ")</f>
        <v xml:space="preserve">Tomas </v>
      </c>
      <c r="D10" s="36" t="str">
        <f ca="1">IFERROR(__xludf.DUMMYFUNCTION("""COMPUTED_VALUE"""),"Elias")</f>
        <v>Elias</v>
      </c>
      <c r="E10" s="36" t="str">
        <f ca="1">IFERROR(__xludf.DUMMYFUNCTION("""COMPUTED_VALUE"""),"CABA ")</f>
        <v xml:space="preserve">CABA </v>
      </c>
      <c r="F10" s="6" t="str">
        <f ca="1">IFERROR(__xludf.DUMMYFUNCTION("""COMPUTED_VALUE"""),"ARG")</f>
        <v>ARG</v>
      </c>
      <c r="G10" s="6">
        <f ca="1">IFERROR(__xludf.DUMMYFUNCTION("""COMPUTED_VALUE"""),47866955)</f>
        <v>47866955</v>
      </c>
      <c r="H10" s="37">
        <f ca="1">IFERROR(__xludf.DUMMYFUNCTION("""COMPUTED_VALUE"""),39329)</f>
        <v>39329</v>
      </c>
      <c r="I10" s="38" t="str">
        <f ca="1">IFERROR(__xludf.DUMMYFUNCTION("""COMPUTED_VALUE"""),"‪+54 9 11 4079‑2894‬")</f>
        <v>‪+54 9 11 4079‑2894‬</v>
      </c>
      <c r="J10" s="38">
        <f ca="1">IFERROR(__xludf.DUMMYFUNCTION("""COMPUTED_VALUE"""),1149936115)</f>
        <v>1149936115</v>
      </c>
      <c r="K10" s="38" t="str">
        <f ca="1">IFERROR(__xludf.DUMMYFUNCTION("""COMPUTED_VALUE"""),"tomaselias@educacioncopello.com.ar")</f>
        <v>tomaselias@educacioncopello.com.ar</v>
      </c>
      <c r="L10" s="38" t="str">
        <f ca="1">IFERROR(__xludf.DUMMYFUNCTION("""COMPUTED_VALUE"""),"Masculino")</f>
        <v>Masculino</v>
      </c>
      <c r="M10" s="38" t="str">
        <f ca="1">IFERROR(__xludf.DUMMYFUNCTION("""COMPUTED_VALUE"""),"CUBA")</f>
        <v>CUBA</v>
      </c>
      <c r="N10" s="38" t="str">
        <f ca="1">IFERROR(__xludf.DUMMYFUNCTION("""COMPUTED_VALUE"""),"Junior")</f>
        <v>Junior</v>
      </c>
      <c r="O10" s="38" t="str">
        <f ca="1">IFERROR(__xludf.DUMMYFUNCTION("""COMPUTED_VALUE"""),"ILCA 6")</f>
        <v>ILCA 6</v>
      </c>
      <c r="P10" s="38"/>
      <c r="Q10" s="38">
        <f ca="1">IFERROR(__xludf.DUMMYFUNCTION("""COMPUTED_VALUE"""),223031)</f>
        <v>223031</v>
      </c>
      <c r="R10" s="38"/>
      <c r="S10" s="38"/>
      <c r="T10" s="38"/>
      <c r="U10" s="38"/>
      <c r="V10" s="38"/>
      <c r="W10" s="38"/>
      <c r="X10" s="38"/>
      <c r="Y10" s="38" t="str">
        <f ca="1">IFERROR(__xludf.DUMMYFUNCTION("""COMPUTED_VALUE"""),"Hospital Alemán ")</f>
        <v xml:space="preserve">Hospital Alemán </v>
      </c>
      <c r="Z10" s="38" t="str">
        <f ca="1">IFERROR(__xludf.DUMMYFUNCTION("""COMPUTED_VALUE"""),"No")</f>
        <v>No</v>
      </c>
      <c r="AA10" s="6" t="str">
        <f ca="1">IFERROR(__xludf.DUMMYFUNCTION("""COMPUTED_VALUE"""),"Acepto")</f>
        <v>Acepto</v>
      </c>
      <c r="AB10" s="38" t="str">
        <f ca="1">IFERROR(__xludf.DUMMYFUNCTION("""COMPUTED_VALUE"""),"Terminado")</f>
        <v>Terminado</v>
      </c>
      <c r="AC10" s="6">
        <f ca="1">IFERROR(__xludf.DUMMYFUNCTION("""COMPUTED_VALUE"""),45000)</f>
        <v>45000</v>
      </c>
      <c r="AD10" s="38">
        <f ca="1">IFERROR(__xludf.DUMMYFUNCTION("""COMPUTED_VALUE"""),205481)</f>
        <v>205481</v>
      </c>
      <c r="AE10" s="38" t="str">
        <f ca="1">IFERROR(__xludf.DUMMYFUNCTION("""COMPUTED_VALUE"""),"TRF 05-09")</f>
        <v>TRF 05-09</v>
      </c>
      <c r="AF10" s="38"/>
      <c r="AG10" s="38"/>
    </row>
    <row r="11" spans="1:33" ht="13.2">
      <c r="B11" s="68">
        <f ca="1">IFERROR(__xludf.DUMMYFUNCTION("""COMPUTED_VALUE"""),45537.6380318865)</f>
        <v>45537.638031886498</v>
      </c>
      <c r="C11" s="36" t="str">
        <f ca="1">IFERROR(__xludf.DUMMYFUNCTION("""COMPUTED_VALUE"""),"Joaquin")</f>
        <v>Joaquin</v>
      </c>
      <c r="D11" s="36" t="str">
        <f ca="1">IFERROR(__xludf.DUMMYFUNCTION("""COMPUTED_VALUE"""),"Galvan")</f>
        <v>Galvan</v>
      </c>
      <c r="E11" s="36" t="str">
        <f ca="1">IFERROR(__xludf.DUMMYFUNCTION("""COMPUTED_VALUE"""),"La Plata")</f>
        <v>La Plata</v>
      </c>
      <c r="F11" s="6" t="str">
        <f ca="1">IFERROR(__xludf.DUMMYFUNCTION("""COMPUTED_VALUE"""),"ARG")</f>
        <v>ARG</v>
      </c>
      <c r="G11" s="6">
        <f ca="1">IFERROR(__xludf.DUMMYFUNCTION("""COMPUTED_VALUE"""),48167738)</f>
        <v>48167738</v>
      </c>
      <c r="H11" s="37">
        <f ca="1">IFERROR(__xludf.DUMMYFUNCTION("""COMPUTED_VALUE"""),39322)</f>
        <v>39322</v>
      </c>
      <c r="I11" s="38">
        <f ca="1">IFERROR(__xludf.DUMMYFUNCTION("""COMPUTED_VALUE"""),2215255503)</f>
        <v>2215255503</v>
      </c>
      <c r="J11" s="38">
        <f ca="1">IFERROR(__xludf.DUMMYFUNCTION("""COMPUTED_VALUE"""),2214638320)</f>
        <v>2214638320</v>
      </c>
      <c r="K11" s="38" t="str">
        <f ca="1">IFERROR(__xludf.DUMMYFUNCTION("""COMPUTED_VALUE"""),"galvanb612@gmail.com")</f>
        <v>galvanb612@gmail.com</v>
      </c>
      <c r="L11" s="38" t="str">
        <f ca="1">IFERROR(__xludf.DUMMYFUNCTION("""COMPUTED_VALUE"""),"Masculino")</f>
        <v>Masculino</v>
      </c>
      <c r="M11" s="38" t="str">
        <f ca="1">IFERROR(__xludf.DUMMYFUNCTION("""COMPUTED_VALUE"""),"YCO")</f>
        <v>YCO</v>
      </c>
      <c r="N11" s="38" t="str">
        <f ca="1">IFERROR(__xludf.DUMMYFUNCTION("""COMPUTED_VALUE"""),"Sub 19")</f>
        <v>Sub 19</v>
      </c>
      <c r="O11" s="38" t="str">
        <f ca="1">IFERROR(__xludf.DUMMYFUNCTION("""COMPUTED_VALUE"""),"ILCA 6")</f>
        <v>ILCA 6</v>
      </c>
      <c r="P11" s="38"/>
      <c r="Q11" s="38">
        <f ca="1">IFERROR(__xludf.DUMMYFUNCTION("""COMPUTED_VALUE"""),223046)</f>
        <v>223046</v>
      </c>
      <c r="R11" s="38"/>
      <c r="S11" s="38"/>
      <c r="T11" s="38"/>
      <c r="U11" s="38"/>
      <c r="V11" s="38"/>
      <c r="W11" s="38"/>
      <c r="X11" s="38"/>
      <c r="Y11" s="38">
        <f ca="1">IFERROR(__xludf.DUMMYFUNCTION("""COMPUTED_VALUE"""),48167738)</f>
        <v>48167738</v>
      </c>
      <c r="Z11" s="38" t="str">
        <f ca="1">IFERROR(__xludf.DUMMYFUNCTION("""COMPUTED_VALUE"""),"Si")</f>
        <v>Si</v>
      </c>
      <c r="AA11" s="6" t="str">
        <f ca="1">IFERROR(__xludf.DUMMYFUNCTION("""COMPUTED_VALUE"""),"Acepto")</f>
        <v>Acepto</v>
      </c>
      <c r="AB11" s="38" t="str">
        <f ca="1">IFERROR(__xludf.DUMMYFUNCTION("""COMPUTED_VALUE"""),"Terminado")</f>
        <v>Terminado</v>
      </c>
      <c r="AC11" s="6">
        <f ca="1">IFERROR(__xludf.DUMMYFUNCTION("""COMPUTED_VALUE"""),45000)</f>
        <v>45000</v>
      </c>
      <c r="AD11" s="38">
        <f ca="1">IFERROR(__xludf.DUMMYFUNCTION("""COMPUTED_VALUE"""),205482)</f>
        <v>205482</v>
      </c>
      <c r="AE11" s="38" t="str">
        <f ca="1">IFERROR(__xludf.DUMMYFUNCTION("""COMPUTED_VALUE"""),"TRF 03-09")</f>
        <v>TRF 03-09</v>
      </c>
      <c r="AF11" s="38"/>
      <c r="AG11" s="38"/>
    </row>
    <row r="12" spans="1:33" ht="13.2">
      <c r="B12" s="68">
        <f ca="1">IFERROR(__xludf.DUMMYFUNCTION("""COMPUTED_VALUE"""),45535.7082347916)</f>
        <v>45535.7082347916</v>
      </c>
      <c r="C12" s="36" t="str">
        <f ca="1">IFERROR(__xludf.DUMMYFUNCTION("""COMPUTED_VALUE"""),"Alejandro ")</f>
        <v xml:space="preserve">Alejandro </v>
      </c>
      <c r="D12" s="36" t="str">
        <f ca="1">IFERROR(__xludf.DUMMYFUNCTION("""COMPUTED_VALUE"""),"Garcia")</f>
        <v>Garcia</v>
      </c>
      <c r="E12" s="36" t="str">
        <f ca="1">IFERROR(__xludf.DUMMYFUNCTION("""COMPUTED_VALUE"""),"Caba")</f>
        <v>Caba</v>
      </c>
      <c r="F12" s="6" t="str">
        <f ca="1">IFERROR(__xludf.DUMMYFUNCTION("""COMPUTED_VALUE"""),"ARG")</f>
        <v>ARG</v>
      </c>
      <c r="G12" s="6">
        <f ca="1">IFERROR(__xludf.DUMMYFUNCTION("""COMPUTED_VALUE"""),26562029)</f>
        <v>26562029</v>
      </c>
      <c r="H12" s="37">
        <f ca="1">IFERROR(__xludf.DUMMYFUNCTION("""COMPUTED_VALUE"""),28571)</f>
        <v>28571</v>
      </c>
      <c r="I12" s="38">
        <f ca="1">IFERROR(__xludf.DUMMYFUNCTION("""COMPUTED_VALUE"""),1161245840)</f>
        <v>1161245840</v>
      </c>
      <c r="J12" s="38">
        <f ca="1">IFERROR(__xludf.DUMMYFUNCTION("""COMPUTED_VALUE"""),1161245840)</f>
        <v>1161245840</v>
      </c>
      <c r="K12" s="38" t="str">
        <f ca="1">IFERROR(__xludf.DUMMYFUNCTION("""COMPUTED_VALUE"""),"Alejandro_19788@hotmail.com")</f>
        <v>Alejandro_19788@hotmail.com</v>
      </c>
      <c r="L12" s="38" t="str">
        <f ca="1">IFERROR(__xludf.DUMMYFUNCTION("""COMPUTED_VALUE"""),"Masculino")</f>
        <v>Masculino</v>
      </c>
      <c r="M12" s="38" t="str">
        <f ca="1">IFERROR(__xludf.DUMMYFUNCTION("""COMPUTED_VALUE"""),"Club Nautico Albatros")</f>
        <v>Club Nautico Albatros</v>
      </c>
      <c r="N12" s="38" t="str">
        <f ca="1">IFERROR(__xludf.DUMMYFUNCTION("""COMPUTED_VALUE"""),"Master (ILCA)")</f>
        <v>Master (ILCA)</v>
      </c>
      <c r="O12" s="38" t="str">
        <f ca="1">IFERROR(__xludf.DUMMYFUNCTION("""COMPUTED_VALUE"""),"ILCA 6")</f>
        <v>ILCA 6</v>
      </c>
      <c r="P12" s="38">
        <f ca="1">IFERROR(__xludf.DUMMYFUNCTION("""COMPUTED_VALUE"""),134)</f>
        <v>134</v>
      </c>
      <c r="Q12" s="38">
        <f ca="1">IFERROR(__xludf.DUMMYFUNCTION("""COMPUTED_VALUE"""),221117)</f>
        <v>221117</v>
      </c>
      <c r="R12" s="38" t="str">
        <f ca="1">IFERROR(__xludf.DUMMYFUNCTION("""COMPUTED_VALUE"""),"Selkirk")</f>
        <v>Selkirk</v>
      </c>
      <c r="S12" s="38"/>
      <c r="T12" s="38"/>
      <c r="U12" s="38"/>
      <c r="V12" s="38"/>
      <c r="W12" s="38"/>
      <c r="X12" s="38"/>
      <c r="Y12" s="38" t="str">
        <f ca="1">IFERROR(__xludf.DUMMYFUNCTION("""COMPUTED_VALUE"""),"Omint")</f>
        <v>Omint</v>
      </c>
      <c r="Z12" s="38" t="str">
        <f ca="1">IFERROR(__xludf.DUMMYFUNCTION("""COMPUTED_VALUE"""),"No")</f>
        <v>No</v>
      </c>
      <c r="AA12" s="6" t="str">
        <f ca="1">IFERROR(__xludf.DUMMYFUNCTION("""COMPUTED_VALUE"""),"Acepto")</f>
        <v>Acepto</v>
      </c>
      <c r="AB12" s="38" t="str">
        <f ca="1">IFERROR(__xludf.DUMMYFUNCTION("""COMPUTED_VALUE"""),"Terminado")</f>
        <v>Terminado</v>
      </c>
      <c r="AC12" s="6">
        <f ca="1">IFERROR(__xludf.DUMMYFUNCTION("""COMPUTED_VALUE"""),45000)</f>
        <v>45000</v>
      </c>
      <c r="AD12" s="38">
        <f ca="1">IFERROR(__xludf.DUMMYFUNCTION("""COMPUTED_VALUE"""),205378)</f>
        <v>205378</v>
      </c>
      <c r="AE12" s="38" t="str">
        <f ca="1">IFERROR(__xludf.DUMMYFUNCTION("""COMPUTED_VALUE"""),"TRF 02-09")</f>
        <v>TRF 02-09</v>
      </c>
      <c r="AF12" s="38"/>
      <c r="AG12" s="38"/>
    </row>
    <row r="13" spans="1:33" ht="13.2">
      <c r="B13" s="68">
        <f ca="1">IFERROR(__xludf.DUMMYFUNCTION("""COMPUTED_VALUE"""),45535.5012050231)</f>
        <v>45535.501205023102</v>
      </c>
      <c r="C13" s="36" t="str">
        <f ca="1">IFERROR(__xludf.DUMMYFUNCTION("""COMPUTED_VALUE"""),"Ticiano")</f>
        <v>Ticiano</v>
      </c>
      <c r="D13" s="36" t="str">
        <f ca="1">IFERROR(__xludf.DUMMYFUNCTION("""COMPUTED_VALUE"""),"Koltez")</f>
        <v>Koltez</v>
      </c>
      <c r="E13" s="36" t="str">
        <f ca="1">IFERROR(__xludf.DUMMYFUNCTION("""COMPUTED_VALUE"""),"Rada Tilly")</f>
        <v>Rada Tilly</v>
      </c>
      <c r="F13" s="6" t="str">
        <f ca="1">IFERROR(__xludf.DUMMYFUNCTION("""COMPUTED_VALUE"""),"ARG")</f>
        <v>ARG</v>
      </c>
      <c r="G13" s="6">
        <f ca="1">IFERROR(__xludf.DUMMYFUNCTION("""COMPUTED_VALUE"""),44601424)</f>
        <v>44601424</v>
      </c>
      <c r="H13" s="37">
        <f ca="1">IFERROR(__xludf.DUMMYFUNCTION("""COMPUTED_VALUE"""),37689)</f>
        <v>37689</v>
      </c>
      <c r="I13" s="38">
        <f ca="1">IFERROR(__xludf.DUMMYFUNCTION("""COMPUTED_VALUE"""),2974572501)</f>
        <v>2974572501</v>
      </c>
      <c r="J13" s="38"/>
      <c r="K13" s="38" t="str">
        <f ca="1">IFERROR(__xludf.DUMMYFUNCTION("""COMPUTED_VALUE"""),"ticianokoltez@gmail.com")</f>
        <v>ticianokoltez@gmail.com</v>
      </c>
      <c r="L13" s="38" t="str">
        <f ca="1">IFERROR(__xludf.DUMMYFUNCTION("""COMPUTED_VALUE"""),"Masculino")</f>
        <v>Masculino</v>
      </c>
      <c r="M13" s="38" t="str">
        <f ca="1">IFERROR(__xludf.DUMMYFUNCTION("""COMPUTED_VALUE"""),"YCO - CNRT")</f>
        <v>YCO - CNRT</v>
      </c>
      <c r="N13" s="38"/>
      <c r="O13" s="38" t="str">
        <f ca="1">IFERROR(__xludf.DUMMYFUNCTION("""COMPUTED_VALUE"""),"ILCA 6")</f>
        <v>ILCA 6</v>
      </c>
      <c r="P13" s="38"/>
      <c r="Q13" s="38">
        <f ca="1">IFERROR(__xludf.DUMMYFUNCTION("""COMPUTED_VALUE"""),195383)</f>
        <v>195383</v>
      </c>
      <c r="R13" s="38"/>
      <c r="S13" s="38"/>
      <c r="T13" s="38"/>
      <c r="U13" s="38"/>
      <c r="V13" s="38"/>
      <c r="W13" s="38"/>
      <c r="X13" s="38"/>
      <c r="Y13" s="38" t="str">
        <f ca="1">IFERROR(__xludf.DUMMYFUNCTION("""COMPUTED_VALUE"""),"Osde")</f>
        <v>Osde</v>
      </c>
      <c r="Z13" s="38" t="str">
        <f ca="1">IFERROR(__xludf.DUMMYFUNCTION("""COMPUTED_VALUE"""),"Si")</f>
        <v>Si</v>
      </c>
      <c r="AA13" s="6" t="str">
        <f ca="1">IFERROR(__xludf.DUMMYFUNCTION("""COMPUTED_VALUE"""),"Acepto")</f>
        <v>Acepto</v>
      </c>
      <c r="AB13" s="38" t="str">
        <f ca="1">IFERROR(__xludf.DUMMYFUNCTION("""COMPUTED_VALUE"""),"Terminado")</f>
        <v>Terminado</v>
      </c>
      <c r="AC13" s="6">
        <f ca="1">IFERROR(__xludf.DUMMYFUNCTION("""COMPUTED_VALUE"""),45000)</f>
        <v>45000</v>
      </c>
      <c r="AD13" s="38">
        <f ca="1">IFERROR(__xludf.DUMMYFUNCTION("""COMPUTED_VALUE"""),205159)</f>
        <v>205159</v>
      </c>
      <c r="AE13" s="38" t="str">
        <f ca="1">IFERROR(__xludf.DUMMYFUNCTION("""COMPUTED_VALUE"""),"TRF 31-08")</f>
        <v>TRF 31-08</v>
      </c>
      <c r="AF13" s="38"/>
      <c r="AG13" s="38"/>
    </row>
    <row r="14" spans="1:33" ht="13.2">
      <c r="B14" s="68">
        <f ca="1">IFERROR(__xludf.DUMMYFUNCTION("""COMPUTED_VALUE"""),45535.8106453125)</f>
        <v>45535.8106453125</v>
      </c>
      <c r="C14" s="36" t="str">
        <f ca="1">IFERROR(__xludf.DUMMYFUNCTION("""COMPUTED_VALUE"""),"Santiago")</f>
        <v>Santiago</v>
      </c>
      <c r="D14" s="36" t="str">
        <f ca="1">IFERROR(__xludf.DUMMYFUNCTION("""COMPUTED_VALUE"""),"Latorre")</f>
        <v>Latorre</v>
      </c>
      <c r="E14" s="36" t="str">
        <f ca="1">IFERROR(__xludf.DUMMYFUNCTION("""COMPUTED_VALUE"""),"Buenos Aires")</f>
        <v>Buenos Aires</v>
      </c>
      <c r="F14" s="6" t="str">
        <f ca="1">IFERROR(__xludf.DUMMYFUNCTION("""COMPUTED_VALUE"""),"ARG")</f>
        <v>ARG</v>
      </c>
      <c r="G14" s="6">
        <f ca="1">IFERROR(__xludf.DUMMYFUNCTION("""COMPUTED_VALUE"""),48715531)</f>
        <v>48715531</v>
      </c>
      <c r="H14" s="37">
        <f ca="1">IFERROR(__xludf.DUMMYFUNCTION("""COMPUTED_VALUE"""),39575)</f>
        <v>39575</v>
      </c>
      <c r="I14" s="38">
        <f ca="1">IFERROR(__xludf.DUMMYFUNCTION("""COMPUTED_VALUE"""),1556687314)</f>
        <v>1556687314</v>
      </c>
      <c r="J14" s="38">
        <f ca="1">IFERROR(__xludf.DUMMYFUNCTION("""COMPUTED_VALUE"""),1556687314)</f>
        <v>1556687314</v>
      </c>
      <c r="K14" s="38" t="str">
        <f ca="1">IFERROR(__xludf.DUMMYFUNCTION("""COMPUTED_VALUE"""),"mariananasrala69@gmail.com")</f>
        <v>mariananasrala69@gmail.com</v>
      </c>
      <c r="L14" s="38" t="str">
        <f ca="1">IFERROR(__xludf.DUMMYFUNCTION("""COMPUTED_VALUE"""),"Masculino")</f>
        <v>Masculino</v>
      </c>
      <c r="M14" s="38" t="str">
        <f ca="1">IFERROR(__xludf.DUMMYFUNCTION("""COMPUTED_VALUE"""),"Yca")</f>
        <v>Yca</v>
      </c>
      <c r="N14" s="38"/>
      <c r="O14" s="38" t="str">
        <f ca="1">IFERROR(__xludf.DUMMYFUNCTION("""COMPUTED_VALUE"""),"ILCA 6")</f>
        <v>ILCA 6</v>
      </c>
      <c r="P14" s="38"/>
      <c r="Q14" s="38">
        <f ca="1">IFERROR(__xludf.DUMMYFUNCTION("""COMPUTED_VALUE"""),218118)</f>
        <v>218118</v>
      </c>
      <c r="R14" s="38"/>
      <c r="S14" s="38"/>
      <c r="T14" s="38"/>
      <c r="U14" s="38"/>
      <c r="V14" s="38"/>
      <c r="W14" s="38"/>
      <c r="X14" s="38"/>
      <c r="Y14" s="38"/>
      <c r="Z14" s="38" t="str">
        <f ca="1">IFERROR(__xludf.DUMMYFUNCTION("""COMPUTED_VALUE"""),"No")</f>
        <v>No</v>
      </c>
      <c r="AA14" s="6" t="str">
        <f ca="1">IFERROR(__xludf.DUMMYFUNCTION("""COMPUTED_VALUE"""),"Acepto")</f>
        <v>Acepto</v>
      </c>
      <c r="AB14" s="38" t="str">
        <f ca="1">IFERROR(__xludf.DUMMYFUNCTION("""COMPUTED_VALUE"""),"Terminado")</f>
        <v>Terminado</v>
      </c>
      <c r="AC14" s="6">
        <f ca="1">IFERROR(__xludf.DUMMYFUNCTION("""COMPUTED_VALUE"""),45000)</f>
        <v>45000</v>
      </c>
      <c r="AD14" s="38">
        <f ca="1">IFERROR(__xludf.DUMMYFUNCTION("""COMPUTED_VALUE"""),205375)</f>
        <v>205375</v>
      </c>
      <c r="AE14" s="38" t="str">
        <f ca="1">IFERROR(__xludf.DUMMYFUNCTION("""COMPUTED_VALUE"""),"TRF02-09")</f>
        <v>TRF02-09</v>
      </c>
      <c r="AF14" s="38"/>
      <c r="AG14" s="38"/>
    </row>
    <row r="15" spans="1:33" ht="13.2">
      <c r="B15" s="68">
        <f ca="1">IFERROR(__xludf.DUMMYFUNCTION("""COMPUTED_VALUE"""),45534.410175625)</f>
        <v>45534.410175625002</v>
      </c>
      <c r="C15" s="36" t="str">
        <f ca="1">IFERROR(__xludf.DUMMYFUNCTION("""COMPUTED_VALUE"""),"Facundo")</f>
        <v>Facundo</v>
      </c>
      <c r="D15" s="36" t="str">
        <f ca="1">IFERROR(__xludf.DUMMYFUNCTION("""COMPUTED_VALUE"""),"Pinedo Chiappa")</f>
        <v>Pinedo Chiappa</v>
      </c>
      <c r="E15" s="36" t="str">
        <f ca="1">IFERROR(__xludf.DUMMYFUNCTION("""COMPUTED_VALUE"""),"La Plata")</f>
        <v>La Plata</v>
      </c>
      <c r="F15" s="6" t="str">
        <f ca="1">IFERROR(__xludf.DUMMYFUNCTION("""COMPUTED_VALUE"""),"ARG")</f>
        <v>ARG</v>
      </c>
      <c r="G15" s="6">
        <f ca="1">IFERROR(__xludf.DUMMYFUNCTION("""COMPUTED_VALUE"""),51717346)</f>
        <v>51717346</v>
      </c>
      <c r="H15" s="37">
        <f ca="1">IFERROR(__xludf.DUMMYFUNCTION("""COMPUTED_VALUE"""),38919)</f>
        <v>38919</v>
      </c>
      <c r="I15" s="38" t="str">
        <f ca="1">IFERROR(__xludf.DUMMYFUNCTION("""COMPUTED_VALUE"""),"221 4196396")</f>
        <v>221 4196396</v>
      </c>
      <c r="J15" s="38" t="str">
        <f ca="1">IFERROR(__xludf.DUMMYFUNCTION("""COMPUTED_VALUE"""),"221 4196396")</f>
        <v>221 4196396</v>
      </c>
      <c r="K15" s="38" t="str">
        <f ca="1">IFERROR(__xludf.DUMMYFUNCTION("""COMPUTED_VALUE"""),"agustinpinedo@gmail.com")</f>
        <v>agustinpinedo@gmail.com</v>
      </c>
      <c r="L15" s="38" t="str">
        <f ca="1">IFERROR(__xludf.DUMMYFUNCTION("""COMPUTED_VALUE"""),"Masculino")</f>
        <v>Masculino</v>
      </c>
      <c r="M15" s="38" t="str">
        <f ca="1">IFERROR(__xludf.DUMMYFUNCTION("""COMPUTED_VALUE"""),"CRLP")</f>
        <v>CRLP</v>
      </c>
      <c r="N15" s="38"/>
      <c r="O15" s="38" t="str">
        <f ca="1">IFERROR(__xludf.DUMMYFUNCTION("""COMPUTED_VALUE"""),"ILCA 6")</f>
        <v>ILCA 6</v>
      </c>
      <c r="P15" s="38"/>
      <c r="Q15" s="38">
        <f ca="1">IFERROR(__xludf.DUMMYFUNCTION("""COMPUTED_VALUE"""),21)</f>
        <v>21</v>
      </c>
      <c r="R15" s="38"/>
      <c r="S15" s="38"/>
      <c r="T15" s="38"/>
      <c r="U15" s="38"/>
      <c r="V15" s="38"/>
      <c r="W15" s="38"/>
      <c r="X15" s="38"/>
      <c r="Y15" s="38"/>
      <c r="Z15" s="38" t="str">
        <f ca="1">IFERROR(__xludf.DUMMYFUNCTION("""COMPUTED_VALUE"""),"No")</f>
        <v>No</v>
      </c>
      <c r="AA15" s="6" t="str">
        <f ca="1">IFERROR(__xludf.DUMMYFUNCTION("""COMPUTED_VALUE"""),"Acepto")</f>
        <v>Acepto</v>
      </c>
      <c r="AB15" s="38" t="str">
        <f ca="1">IFERROR(__xludf.DUMMYFUNCTION("""COMPUTED_VALUE"""),"Parcial")</f>
        <v>Parcial</v>
      </c>
      <c r="AC15" s="6">
        <f ca="1">IFERROR(__xludf.DUMMYFUNCTION("""COMPUTED_VALUE"""),40000)</f>
        <v>40000</v>
      </c>
      <c r="AD15" s="38">
        <f ca="1">IFERROR(__xludf.DUMMYFUNCTION("""COMPUTED_VALUE"""),205089)</f>
        <v>205089</v>
      </c>
      <c r="AE15" s="38" t="str">
        <f ca="1">IFERROR(__xludf.DUMMYFUNCTION("""COMPUTED_VALUE"""),"TRF 30-08")</f>
        <v>TRF 30-08</v>
      </c>
      <c r="AF15" s="38"/>
      <c r="AG15" s="38" t="str">
        <f ca="1">IFERROR(__xludf.DUMMYFUNCTION("""COMPUTED_VALUE"""),"Debe saldo")</f>
        <v>Debe saldo</v>
      </c>
    </row>
    <row r="16" spans="1:33" ht="13.2">
      <c r="B16" s="68">
        <f ca="1">IFERROR(__xludf.DUMMYFUNCTION("""COMPUTED_VALUE"""),45535.6500593981)</f>
        <v>45535.650059398104</v>
      </c>
      <c r="C16" s="36" t="str">
        <f ca="1">IFERROR(__xludf.DUMMYFUNCTION("""COMPUTED_VALUE"""),"Maggie")</f>
        <v>Maggie</v>
      </c>
      <c r="D16" s="36" t="str">
        <f ca="1">IFERROR(__xludf.DUMMYFUNCTION("""COMPUTED_VALUE"""),"Pinto")</f>
        <v>Pinto</v>
      </c>
      <c r="E16" s="36" t="str">
        <f ca="1">IFERROR(__xludf.DUMMYFUNCTION("""COMPUTED_VALUE"""),"Buenos Aires")</f>
        <v>Buenos Aires</v>
      </c>
      <c r="F16" s="6" t="str">
        <f ca="1">IFERROR(__xludf.DUMMYFUNCTION("""COMPUTED_VALUE"""),"ARG")</f>
        <v>ARG</v>
      </c>
      <c r="G16" s="6">
        <f ca="1">IFERROR(__xludf.DUMMYFUNCTION("""COMPUTED_VALUE"""),48578167)</f>
        <v>48578167</v>
      </c>
      <c r="H16" s="37">
        <f ca="1">IFERROR(__xludf.DUMMYFUNCTION("""COMPUTED_VALUE"""),39517)</f>
        <v>39517</v>
      </c>
      <c r="I16" s="38">
        <f ca="1">IFERROR(__xludf.DUMMYFUNCTION("""COMPUTED_VALUE"""),116850109)</f>
        <v>116850109</v>
      </c>
      <c r="J16" s="38">
        <f ca="1">IFERROR(__xludf.DUMMYFUNCTION("""COMPUTED_VALUE"""),1163044368)</f>
        <v>1163044368</v>
      </c>
      <c r="K16" s="38" t="str">
        <f ca="1">IFERROR(__xludf.DUMMYFUNCTION("""COMPUTED_VALUE"""),"pinto0pedro1paulo9@gmail.com")</f>
        <v>pinto0pedro1paulo9@gmail.com</v>
      </c>
      <c r="L16" s="38" t="str">
        <f ca="1">IFERROR(__xludf.DUMMYFUNCTION("""COMPUTED_VALUE"""),"Femenino")</f>
        <v>Femenino</v>
      </c>
      <c r="M16" s="38" t="str">
        <f ca="1">IFERROR(__xludf.DUMMYFUNCTION("""COMPUTED_VALUE"""),"CNSI-Cvsi")</f>
        <v>CNSI-Cvsi</v>
      </c>
      <c r="N16" s="38" t="str">
        <f ca="1">IFERROR(__xludf.DUMMYFUNCTION("""COMPUTED_VALUE"""),"Femenino, U19")</f>
        <v>Femenino, U19</v>
      </c>
      <c r="O16" s="38" t="str">
        <f ca="1">IFERROR(__xludf.DUMMYFUNCTION("""COMPUTED_VALUE"""),"ILCA 6")</f>
        <v>ILCA 6</v>
      </c>
      <c r="P16" s="38"/>
      <c r="Q16" s="38">
        <f ca="1">IFERROR(__xludf.DUMMYFUNCTION("""COMPUTED_VALUE"""),223642)</f>
        <v>223642</v>
      </c>
      <c r="R16" s="38" t="str">
        <f ca="1">IFERROR(__xludf.DUMMYFUNCTION("""COMPUTED_VALUE"""),"La brava")</f>
        <v>La brava</v>
      </c>
      <c r="S16" s="38"/>
      <c r="T16" s="38"/>
      <c r="U16" s="38"/>
      <c r="V16" s="38"/>
      <c r="W16" s="38"/>
      <c r="X16" s="38"/>
      <c r="Y16" s="38" t="str">
        <f ca="1">IFERROR(__xludf.DUMMYFUNCTION("""COMPUTED_VALUE"""),"Colegio de Escribanos Provincia Buenos Aires")</f>
        <v>Colegio de Escribanos Provincia Buenos Aires</v>
      </c>
      <c r="Z16" s="38" t="str">
        <f ca="1">IFERROR(__xludf.DUMMYFUNCTION("""COMPUTED_VALUE"""),"Si")</f>
        <v>Si</v>
      </c>
      <c r="AA16" s="6" t="str">
        <f ca="1">IFERROR(__xludf.DUMMYFUNCTION("""COMPUTED_VALUE"""),"Acepto")</f>
        <v>Acepto</v>
      </c>
      <c r="AB16" s="38" t="str">
        <f ca="1">IFERROR(__xludf.DUMMYFUNCTION("""COMPUTED_VALUE"""),"Pendiente")</f>
        <v>Pendiente</v>
      </c>
      <c r="AC16" s="6"/>
      <c r="AD16" s="38"/>
      <c r="AE16" s="38"/>
      <c r="AF16" s="38"/>
      <c r="AG16" s="38"/>
    </row>
    <row r="17" spans="2:33" ht="13.2">
      <c r="B17" s="68">
        <f ca="1">IFERROR(__xludf.DUMMYFUNCTION("""COMPUTED_VALUE"""),45535.6511817129)</f>
        <v>45535.651181712899</v>
      </c>
      <c r="C17" s="36" t="str">
        <f ca="1">IFERROR(__xludf.DUMMYFUNCTION("""COMPUTED_VALUE"""),"Naina Marie")</f>
        <v>Naina Marie</v>
      </c>
      <c r="D17" s="36" t="str">
        <f ca="1">IFERROR(__xludf.DUMMYFUNCTION("""COMPUTED_VALUE"""),"Pinto")</f>
        <v>Pinto</v>
      </c>
      <c r="E17" s="36" t="str">
        <f ca="1">IFERROR(__xludf.DUMMYFUNCTION("""COMPUTED_VALUE"""),"Buenos Aires")</f>
        <v>Buenos Aires</v>
      </c>
      <c r="F17" s="6" t="str">
        <f ca="1">IFERROR(__xludf.DUMMYFUNCTION("""COMPUTED_VALUE"""),"ARG")</f>
        <v>ARG</v>
      </c>
      <c r="G17" s="6">
        <f ca="1">IFERROR(__xludf.DUMMYFUNCTION("""COMPUTED_VALUE"""),47091456)</f>
        <v>47091456</v>
      </c>
      <c r="H17" s="37">
        <f ca="1">IFERROR(__xludf.DUMMYFUNCTION("""COMPUTED_VALUE"""),38769)</f>
        <v>38769</v>
      </c>
      <c r="I17" s="38">
        <f ca="1">IFERROR(__xludf.DUMMYFUNCTION("""COMPUTED_VALUE"""),1168550109)</f>
        <v>1168550109</v>
      </c>
      <c r="J17" s="38">
        <f ca="1">IFERROR(__xludf.DUMMYFUNCTION("""COMPUTED_VALUE"""),1163044368)</f>
        <v>1163044368</v>
      </c>
      <c r="K17" s="38" t="str">
        <f ca="1">IFERROR(__xludf.DUMMYFUNCTION("""COMPUTED_VALUE"""),"pinto0pedro1paulo9@gmail.com")</f>
        <v>pinto0pedro1paulo9@gmail.com</v>
      </c>
      <c r="L17" s="38" t="str">
        <f ca="1">IFERROR(__xludf.DUMMYFUNCTION("""COMPUTED_VALUE"""),"Femenino")</f>
        <v>Femenino</v>
      </c>
      <c r="M17" s="38" t="str">
        <f ca="1">IFERROR(__xludf.DUMMYFUNCTION("""COMPUTED_VALUE"""),"CNSI-Cvsi")</f>
        <v>CNSI-Cvsi</v>
      </c>
      <c r="N17" s="38" t="str">
        <f ca="1">IFERROR(__xludf.DUMMYFUNCTION("""COMPUTED_VALUE"""),"Femenino")</f>
        <v>Femenino</v>
      </c>
      <c r="O17" s="38" t="str">
        <f ca="1">IFERROR(__xludf.DUMMYFUNCTION("""COMPUTED_VALUE"""),"ILCA 6")</f>
        <v>ILCA 6</v>
      </c>
      <c r="P17" s="38"/>
      <c r="Q17" s="38">
        <f ca="1">IFERROR(__xludf.DUMMYFUNCTION("""COMPUTED_VALUE"""),220572)</f>
        <v>220572</v>
      </c>
      <c r="R17" s="38" t="str">
        <f ca="1">IFERROR(__xludf.DUMMYFUNCTION("""COMPUTED_VALUE"""),"SISU")</f>
        <v>SISU</v>
      </c>
      <c r="S17" s="38"/>
      <c r="T17" s="38"/>
      <c r="U17" s="38"/>
      <c r="V17" s="38"/>
      <c r="W17" s="38"/>
      <c r="X17" s="38"/>
      <c r="Y17" s="38" t="str">
        <f ca="1">IFERROR(__xludf.DUMMYFUNCTION("""COMPUTED_VALUE"""),"Colegio de Escribanos de la Provincia BsAs")</f>
        <v>Colegio de Escribanos de la Provincia BsAs</v>
      </c>
      <c r="Z17" s="38" t="str">
        <f ca="1">IFERROR(__xludf.DUMMYFUNCTION("""COMPUTED_VALUE"""),"Si")</f>
        <v>Si</v>
      </c>
      <c r="AA17" s="6" t="str">
        <f ca="1">IFERROR(__xludf.DUMMYFUNCTION("""COMPUTED_VALUE"""),"Acepto")</f>
        <v>Acepto</v>
      </c>
      <c r="AB17" s="38" t="str">
        <f ca="1">IFERROR(__xludf.DUMMYFUNCTION("""COMPUTED_VALUE"""),"Pendiente")</f>
        <v>Pendiente</v>
      </c>
      <c r="AC17" s="6"/>
      <c r="AD17" s="38"/>
      <c r="AE17" s="38"/>
      <c r="AF17" s="38"/>
      <c r="AG17" s="38"/>
    </row>
    <row r="18" spans="2:33" ht="13.2">
      <c r="B18" s="68">
        <f ca="1">IFERROR(__xludf.DUMMYFUNCTION("""COMPUTED_VALUE"""),45539.6713612268)</f>
        <v>45539.671361226799</v>
      </c>
      <c r="C18" s="36" t="str">
        <f ca="1">IFERROR(__xludf.DUMMYFUNCTION("""COMPUTED_VALUE"""),"Adrian ")</f>
        <v xml:space="preserve">Adrian </v>
      </c>
      <c r="D18" s="36" t="str">
        <f ca="1">IFERROR(__xludf.DUMMYFUNCTION("""COMPUTED_VALUE"""),"Pis")</f>
        <v>Pis</v>
      </c>
      <c r="E18" s="36" t="str">
        <f ca="1">IFERROR(__xludf.DUMMYFUNCTION("""COMPUTED_VALUE"""),"Temperley ")</f>
        <v xml:space="preserve">Temperley </v>
      </c>
      <c r="F18" s="6" t="str">
        <f ca="1">IFERROR(__xludf.DUMMYFUNCTION("""COMPUTED_VALUE"""),"ARG")</f>
        <v>ARG</v>
      </c>
      <c r="G18" s="6">
        <f ca="1">IFERROR(__xludf.DUMMYFUNCTION("""COMPUTED_VALUE"""),20215237)</f>
        <v>20215237</v>
      </c>
      <c r="H18" s="37">
        <f ca="1">IFERROR(__xludf.DUMMYFUNCTION("""COMPUTED_VALUE"""),25156)</f>
        <v>25156</v>
      </c>
      <c r="I18" s="38">
        <f ca="1">IFERROR(__xludf.DUMMYFUNCTION("""COMPUTED_VALUE"""),1163816234)</f>
        <v>1163816234</v>
      </c>
      <c r="J18" s="38">
        <f ca="1">IFERROR(__xludf.DUMMYFUNCTION("""COMPUTED_VALUE"""),1150230481)</f>
        <v>1150230481</v>
      </c>
      <c r="K18" s="38" t="str">
        <f ca="1">IFERROR(__xludf.DUMMYFUNCTION("""COMPUTED_VALUE"""),"pisadrian@hotmail.com")</f>
        <v>pisadrian@hotmail.com</v>
      </c>
      <c r="L18" s="38" t="str">
        <f ca="1">IFERROR(__xludf.DUMMYFUNCTION("""COMPUTED_VALUE"""),"Masculino")</f>
        <v>Masculino</v>
      </c>
      <c r="M18" s="38" t="str">
        <f ca="1">IFERROR(__xludf.DUMMYFUNCTION("""COMPUTED_VALUE"""),"YCO")</f>
        <v>YCO</v>
      </c>
      <c r="N18" s="38" t="str">
        <f ca="1">IFERROR(__xludf.DUMMYFUNCTION("""COMPUTED_VALUE"""),"Master (ILCA)")</f>
        <v>Master (ILCA)</v>
      </c>
      <c r="O18" s="38" t="str">
        <f ca="1">IFERROR(__xludf.DUMMYFUNCTION("""COMPUTED_VALUE"""),"ILCA 6")</f>
        <v>ILCA 6</v>
      </c>
      <c r="P18" s="38"/>
      <c r="Q18" s="38">
        <f ca="1">IFERROR(__xludf.DUMMYFUNCTION("""COMPUTED_VALUE"""),221260)</f>
        <v>221260</v>
      </c>
      <c r="R18" s="38"/>
      <c r="S18" s="38"/>
      <c r="T18" s="38"/>
      <c r="U18" s="38"/>
      <c r="V18" s="38"/>
      <c r="W18" s="38"/>
      <c r="X18" s="38"/>
      <c r="Y18" s="38" t="str">
        <f ca="1">IFERROR(__xludf.DUMMYFUNCTION("""COMPUTED_VALUE"""),"Comei/023173-01-03")</f>
        <v>Comei/023173-01-03</v>
      </c>
      <c r="Z18" s="38" t="str">
        <f ca="1">IFERROR(__xludf.DUMMYFUNCTION("""COMPUTED_VALUE"""),"Si")</f>
        <v>Si</v>
      </c>
      <c r="AA18" s="6" t="str">
        <f ca="1">IFERROR(__xludf.DUMMYFUNCTION("""COMPUTED_VALUE"""),"Acepto")</f>
        <v>Acepto</v>
      </c>
      <c r="AB18" s="38" t="str">
        <f ca="1">IFERROR(__xludf.DUMMYFUNCTION("""COMPUTED_VALUE"""),"Pendiente")</f>
        <v>Pendiente</v>
      </c>
      <c r="AC18" s="6"/>
      <c r="AD18" s="38"/>
      <c r="AE18" s="38"/>
      <c r="AF18" s="38"/>
      <c r="AG18" s="38"/>
    </row>
    <row r="19" spans="2:33" ht="13.2">
      <c r="B19" s="68">
        <f ca="1">IFERROR(__xludf.DUMMYFUNCTION("""COMPUTED_VALUE"""),45534.6080956597)</f>
        <v>45534.6080956597</v>
      </c>
      <c r="C19" s="36" t="str">
        <f ca="1">IFERROR(__xludf.DUMMYFUNCTION("""COMPUTED_VALUE"""),"Martin")</f>
        <v>Martin</v>
      </c>
      <c r="D19" s="36" t="str">
        <f ca="1">IFERROR(__xludf.DUMMYFUNCTION("""COMPUTED_VALUE"""),"Propato")</f>
        <v>Propato</v>
      </c>
      <c r="E19" s="36" t="str">
        <f ca="1">IFERROR(__xludf.DUMMYFUNCTION("""COMPUTED_VALUE"""),"CABA")</f>
        <v>CABA</v>
      </c>
      <c r="F19" s="6" t="str">
        <f ca="1">IFERROR(__xludf.DUMMYFUNCTION("""COMPUTED_VALUE"""),"ARG")</f>
        <v>ARG</v>
      </c>
      <c r="G19" s="6">
        <f ca="1">IFERROR(__xludf.DUMMYFUNCTION("""COMPUTED_VALUE"""),16581780)</f>
        <v>16581780</v>
      </c>
      <c r="H19" s="37">
        <f ca="1">IFERROR(__xludf.DUMMYFUNCTION("""COMPUTED_VALUE"""),23312)</f>
        <v>23312</v>
      </c>
      <c r="I19" s="38">
        <f ca="1">IFERROR(__xludf.DUMMYFUNCTION("""COMPUTED_VALUE"""),1155242237)</f>
        <v>1155242237</v>
      </c>
      <c r="J19" s="38"/>
      <c r="K19" s="38" t="str">
        <f ca="1">IFERROR(__xludf.DUMMYFUNCTION("""COMPUTED_VALUE"""),"m_propato@hotmail.com")</f>
        <v>m_propato@hotmail.com</v>
      </c>
      <c r="L19" s="38" t="str">
        <f ca="1">IFERROR(__xludf.DUMMYFUNCTION("""COMPUTED_VALUE"""),"Masculino")</f>
        <v>Masculino</v>
      </c>
      <c r="M19" s="38" t="str">
        <f ca="1">IFERROR(__xludf.DUMMYFUNCTION("""COMPUTED_VALUE"""),"YCO")</f>
        <v>YCO</v>
      </c>
      <c r="N19" s="38" t="str">
        <f ca="1">IFERROR(__xludf.DUMMYFUNCTION("""COMPUTED_VALUE"""),"Master (ILCA)")</f>
        <v>Master (ILCA)</v>
      </c>
      <c r="O19" s="38" t="str">
        <f ca="1">IFERROR(__xludf.DUMMYFUNCTION("""COMPUTED_VALUE"""),"ILCA 6")</f>
        <v>ILCA 6</v>
      </c>
      <c r="P19" s="38"/>
      <c r="Q19" s="38">
        <f ca="1">IFERROR(__xludf.DUMMYFUNCTION("""COMPUTED_VALUE"""),182314)</f>
        <v>182314</v>
      </c>
      <c r="R19" s="38"/>
      <c r="S19" s="38"/>
      <c r="T19" s="38"/>
      <c r="U19" s="38"/>
      <c r="V19" s="38"/>
      <c r="W19" s="38"/>
      <c r="X19" s="38"/>
      <c r="Y19" s="38" t="str">
        <f ca="1">IFERROR(__xludf.DUMMYFUNCTION("""COMPUTED_VALUE"""),"OSDE")</f>
        <v>OSDE</v>
      </c>
      <c r="Z19" s="38" t="str">
        <f ca="1">IFERROR(__xludf.DUMMYFUNCTION("""COMPUTED_VALUE"""),"Si")</f>
        <v>Si</v>
      </c>
      <c r="AA19" s="6" t="str">
        <f ca="1">IFERROR(__xludf.DUMMYFUNCTION("""COMPUTED_VALUE"""),"Acepto")</f>
        <v>Acepto</v>
      </c>
      <c r="AB19" s="38" t="str">
        <f ca="1">IFERROR(__xludf.DUMMYFUNCTION("""COMPUTED_VALUE"""),"Terminado")</f>
        <v>Terminado</v>
      </c>
      <c r="AC19" s="6">
        <f ca="1">IFERROR(__xludf.DUMMYFUNCTION("""COMPUTED_VALUE"""),45000)</f>
        <v>45000</v>
      </c>
      <c r="AD19" s="38"/>
      <c r="AE19" s="38" t="str">
        <f ca="1">IFERROR(__xludf.DUMMYFUNCTION("""COMPUTED_VALUE"""),"AF")</f>
        <v>AF</v>
      </c>
      <c r="AF19" s="38"/>
      <c r="AG19" s="38"/>
    </row>
    <row r="20" spans="2:33" ht="13.2">
      <c r="B20" s="68">
        <f ca="1">IFERROR(__xludf.DUMMYFUNCTION("""COMPUTED_VALUE"""),45532.5483181018)</f>
        <v>45532.548318101799</v>
      </c>
      <c r="C20" s="36" t="str">
        <f ca="1">IFERROR(__xludf.DUMMYFUNCTION("""COMPUTED_VALUE"""),"Agustín")</f>
        <v>Agustín</v>
      </c>
      <c r="D20" s="36" t="str">
        <f ca="1">IFERROR(__xludf.DUMMYFUNCTION("""COMPUTED_VALUE"""),"Saguier")</f>
        <v>Saguier</v>
      </c>
      <c r="E20" s="36" t="str">
        <f ca="1">IFERROR(__xludf.DUMMYFUNCTION("""COMPUTED_VALUE"""),"Buenos Aires")</f>
        <v>Buenos Aires</v>
      </c>
      <c r="F20" s="6" t="str">
        <f ca="1">IFERROR(__xludf.DUMMYFUNCTION("""COMPUTED_VALUE"""),"ARG")</f>
        <v>ARG</v>
      </c>
      <c r="G20" s="6">
        <f ca="1">IFERROR(__xludf.DUMMYFUNCTION("""COMPUTED_VALUE"""),43030710)</f>
        <v>43030710</v>
      </c>
      <c r="H20" s="37">
        <f ca="1">IFERROR(__xludf.DUMMYFUNCTION("""COMPUTED_VALUE"""),36837)</f>
        <v>36837</v>
      </c>
      <c r="I20" s="38">
        <f ca="1">IFERROR(__xludf.DUMMYFUNCTION("""COMPUTED_VALUE"""),1138700673)</f>
        <v>1138700673</v>
      </c>
      <c r="J20" s="38"/>
      <c r="K20" s="38" t="str">
        <f ca="1">IFERROR(__xludf.DUMMYFUNCTION("""COMPUTED_VALUE"""),"asaguier2000@gmail.com")</f>
        <v>asaguier2000@gmail.com</v>
      </c>
      <c r="L20" s="38" t="str">
        <f ca="1">IFERROR(__xludf.DUMMYFUNCTION("""COMPUTED_VALUE"""),"Masculino")</f>
        <v>Masculino</v>
      </c>
      <c r="M20" s="38" t="str">
        <f ca="1">IFERROR(__xludf.DUMMYFUNCTION("""COMPUTED_VALUE"""),"YCA")</f>
        <v>YCA</v>
      </c>
      <c r="N20" s="38"/>
      <c r="O20" s="38" t="str">
        <f ca="1">IFERROR(__xludf.DUMMYFUNCTION("""COMPUTED_VALUE"""),"ILCA 6")</f>
        <v>ILCA 6</v>
      </c>
      <c r="P20" s="38"/>
      <c r="Q20" s="38">
        <f ca="1">IFERROR(__xludf.DUMMYFUNCTION("""COMPUTED_VALUE"""),178188)</f>
        <v>178188</v>
      </c>
      <c r="R20" s="38"/>
      <c r="S20" s="38"/>
      <c r="T20" s="38"/>
      <c r="U20" s="38"/>
      <c r="V20" s="38"/>
      <c r="W20" s="38"/>
      <c r="X20" s="38"/>
      <c r="Y20" s="38"/>
      <c r="Z20" s="38" t="str">
        <f ca="1">IFERROR(__xludf.DUMMYFUNCTION("""COMPUTED_VALUE"""),"No")</f>
        <v>No</v>
      </c>
      <c r="AA20" s="6" t="str">
        <f ca="1">IFERROR(__xludf.DUMMYFUNCTION("""COMPUTED_VALUE"""),"Acepto")</f>
        <v>Acepto</v>
      </c>
      <c r="AB20" s="38" t="str">
        <f ca="1">IFERROR(__xludf.DUMMYFUNCTION("""COMPUTED_VALUE"""),"Terminado")</f>
        <v>Terminado</v>
      </c>
      <c r="AC20" s="6">
        <f ca="1">IFERROR(__xludf.DUMMYFUNCTION("""COMPUTED_VALUE"""),45000)</f>
        <v>45000</v>
      </c>
      <c r="AD20" s="38">
        <f ca="1">IFERROR(__xludf.DUMMYFUNCTION("""COMPUTED_VALUE"""),205068)</f>
        <v>205068</v>
      </c>
      <c r="AE20" s="38" t="str">
        <f ca="1">IFERROR(__xludf.DUMMYFUNCTION("""COMPUTED_VALUE"""),"TRF 28-08")</f>
        <v>TRF 28-08</v>
      </c>
      <c r="AF20" s="38"/>
      <c r="AG20" s="38"/>
    </row>
    <row r="21" spans="2:33" ht="13.2">
      <c r="B21" s="68">
        <f ca="1">IFERROR(__xludf.DUMMYFUNCTION("""COMPUTED_VALUE"""),45538.752400868)</f>
        <v>45538.752400867997</v>
      </c>
      <c r="C21" s="36" t="str">
        <f ca="1">IFERROR(__xludf.DUMMYFUNCTION("""COMPUTED_VALUE"""),"Eduardo")</f>
        <v>Eduardo</v>
      </c>
      <c r="D21" s="36" t="str">
        <f ca="1">IFERROR(__xludf.DUMMYFUNCTION("""COMPUTED_VALUE"""),"Santambrogio ")</f>
        <v xml:space="preserve">Santambrogio </v>
      </c>
      <c r="E21" s="36" t="str">
        <f ca="1">IFERROR(__xludf.DUMMYFUNCTION("""COMPUTED_VALUE""")," Beccar Buenos Aires")</f>
        <v xml:space="preserve"> Beccar Buenos Aires</v>
      </c>
      <c r="F21" s="6" t="str">
        <f ca="1">IFERROR(__xludf.DUMMYFUNCTION("""COMPUTED_VALUE"""),"ARG")</f>
        <v>ARG</v>
      </c>
      <c r="G21" s="6">
        <f ca="1">IFERROR(__xludf.DUMMYFUNCTION("""COMPUTED_VALUE"""),17200545)</f>
        <v>17200545</v>
      </c>
      <c r="H21" s="37">
        <f ca="1">IFERROR(__xludf.DUMMYFUNCTION("""COMPUTED_VALUE"""),23516)</f>
        <v>23516</v>
      </c>
      <c r="I21" s="38">
        <f ca="1">IFERROR(__xludf.DUMMYFUNCTION("""COMPUTED_VALUE"""),1130863230)</f>
        <v>1130863230</v>
      </c>
      <c r="J21" s="38">
        <f ca="1">IFERROR(__xludf.DUMMYFUNCTION("""COMPUTED_VALUE"""),1145639000)</f>
        <v>1145639000</v>
      </c>
      <c r="K21" s="38" t="str">
        <f ca="1">IFERROR(__xludf.DUMMYFUNCTION("""COMPUTED_VALUE"""),"esinex@esinex.com")</f>
        <v>esinex@esinex.com</v>
      </c>
      <c r="L21" s="38" t="str">
        <f ca="1">IFERROR(__xludf.DUMMYFUNCTION("""COMPUTED_VALUE"""),"Masculino")</f>
        <v>Masculino</v>
      </c>
      <c r="M21" s="38" t="str">
        <f ca="1">IFERROR(__xludf.DUMMYFUNCTION("""COMPUTED_VALUE"""),"YCO YCA")</f>
        <v>YCO YCA</v>
      </c>
      <c r="N21" s="38" t="str">
        <f ca="1">IFERROR(__xludf.DUMMYFUNCTION("""COMPUTED_VALUE"""),"Master (ILCA)")</f>
        <v>Master (ILCA)</v>
      </c>
      <c r="O21" s="38" t="str">
        <f ca="1">IFERROR(__xludf.DUMMYFUNCTION("""COMPUTED_VALUE"""),"ILCA 6")</f>
        <v>ILCA 6</v>
      </c>
      <c r="P21" s="38"/>
      <c r="Q21" s="38">
        <f ca="1">IFERROR(__xludf.DUMMYFUNCTION("""COMPUTED_VALUE"""),220571)</f>
        <v>220571</v>
      </c>
      <c r="R21" s="38" t="str">
        <f ca="1">IFERROR(__xludf.DUMMYFUNCTION("""COMPUTED_VALUE"""),"Esinex")</f>
        <v>Esinex</v>
      </c>
      <c r="S21" s="38"/>
      <c r="T21" s="38"/>
      <c r="U21" s="38"/>
      <c r="V21" s="38"/>
      <c r="W21" s="38"/>
      <c r="X21" s="38"/>
      <c r="Y21" s="38" t="str">
        <f ca="1">IFERROR(__xludf.DUMMYFUNCTION("""COMPUTED_VALUE"""),"OSDE ")</f>
        <v xml:space="preserve">OSDE </v>
      </c>
      <c r="Z21" s="38" t="str">
        <f ca="1">IFERROR(__xludf.DUMMYFUNCTION("""COMPUTED_VALUE"""),"Si")</f>
        <v>Si</v>
      </c>
      <c r="AA21" s="6" t="str">
        <f ca="1">IFERROR(__xludf.DUMMYFUNCTION("""COMPUTED_VALUE"""),"Acepto")</f>
        <v>Acepto</v>
      </c>
      <c r="AB21" s="38" t="str">
        <f ca="1">IFERROR(__xludf.DUMMYFUNCTION("""COMPUTED_VALUE"""),"Pendiente")</f>
        <v>Pendiente</v>
      </c>
      <c r="AC21" s="6"/>
      <c r="AD21" s="38"/>
      <c r="AE21" s="38"/>
      <c r="AF21" s="38"/>
      <c r="AG21" s="38"/>
    </row>
    <row r="22" spans="2:33" ht="13.2">
      <c r="B22" s="68">
        <f ca="1">IFERROR(__xludf.DUMMYFUNCTION("""COMPUTED_VALUE"""),45531.3648272685)</f>
        <v>45531.364827268502</v>
      </c>
      <c r="C22" s="36" t="str">
        <f ca="1">IFERROR(__xludf.DUMMYFUNCTION("""COMPUTED_VALUE"""),"Agustín ")</f>
        <v xml:space="preserve">Agustín </v>
      </c>
      <c r="D22" s="36" t="str">
        <f ca="1">IFERROR(__xludf.DUMMYFUNCTION("""COMPUTED_VALUE"""),"Solano ")</f>
        <v xml:space="preserve">Solano </v>
      </c>
      <c r="E22" s="36" t="str">
        <f ca="1">IFERROR(__xludf.DUMMYFUNCTION("""COMPUTED_VALUE"""),"ensenada")</f>
        <v>ensenada</v>
      </c>
      <c r="F22" s="6" t="str">
        <f ca="1">IFERROR(__xludf.DUMMYFUNCTION("""COMPUTED_VALUE"""),"ARG")</f>
        <v>ARG</v>
      </c>
      <c r="G22" s="6">
        <f ca="1">IFERROR(__xludf.DUMMYFUNCTION("""COMPUTED_VALUE"""),37802812)</f>
        <v>37802812</v>
      </c>
      <c r="H22" s="37">
        <f ca="1">IFERROR(__xludf.DUMMYFUNCTION("""COMPUTED_VALUE"""),34184)</f>
        <v>34184</v>
      </c>
      <c r="I22" s="38">
        <f ca="1">IFERROR(__xludf.DUMMYFUNCTION("""COMPUTED_VALUE"""),2213141286)</f>
        <v>2213141286</v>
      </c>
      <c r="J22" s="38">
        <f ca="1">IFERROR(__xludf.DUMMYFUNCTION("""COMPUTED_VALUE"""),2216164356)</f>
        <v>2216164356</v>
      </c>
      <c r="K22" s="38" t="str">
        <f ca="1">IFERROR(__xludf.DUMMYFUNCTION("""COMPUTED_VALUE"""),"agus.maiden@hotmaik.com")</f>
        <v>agus.maiden@hotmaik.com</v>
      </c>
      <c r="L22" s="38" t="str">
        <f ca="1">IFERROR(__xludf.DUMMYFUNCTION("""COMPUTED_VALUE"""),"Masculino")</f>
        <v>Masculino</v>
      </c>
      <c r="M22" s="38" t="str">
        <f ca="1">IFERROR(__xludf.DUMMYFUNCTION("""COMPUTED_VALUE"""),"GASAV")</f>
        <v>GASAV</v>
      </c>
      <c r="N22" s="38" t="str">
        <f ca="1">IFERROR(__xludf.DUMMYFUNCTION("""COMPUTED_VALUE"""),"Master (ILCA)")</f>
        <v>Master (ILCA)</v>
      </c>
      <c r="O22" s="38" t="str">
        <f ca="1">IFERROR(__xludf.DUMMYFUNCTION("""COMPUTED_VALUE"""),"ILCA 6")</f>
        <v>ILCA 6</v>
      </c>
      <c r="P22" s="38"/>
      <c r="Q22" s="38">
        <f ca="1">IFERROR(__xludf.DUMMYFUNCTION("""COMPUTED_VALUE"""),13)</f>
        <v>13</v>
      </c>
      <c r="R22" s="38"/>
      <c r="S22" s="38"/>
      <c r="T22" s="38"/>
      <c r="U22" s="38"/>
      <c r="V22" s="38"/>
      <c r="W22" s="38"/>
      <c r="X22" s="38"/>
      <c r="Y22" s="38"/>
      <c r="Z22" s="38" t="str">
        <f ca="1">IFERROR(__xludf.DUMMYFUNCTION("""COMPUTED_VALUE"""),"Si")</f>
        <v>Si</v>
      </c>
      <c r="AA22" s="6" t="str">
        <f ca="1">IFERROR(__xludf.DUMMYFUNCTION("""COMPUTED_VALUE"""),"Acepto")</f>
        <v>Acepto</v>
      </c>
      <c r="AB22" s="38" t="str">
        <f ca="1">IFERROR(__xludf.DUMMYFUNCTION("""COMPUTED_VALUE"""),"Pendiente")</f>
        <v>Pendiente</v>
      </c>
      <c r="AC22" s="6"/>
      <c r="AD22" s="38"/>
      <c r="AE22" s="38"/>
      <c r="AF22" s="38"/>
      <c r="AG22" s="38"/>
    </row>
    <row r="23" spans="2:33" ht="13.2">
      <c r="B23" s="68">
        <f ca="1">IFERROR(__xludf.DUMMYFUNCTION("""COMPUTED_VALUE"""),45535.7475395486)</f>
        <v>45535.747539548604</v>
      </c>
      <c r="C23" s="36" t="str">
        <f ca="1">IFERROR(__xludf.DUMMYFUNCTION("""COMPUTED_VALUE"""),"Manuel")</f>
        <v>Manuel</v>
      </c>
      <c r="D23" s="36" t="str">
        <f ca="1">IFERROR(__xludf.DUMMYFUNCTION("""COMPUTED_VALUE"""),"Tejada ibañez")</f>
        <v>Tejada ibañez</v>
      </c>
      <c r="E23" s="36" t="str">
        <f ca="1">IFERROR(__xludf.DUMMYFUNCTION("""COMPUTED_VALUE"""),"La Plata")</f>
        <v>La Plata</v>
      </c>
      <c r="F23" s="6" t="str">
        <f ca="1">IFERROR(__xludf.DUMMYFUNCTION("""COMPUTED_VALUE"""),"ARG")</f>
        <v>ARG</v>
      </c>
      <c r="G23" s="6">
        <f ca="1">IFERROR(__xludf.DUMMYFUNCTION("""COMPUTED_VALUE"""),47215820)</f>
        <v>47215820</v>
      </c>
      <c r="H23" s="37">
        <f ca="1">IFERROR(__xludf.DUMMYFUNCTION("""COMPUTED_VALUE"""),38802)</f>
        <v>38802</v>
      </c>
      <c r="I23" s="38" t="str">
        <f ca="1">IFERROR(__xludf.DUMMYFUNCTION("""COMPUTED_VALUE"""),"+54 9 221 623 9500")</f>
        <v>+54 9 221 623 9500</v>
      </c>
      <c r="J23" s="38" t="str">
        <f ca="1">IFERROR(__xludf.DUMMYFUNCTION("""COMPUTED_VALUE"""),"+54 9 221 503 6037")</f>
        <v>+54 9 221 503 6037</v>
      </c>
      <c r="K23" s="38" t="str">
        <f ca="1">IFERROR(__xludf.DUMMYFUNCTION("""COMPUTED_VALUE"""),"manutejada0@gmail.com")</f>
        <v>manutejada0@gmail.com</v>
      </c>
      <c r="L23" s="38" t="str">
        <f ca="1">IFERROR(__xludf.DUMMYFUNCTION("""COMPUTED_VALUE"""),"Masculino")</f>
        <v>Masculino</v>
      </c>
      <c r="M23" s="38" t="str">
        <f ca="1">IFERROR(__xludf.DUMMYFUNCTION("""COMPUTED_VALUE"""),"CNAs")</f>
        <v>CNAs</v>
      </c>
      <c r="N23" s="38" t="str">
        <f ca="1">IFERROR(__xludf.DUMMYFUNCTION("""COMPUTED_VALUE"""),"Master (ILCA)")</f>
        <v>Master (ILCA)</v>
      </c>
      <c r="O23" s="38" t="str">
        <f ca="1">IFERROR(__xludf.DUMMYFUNCTION("""COMPUTED_VALUE"""),"ILCA 6")</f>
        <v>ILCA 6</v>
      </c>
      <c r="P23" s="38"/>
      <c r="Q23" s="38">
        <f ca="1">IFERROR(__xludf.DUMMYFUNCTION("""COMPUTED_VALUE"""),223650)</f>
        <v>223650</v>
      </c>
      <c r="R23" s="38" t="str">
        <f ca="1">IFERROR(__xludf.DUMMYFUNCTION("""COMPUTED_VALUE"""),"Deucalion")</f>
        <v>Deucalion</v>
      </c>
      <c r="S23" s="38"/>
      <c r="T23" s="38"/>
      <c r="U23" s="38"/>
      <c r="V23" s="38"/>
      <c r="W23" s="38"/>
      <c r="X23" s="38"/>
      <c r="Y23" s="38" t="str">
        <f ca="1">IFERROR(__xludf.DUMMYFUNCTION("""COMPUTED_VALUE"""),"OSDE")</f>
        <v>OSDE</v>
      </c>
      <c r="Z23" s="38" t="str">
        <f ca="1">IFERROR(__xludf.DUMMYFUNCTION("""COMPUTED_VALUE"""),"Si")</f>
        <v>Si</v>
      </c>
      <c r="AA23" s="6" t="str">
        <f ca="1">IFERROR(__xludf.DUMMYFUNCTION("""COMPUTED_VALUE"""),"Acepto")</f>
        <v>Acepto</v>
      </c>
      <c r="AB23" s="38" t="str">
        <f ca="1">IFERROR(__xludf.DUMMYFUNCTION("""COMPUTED_VALUE"""),"Pendiente")</f>
        <v>Pendiente</v>
      </c>
      <c r="AC23" s="6"/>
      <c r="AD23" s="38"/>
      <c r="AE23" s="38"/>
      <c r="AF23" s="38"/>
      <c r="AG23" s="38"/>
    </row>
    <row r="24" spans="2:33" ht="13.2">
      <c r="B24" s="68">
        <f ca="1">IFERROR(__xludf.DUMMYFUNCTION("""COMPUTED_VALUE"""),45536.7072470138)</f>
        <v>45536.707247013801</v>
      </c>
      <c r="C24" s="36" t="str">
        <f ca="1">IFERROR(__xludf.DUMMYFUNCTION("""COMPUTED_VALUE"""),"Gaspar")</f>
        <v>Gaspar</v>
      </c>
      <c r="D24" s="36" t="str">
        <f ca="1">IFERROR(__xludf.DUMMYFUNCTION("""COMPUTED_VALUE"""),"Toro")</f>
        <v>Toro</v>
      </c>
      <c r="E24" s="36" t="str">
        <f ca="1">IFERROR(__xludf.DUMMYFUNCTION("""COMPUTED_VALUE"""),"Buenos aires")</f>
        <v>Buenos aires</v>
      </c>
      <c r="F24" s="6" t="str">
        <f ca="1">IFERROR(__xludf.DUMMYFUNCTION("""COMPUTED_VALUE"""),"ARG")</f>
        <v>ARG</v>
      </c>
      <c r="G24" s="6">
        <f ca="1">IFERROR(__xludf.DUMMYFUNCTION("""COMPUTED_VALUE"""),48860170)</f>
        <v>48860170</v>
      </c>
      <c r="H24" s="37">
        <f ca="1">IFERROR(__xludf.DUMMYFUNCTION("""COMPUTED_VALUE"""),39686)</f>
        <v>39686</v>
      </c>
      <c r="I24" s="38">
        <f ca="1">IFERROR(__xludf.DUMMYFUNCTION("""COMPUTED_VALUE"""),1136401434)</f>
        <v>1136401434</v>
      </c>
      <c r="J24" s="38">
        <f ca="1">IFERROR(__xludf.DUMMYFUNCTION("""COMPUTED_VALUE"""),1559387963)</f>
        <v>1559387963</v>
      </c>
      <c r="K24" s="38" t="str">
        <f ca="1">IFERROR(__xludf.DUMMYFUNCTION("""COMPUTED_VALUE"""),"gasparleotoro@gmail.com")</f>
        <v>gasparleotoro@gmail.com</v>
      </c>
      <c r="L24" s="38" t="str">
        <f ca="1">IFERROR(__xludf.DUMMYFUNCTION("""COMPUTED_VALUE"""),"Masculino")</f>
        <v>Masculino</v>
      </c>
      <c r="M24" s="38" t="str">
        <f ca="1">IFERROR(__xludf.DUMMYFUNCTION("""COMPUTED_VALUE"""),"YCO")</f>
        <v>YCO</v>
      </c>
      <c r="N24" s="38" t="str">
        <f ca="1">IFERROR(__xludf.DUMMYFUNCTION("""COMPUTED_VALUE"""),"Sub 16")</f>
        <v>Sub 16</v>
      </c>
      <c r="O24" s="38" t="str">
        <f ca="1">IFERROR(__xludf.DUMMYFUNCTION("""COMPUTED_VALUE"""),"ILCA 6")</f>
        <v>ILCA 6</v>
      </c>
      <c r="P24" s="38"/>
      <c r="Q24" s="38">
        <f ca="1">IFERROR(__xludf.DUMMYFUNCTION("""COMPUTED_VALUE"""),223625)</f>
        <v>223625</v>
      </c>
      <c r="R24" s="38"/>
      <c r="S24" s="38"/>
      <c r="T24" s="38"/>
      <c r="U24" s="38"/>
      <c r="V24" s="38"/>
      <c r="W24" s="38"/>
      <c r="X24" s="38"/>
      <c r="Y24" s="38"/>
      <c r="Z24" s="38" t="str">
        <f ca="1">IFERROR(__xludf.DUMMYFUNCTION("""COMPUTED_VALUE"""),"No")</f>
        <v>No</v>
      </c>
      <c r="AA24" s="6" t="str">
        <f ca="1">IFERROR(__xludf.DUMMYFUNCTION("""COMPUTED_VALUE"""),"Acepto")</f>
        <v>Acepto</v>
      </c>
      <c r="AB24" s="38" t="str">
        <f ca="1">IFERROR(__xludf.DUMMYFUNCTION("""COMPUTED_VALUE"""),"Terminado")</f>
        <v>Terminado</v>
      </c>
      <c r="AC24" s="6">
        <f ca="1">IFERROR(__xludf.DUMMYFUNCTION("""COMPUTED_VALUE"""),45000)</f>
        <v>45000</v>
      </c>
      <c r="AD24" s="38">
        <f ca="1">IFERROR(__xludf.DUMMYFUNCTION("""COMPUTED_VALUE"""),205535)</f>
        <v>205535</v>
      </c>
      <c r="AE24" s="38" t="str">
        <f ca="1">IFERROR(__xludf.DUMMYFUNCTION("""COMPUTED_VALUE"""),"TRF 06-09")</f>
        <v>TRF 06-09</v>
      </c>
      <c r="AF24" s="38"/>
      <c r="AG24" s="38"/>
    </row>
    <row r="25" spans="2:33" ht="13.2">
      <c r="B25" s="68">
        <f ca="1">IFERROR(__xludf.DUMMYFUNCTION("""COMPUTED_VALUE"""),45535.6037415856)</f>
        <v>45535.603741585597</v>
      </c>
      <c r="C25" s="36" t="str">
        <f ca="1">IFERROR(__xludf.DUMMYFUNCTION("""COMPUTED_VALUE"""),"Gabriel")</f>
        <v>Gabriel</v>
      </c>
      <c r="D25" s="36" t="str">
        <f ca="1">IFERROR(__xludf.DUMMYFUNCTION("""COMPUTED_VALUE"""),"Torre")</f>
        <v>Torre</v>
      </c>
      <c r="E25" s="36" t="str">
        <f ca="1">IFERROR(__xludf.DUMMYFUNCTION("""COMPUTED_VALUE"""),"CABA")</f>
        <v>CABA</v>
      </c>
      <c r="F25" s="6" t="str">
        <f ca="1">IFERROR(__xludf.DUMMYFUNCTION("""COMPUTED_VALUE"""),"ARG")</f>
        <v>ARG</v>
      </c>
      <c r="G25" s="6">
        <f ca="1">IFERROR(__xludf.DUMMYFUNCTION("""COMPUTED_VALUE"""),39644230)</f>
        <v>39644230</v>
      </c>
      <c r="H25" s="37">
        <f ca="1">IFERROR(__xludf.DUMMYFUNCTION("""COMPUTED_VALUE"""),35213)</f>
        <v>35213</v>
      </c>
      <c r="I25" s="38">
        <f ca="1">IFERROR(__xludf.DUMMYFUNCTION("""COMPUTED_VALUE"""),1153191497)</f>
        <v>1153191497</v>
      </c>
      <c r="J25" s="38">
        <f ca="1">IFERROR(__xludf.DUMMYFUNCTION("""COMPUTED_VALUE"""),1153279740)</f>
        <v>1153279740</v>
      </c>
      <c r="K25" s="38" t="str">
        <f ca="1">IFERROR(__xludf.DUMMYFUNCTION("""COMPUTED_VALUE"""),"gabriel0torre@gmail.com")</f>
        <v>gabriel0torre@gmail.com</v>
      </c>
      <c r="L25" s="38" t="str">
        <f ca="1">IFERROR(__xludf.DUMMYFUNCTION("""COMPUTED_VALUE"""),"Masculino")</f>
        <v>Masculino</v>
      </c>
      <c r="M25" s="38" t="str">
        <f ca="1">IFERROR(__xludf.DUMMYFUNCTION("""COMPUTED_VALUE"""),"CUBA")</f>
        <v>CUBA</v>
      </c>
      <c r="N25" s="38"/>
      <c r="O25" s="38" t="str">
        <f ca="1">IFERROR(__xludf.DUMMYFUNCTION("""COMPUTED_VALUE"""),"ILCA 6")</f>
        <v>ILCA 6</v>
      </c>
      <c r="P25" s="38"/>
      <c r="Q25" s="38">
        <f ca="1">IFERROR(__xludf.DUMMYFUNCTION("""COMPUTED_VALUE"""),222114)</f>
        <v>222114</v>
      </c>
      <c r="R25" s="38"/>
      <c r="S25" s="38"/>
      <c r="T25" s="38"/>
      <c r="U25" s="38"/>
      <c r="V25" s="38"/>
      <c r="W25" s="38"/>
      <c r="X25" s="38"/>
      <c r="Y25" s="38" t="str">
        <f ca="1">IFERROR(__xludf.DUMMYFUNCTION("""COMPUTED_VALUE"""),"SwisMedical8000061387043010007")</f>
        <v>SwisMedical8000061387043010007</v>
      </c>
      <c r="Z25" s="38" t="str">
        <f ca="1">IFERROR(__xludf.DUMMYFUNCTION("""COMPUTED_VALUE"""),"No")</f>
        <v>No</v>
      </c>
      <c r="AA25" s="6" t="str">
        <f ca="1">IFERROR(__xludf.DUMMYFUNCTION("""COMPUTED_VALUE"""),"Acepto")</f>
        <v>Acepto</v>
      </c>
      <c r="AB25" s="38" t="str">
        <f ca="1">IFERROR(__xludf.DUMMYFUNCTION("""COMPUTED_VALUE"""),"Parcial")</f>
        <v>Parcial</v>
      </c>
      <c r="AC25" s="6">
        <f ca="1">IFERROR(__xludf.DUMMYFUNCTION("""COMPUTED_VALUE"""),40000)</f>
        <v>40000</v>
      </c>
      <c r="AD25" s="38">
        <f ca="1">IFERROR(__xludf.DUMMYFUNCTION("""COMPUTED_VALUE"""),205138)</f>
        <v>205138</v>
      </c>
      <c r="AE25" s="38" t="str">
        <f ca="1">IFERROR(__xludf.DUMMYFUNCTION("""COMPUTED_VALUE"""),"TRF 31-08")</f>
        <v>TRF 31-08</v>
      </c>
      <c r="AF25" s="38"/>
      <c r="AG25" s="38" t="str">
        <f ca="1">IFERROR(__xludf.DUMMYFUNCTION("""COMPUTED_VALUE"""),"Debe saldo")</f>
        <v>Debe saldo</v>
      </c>
    </row>
    <row r="26" spans="2:33" ht="13.2">
      <c r="B26" s="68">
        <f ca="1">IFERROR(__xludf.DUMMYFUNCTION("""COMPUTED_VALUE"""),45519.7028361689)</f>
        <v>45519.702836168901</v>
      </c>
      <c r="C26" s="36" t="str">
        <f ca="1">IFERROR(__xludf.DUMMYFUNCTION("""COMPUTED_VALUE"""),"Andrés ")</f>
        <v xml:space="preserve">Andrés </v>
      </c>
      <c r="D26" s="36" t="str">
        <f ca="1">IFERROR(__xludf.DUMMYFUNCTION("""COMPUTED_VALUE"""),"Villar")</f>
        <v>Villar</v>
      </c>
      <c r="E26" s="36" t="str">
        <f ca="1">IFERROR(__xludf.DUMMYFUNCTION("""COMPUTED_VALUE"""),"San Fernando")</f>
        <v>San Fernando</v>
      </c>
      <c r="F26" s="6" t="str">
        <f ca="1">IFERROR(__xludf.DUMMYFUNCTION("""COMPUTED_VALUE"""),"ARG")</f>
        <v>ARG</v>
      </c>
      <c r="G26" s="6">
        <f ca="1">IFERROR(__xludf.DUMMYFUNCTION("""COMPUTED_VALUE"""),47070205)</f>
        <v>47070205</v>
      </c>
      <c r="H26" s="37">
        <f ca="1">IFERROR(__xludf.DUMMYFUNCTION("""COMPUTED_VALUE"""),38723)</f>
        <v>38723</v>
      </c>
      <c r="I26" s="38">
        <f ca="1">IFERROR(__xludf.DUMMYFUNCTION("""COMPUTED_VALUE"""),1170076067)</f>
        <v>1170076067</v>
      </c>
      <c r="J26" s="38"/>
      <c r="K26" s="38" t="str">
        <f ca="1">IFERROR(__xludf.DUMMYFUNCTION("""COMPUTED_VALUE"""),"andygvillar@gmail.com")</f>
        <v>andygvillar@gmail.com</v>
      </c>
      <c r="L26" s="38" t="str">
        <f ca="1">IFERROR(__xludf.DUMMYFUNCTION("""COMPUTED_VALUE"""),"Masculino")</f>
        <v>Masculino</v>
      </c>
      <c r="M26" s="38" t="str">
        <f ca="1">IFERROR(__xludf.DUMMYFUNCTION("""COMPUTED_VALUE"""),"CNO")</f>
        <v>CNO</v>
      </c>
      <c r="N26" s="38"/>
      <c r="O26" s="38" t="str">
        <f ca="1">IFERROR(__xludf.DUMMYFUNCTION("""COMPUTED_VALUE"""),"ILCA 6")</f>
        <v>ILCA 6</v>
      </c>
      <c r="P26" s="38"/>
      <c r="Q26" s="38">
        <f ca="1">IFERROR(__xludf.DUMMYFUNCTION("""COMPUTED_VALUE"""),220260)</f>
        <v>220260</v>
      </c>
      <c r="R26" s="38"/>
      <c r="S26" s="38"/>
      <c r="T26" s="38"/>
      <c r="U26" s="38"/>
      <c r="V26" s="38"/>
      <c r="W26" s="38"/>
      <c r="X26" s="38"/>
      <c r="Y26" s="38"/>
      <c r="Z26" s="38" t="str">
        <f ca="1">IFERROR(__xludf.DUMMYFUNCTION("""COMPUTED_VALUE"""),"No")</f>
        <v>No</v>
      </c>
      <c r="AA26" s="6" t="str">
        <f ca="1">IFERROR(__xludf.DUMMYFUNCTION("""COMPUTED_VALUE"""),"Acepto")</f>
        <v>Acepto</v>
      </c>
      <c r="AB26" s="38" t="str">
        <f ca="1">IFERROR(__xludf.DUMMYFUNCTION("""COMPUTED_VALUE"""),"Pendiente")</f>
        <v>Pendiente</v>
      </c>
      <c r="AC26" s="6"/>
      <c r="AD26" s="38"/>
      <c r="AE26" s="38"/>
      <c r="AF26" s="38"/>
      <c r="AG26" s="38"/>
    </row>
    <row r="27" spans="2:33" ht="13.2">
      <c r="B27" s="35">
        <f ca="1">IFERROR(__xludf.DUMMYFUNCTION("""COMPUTED_VALUE"""),45541.0289370138)</f>
        <v>45541.028937013798</v>
      </c>
      <c r="C27" s="36" t="str">
        <f ca="1">IFERROR(__xludf.DUMMYFUNCTION("""COMPUTED_VALUE"""),"Santino")</f>
        <v>Santino</v>
      </c>
      <c r="D27" s="36" t="str">
        <f ca="1">IFERROR(__xludf.DUMMYFUNCTION("""COMPUTED_VALUE"""),"Scuderi")</f>
        <v>Scuderi</v>
      </c>
      <c r="E27" s="36" t="str">
        <f ca="1">IFERROR(__xludf.DUMMYFUNCTION("""COMPUTED_VALUE"""),"Ciudad Autonoma de Buenos Aires")</f>
        <v>Ciudad Autonoma de Buenos Aires</v>
      </c>
      <c r="F27" s="6" t="str">
        <f ca="1">IFERROR(__xludf.DUMMYFUNCTION("""COMPUTED_VALUE"""),"ARG")</f>
        <v>ARG</v>
      </c>
      <c r="G27" s="6">
        <f ca="1">IFERROR(__xludf.DUMMYFUNCTION("""COMPUTED_VALUE"""),49092408)</f>
        <v>49092408</v>
      </c>
      <c r="H27" s="37">
        <f ca="1">IFERROR(__xludf.DUMMYFUNCTION("""COMPUTED_VALUE"""),39746)</f>
        <v>39746</v>
      </c>
      <c r="I27" s="38"/>
      <c r="J27" s="38"/>
      <c r="K27" s="38" t="str">
        <f ca="1">IFERROR(__xludf.DUMMYFUNCTION("""COMPUTED_VALUE"""),"scuderisantino39@gmail.com")</f>
        <v>scuderisantino39@gmail.com</v>
      </c>
      <c r="L27" s="38" t="str">
        <f ca="1">IFERROR(__xludf.DUMMYFUNCTION("""COMPUTED_VALUE"""),"Masculino")</f>
        <v>Masculino</v>
      </c>
      <c r="M27" s="38" t="str">
        <f ca="1">IFERROR(__xludf.DUMMYFUNCTION("""COMPUTED_VALUE"""),"YCO")</f>
        <v>YCO</v>
      </c>
      <c r="N27" s="38"/>
      <c r="O27" s="38" t="str">
        <f ca="1">IFERROR(__xludf.DUMMYFUNCTION("""COMPUTED_VALUE"""),"ILCA 6")</f>
        <v>ILCA 6</v>
      </c>
      <c r="P27" s="38"/>
      <c r="Q27" s="38" t="str">
        <f ca="1">IFERROR(__xludf.DUMMYFUNCTION("""COMPUTED_VALUE"""),"49 092 408")</f>
        <v>49 092 408</v>
      </c>
      <c r="R27" s="38"/>
      <c r="S27" s="38"/>
      <c r="T27" s="38"/>
      <c r="U27" s="38"/>
      <c r="V27" s="38"/>
      <c r="W27" s="38"/>
      <c r="X27" s="38"/>
      <c r="Y27" s="38"/>
      <c r="Z27" s="38" t="str">
        <f ca="1">IFERROR(__xludf.DUMMYFUNCTION("""COMPUTED_VALUE"""),"Si")</f>
        <v>Si</v>
      </c>
      <c r="AA27" s="6" t="str">
        <f ca="1">IFERROR(__xludf.DUMMYFUNCTION("""COMPUTED_VALUE"""),"Acepto")</f>
        <v>Acepto</v>
      </c>
      <c r="AB27" s="38" t="str">
        <f ca="1">IFERROR(__xludf.DUMMYFUNCTION("""COMPUTED_VALUE"""),"Pendiente")</f>
        <v>Pendiente</v>
      </c>
      <c r="AC27" s="6"/>
      <c r="AD27" s="38"/>
      <c r="AE27" s="38"/>
      <c r="AF27" s="38"/>
      <c r="AG27" s="38"/>
    </row>
    <row r="28" spans="2:33" ht="13.2">
      <c r="C28" s="36"/>
      <c r="D28" s="36"/>
      <c r="E28" s="36"/>
      <c r="F28" s="6"/>
      <c r="G28" s="6"/>
      <c r="AA28" s="6"/>
      <c r="AC28" s="6"/>
    </row>
    <row r="29" spans="2:33" ht="13.2">
      <c r="C29" s="36"/>
      <c r="D29" s="36"/>
      <c r="E29" s="36"/>
      <c r="F29" s="6"/>
      <c r="G29" s="6"/>
      <c r="AA29" s="6"/>
      <c r="AC29" s="6"/>
    </row>
    <row r="30" spans="2:33" ht="13.2">
      <c r="D30" s="6"/>
      <c r="E30" s="6"/>
      <c r="F30" s="6"/>
      <c r="G30" s="6"/>
      <c r="AA30" s="6"/>
      <c r="AC30" s="6"/>
    </row>
    <row r="31" spans="2:33" ht="13.2">
      <c r="D31" s="6"/>
      <c r="E31" s="6"/>
      <c r="F31" s="6"/>
      <c r="G31" s="6"/>
      <c r="AA31" s="6"/>
      <c r="AC31" s="6"/>
    </row>
    <row r="32" spans="2:33" ht="13.2">
      <c r="D32" s="6"/>
      <c r="E32" s="6"/>
      <c r="F32" s="6"/>
      <c r="G32" s="6"/>
      <c r="AA32" s="6"/>
      <c r="AC32" s="6"/>
    </row>
    <row r="33" spans="4:29" ht="13.2">
      <c r="D33" s="6"/>
      <c r="E33" s="6"/>
      <c r="F33" s="6"/>
      <c r="G33" s="6"/>
      <c r="AA33" s="6"/>
      <c r="AC33" s="6"/>
    </row>
    <row r="34" spans="4:29" ht="13.2">
      <c r="D34" s="6"/>
      <c r="E34" s="6"/>
      <c r="F34" s="6"/>
      <c r="G34" s="6"/>
      <c r="AA34" s="6"/>
      <c r="AC34" s="6"/>
    </row>
    <row r="35" spans="4:29" ht="13.2">
      <c r="D35" s="6"/>
      <c r="E35" s="6"/>
      <c r="F35" s="6"/>
      <c r="G35" s="6"/>
      <c r="AA35" s="6"/>
      <c r="AC35" s="6"/>
    </row>
    <row r="36" spans="4:29" ht="13.2">
      <c r="D36" s="6"/>
      <c r="E36" s="6"/>
      <c r="F36" s="6"/>
      <c r="G36" s="6"/>
      <c r="AA36" s="6"/>
      <c r="AC36" s="6"/>
    </row>
    <row r="37" spans="4:29" ht="13.2">
      <c r="D37" s="6"/>
      <c r="E37" s="6"/>
      <c r="F37" s="6"/>
      <c r="G37" s="6"/>
      <c r="AA37" s="6"/>
      <c r="AC37" s="6"/>
    </row>
    <row r="38" spans="4:29" ht="13.2">
      <c r="D38" s="6"/>
      <c r="E38" s="6"/>
      <c r="F38" s="6"/>
      <c r="G38" s="6"/>
      <c r="AA38" s="6"/>
      <c r="AC38" s="6"/>
    </row>
    <row r="39" spans="4:29" ht="13.2">
      <c r="D39" s="6"/>
      <c r="E39" s="6"/>
      <c r="F39" s="6"/>
      <c r="G39" s="6"/>
      <c r="AA39" s="6"/>
      <c r="AC39" s="6"/>
    </row>
    <row r="40" spans="4:29" ht="13.2">
      <c r="D40" s="6"/>
      <c r="E40" s="6"/>
      <c r="F40" s="6"/>
      <c r="G40" s="6"/>
      <c r="AA40" s="6"/>
      <c r="AC40" s="6"/>
    </row>
    <row r="41" spans="4:29" ht="13.2">
      <c r="D41" s="6"/>
      <c r="E41" s="6"/>
      <c r="F41" s="6"/>
      <c r="G41" s="6"/>
      <c r="AA41" s="6"/>
      <c r="AC41" s="6"/>
    </row>
    <row r="42" spans="4:29" ht="13.2">
      <c r="D42" s="6"/>
      <c r="E42" s="6"/>
      <c r="F42" s="6"/>
      <c r="G42" s="6"/>
      <c r="AA42" s="6"/>
      <c r="AC42" s="6"/>
    </row>
    <row r="43" spans="4:29" ht="13.2">
      <c r="D43" s="6"/>
      <c r="E43" s="6"/>
      <c r="F43" s="6"/>
      <c r="G43" s="6"/>
      <c r="AA43" s="6"/>
      <c r="AC43" s="6"/>
    </row>
    <row r="44" spans="4:29" ht="13.2">
      <c r="D44" s="6"/>
      <c r="E44" s="6"/>
      <c r="F44" s="6"/>
      <c r="G44" s="6"/>
      <c r="AA44" s="6"/>
      <c r="AC44" s="6"/>
    </row>
    <row r="45" spans="4:29" ht="13.2">
      <c r="D45" s="6"/>
      <c r="E45" s="6"/>
      <c r="F45" s="6"/>
      <c r="G45" s="6"/>
      <c r="AA45" s="6"/>
      <c r="AC45" s="6"/>
    </row>
    <row r="46" spans="4:29" ht="13.2">
      <c r="D46" s="6"/>
      <c r="E46" s="6"/>
      <c r="F46" s="6"/>
      <c r="G46" s="6"/>
      <c r="AA46" s="6"/>
      <c r="AC46" s="6"/>
    </row>
    <row r="47" spans="4:29" ht="13.2">
      <c r="D47" s="6"/>
      <c r="E47" s="6"/>
      <c r="F47" s="6"/>
      <c r="G47" s="6"/>
      <c r="AA47" s="6"/>
      <c r="AC47" s="6"/>
    </row>
    <row r="48" spans="4:29" ht="13.2">
      <c r="E48" s="6"/>
      <c r="F48" s="6"/>
      <c r="G48" s="6"/>
      <c r="AA48" s="6"/>
      <c r="AC48" s="6"/>
    </row>
    <row r="49" spans="5:29" ht="13.2">
      <c r="E49" s="6"/>
      <c r="F49" s="6"/>
      <c r="G49" s="6"/>
      <c r="AA49" s="6"/>
      <c r="AC49" s="6"/>
    </row>
    <row r="50" spans="5:29" ht="13.2">
      <c r="E50" s="6"/>
      <c r="F50" s="6"/>
      <c r="G50" s="6"/>
      <c r="AA50" s="6"/>
      <c r="AC50" s="6"/>
    </row>
    <row r="51" spans="5:29" ht="13.2">
      <c r="E51" s="6"/>
      <c r="F51" s="6"/>
      <c r="G51" s="6"/>
      <c r="AA51" s="6"/>
      <c r="AC51" s="6"/>
    </row>
    <row r="52" spans="5:29" ht="13.2">
      <c r="E52" s="6"/>
      <c r="F52" s="6"/>
      <c r="G52" s="6"/>
      <c r="AA52" s="6"/>
      <c r="AC52" s="6"/>
    </row>
    <row r="53" spans="5:29" ht="13.2">
      <c r="E53" s="6"/>
      <c r="F53" s="6"/>
      <c r="G53" s="6"/>
      <c r="AA53" s="6"/>
      <c r="AC53" s="6"/>
    </row>
    <row r="54" spans="5:29" ht="13.2">
      <c r="E54" s="6"/>
      <c r="F54" s="6"/>
      <c r="G54" s="6"/>
      <c r="AA54" s="6"/>
      <c r="AC54" s="6"/>
    </row>
    <row r="55" spans="5:29" ht="13.2">
      <c r="E55" s="6"/>
      <c r="F55" s="6"/>
      <c r="G55" s="6"/>
      <c r="AA55" s="6"/>
      <c r="AC55" s="6"/>
    </row>
    <row r="56" spans="5:29" ht="13.2">
      <c r="E56" s="6"/>
      <c r="F56" s="6"/>
      <c r="G56" s="6"/>
      <c r="AA56" s="6"/>
      <c r="AC56" s="6"/>
    </row>
    <row r="57" spans="5:29" ht="13.2">
      <c r="E57" s="6"/>
      <c r="F57" s="6"/>
      <c r="G57" s="6"/>
      <c r="AA57" s="6"/>
      <c r="AC57" s="6"/>
    </row>
    <row r="58" spans="5:29" ht="13.2">
      <c r="E58" s="6"/>
      <c r="F58" s="6"/>
      <c r="G58" s="6"/>
      <c r="AA58" s="6"/>
      <c r="AC58" s="6"/>
    </row>
    <row r="59" spans="5:29" ht="13.2">
      <c r="E59" s="6"/>
      <c r="F59" s="6"/>
      <c r="G59" s="6"/>
      <c r="AA59" s="6"/>
      <c r="AC59" s="6"/>
    </row>
    <row r="60" spans="5:29" ht="13.2">
      <c r="E60" s="6"/>
      <c r="F60" s="6"/>
      <c r="G60" s="6"/>
      <c r="AA60" s="6"/>
      <c r="AC60" s="6"/>
    </row>
    <row r="61" spans="5:29" ht="13.2">
      <c r="E61" s="6"/>
      <c r="F61" s="6"/>
      <c r="G61" s="6"/>
      <c r="AA61" s="6"/>
      <c r="AC61" s="6"/>
    </row>
    <row r="62" spans="5:29" ht="13.2">
      <c r="E62" s="6"/>
      <c r="F62" s="6"/>
      <c r="G62" s="6"/>
      <c r="AA62" s="6"/>
      <c r="AC62" s="6"/>
    </row>
    <row r="63" spans="5:29" ht="13.2">
      <c r="E63" s="6"/>
      <c r="F63" s="6"/>
      <c r="G63" s="6"/>
      <c r="AA63" s="6"/>
      <c r="AC63" s="6"/>
    </row>
    <row r="64" spans="5:29" ht="13.2">
      <c r="E64" s="6"/>
      <c r="F64" s="6"/>
      <c r="G64" s="6"/>
      <c r="AA64" s="6"/>
      <c r="AC64" s="6"/>
    </row>
    <row r="65" spans="5:29" ht="13.2">
      <c r="E65" s="6"/>
      <c r="F65" s="6"/>
      <c r="G65" s="6"/>
      <c r="AA65" s="6"/>
      <c r="AC65" s="6"/>
    </row>
    <row r="66" spans="5:29" ht="13.2">
      <c r="E66" s="6"/>
      <c r="F66" s="6"/>
      <c r="G66" s="6"/>
      <c r="AA66" s="6"/>
      <c r="AC66" s="6"/>
    </row>
    <row r="67" spans="5:29" ht="13.2">
      <c r="E67" s="6"/>
      <c r="F67" s="6"/>
      <c r="G67" s="6"/>
      <c r="AA67" s="6"/>
      <c r="AC67" s="6"/>
    </row>
    <row r="68" spans="5:29" ht="13.2">
      <c r="E68" s="6"/>
      <c r="F68" s="6"/>
      <c r="G68" s="6"/>
      <c r="AA68" s="6"/>
      <c r="AC68" s="6"/>
    </row>
    <row r="69" spans="5:29" ht="13.2">
      <c r="E69" s="6"/>
      <c r="F69" s="6"/>
      <c r="G69" s="6"/>
      <c r="AA69" s="6"/>
      <c r="AC69" s="6"/>
    </row>
    <row r="70" spans="5:29" ht="13.2">
      <c r="E70" s="6"/>
      <c r="F70" s="6"/>
      <c r="G70" s="6"/>
      <c r="AA70" s="6"/>
      <c r="AC70" s="6"/>
    </row>
    <row r="71" spans="5:29" ht="13.2">
      <c r="E71" s="6"/>
      <c r="F71" s="6"/>
      <c r="G71" s="6"/>
      <c r="AA71" s="6"/>
      <c r="AC71" s="6"/>
    </row>
    <row r="72" spans="5:29" ht="13.2">
      <c r="E72" s="6"/>
      <c r="F72" s="6"/>
      <c r="G72" s="6"/>
      <c r="AA72" s="6"/>
      <c r="AC72" s="6"/>
    </row>
    <row r="73" spans="5:29" ht="13.2">
      <c r="E73" s="6"/>
      <c r="F73" s="6"/>
      <c r="G73" s="6"/>
      <c r="AA73" s="6"/>
      <c r="AC73" s="6"/>
    </row>
    <row r="74" spans="5:29" ht="13.2">
      <c r="E74" s="6"/>
      <c r="F74" s="6"/>
      <c r="G74" s="6"/>
      <c r="AA74" s="6"/>
      <c r="AC74" s="6"/>
    </row>
    <row r="75" spans="5:29" ht="13.2">
      <c r="E75" s="6"/>
      <c r="F75" s="6"/>
      <c r="G75" s="6"/>
      <c r="AA75" s="6"/>
      <c r="AC75" s="6"/>
    </row>
    <row r="76" spans="5:29" ht="13.2">
      <c r="E76" s="6"/>
      <c r="F76" s="6"/>
      <c r="G76" s="6"/>
      <c r="AA76" s="6"/>
      <c r="AC76" s="6"/>
    </row>
    <row r="77" spans="5:29" ht="13.2">
      <c r="E77" s="6"/>
      <c r="F77" s="6"/>
      <c r="G77" s="6"/>
      <c r="AA77" s="6"/>
      <c r="AC77" s="6"/>
    </row>
    <row r="78" spans="5:29" ht="13.2">
      <c r="E78" s="6"/>
      <c r="F78" s="6"/>
      <c r="G78" s="6"/>
      <c r="AA78" s="6"/>
      <c r="AC78" s="6"/>
    </row>
    <row r="79" spans="5:29" ht="13.2">
      <c r="E79" s="6"/>
      <c r="F79" s="6"/>
      <c r="G79" s="6"/>
      <c r="AA79" s="6"/>
      <c r="AC79" s="6"/>
    </row>
    <row r="80" spans="5:29" ht="13.2">
      <c r="E80" s="6"/>
      <c r="F80" s="6"/>
      <c r="G80" s="6"/>
      <c r="AA80" s="6"/>
      <c r="AC80" s="6"/>
    </row>
    <row r="81" spans="5:29" ht="13.2">
      <c r="E81" s="6"/>
      <c r="F81" s="6"/>
      <c r="G81" s="6"/>
      <c r="AA81" s="6"/>
      <c r="AC81" s="6"/>
    </row>
    <row r="82" spans="5:29" ht="13.2">
      <c r="E82" s="6"/>
      <c r="F82" s="6"/>
      <c r="G82" s="6"/>
      <c r="AA82" s="6"/>
      <c r="AC82" s="6"/>
    </row>
    <row r="83" spans="5:29" ht="13.2">
      <c r="E83" s="6"/>
      <c r="F83" s="6"/>
      <c r="G83" s="6"/>
      <c r="AA83" s="6"/>
      <c r="AC83" s="6"/>
    </row>
    <row r="84" spans="5:29" ht="13.2">
      <c r="E84" s="6"/>
      <c r="F84" s="6"/>
      <c r="G84" s="6"/>
      <c r="AA84" s="6"/>
      <c r="AC84" s="6"/>
    </row>
    <row r="85" spans="5:29" ht="13.2">
      <c r="E85" s="6"/>
      <c r="F85" s="6"/>
      <c r="G85" s="6"/>
      <c r="AA85" s="6"/>
      <c r="AC85" s="6"/>
    </row>
    <row r="86" spans="5:29" ht="13.2">
      <c r="E86" s="6"/>
      <c r="F86" s="6"/>
      <c r="G86" s="6"/>
      <c r="AA86" s="6"/>
      <c r="AC86" s="6"/>
    </row>
    <row r="87" spans="5:29" ht="13.2">
      <c r="E87" s="6"/>
      <c r="F87" s="6"/>
      <c r="G87" s="6"/>
      <c r="AA87" s="6"/>
      <c r="AC87" s="6"/>
    </row>
    <row r="88" spans="5:29" ht="13.2">
      <c r="E88" s="6"/>
      <c r="F88" s="6"/>
      <c r="G88" s="6"/>
      <c r="AA88" s="6"/>
      <c r="AC88" s="6"/>
    </row>
    <row r="89" spans="5:29" ht="13.2">
      <c r="E89" s="6"/>
      <c r="F89" s="6"/>
      <c r="G89" s="6"/>
      <c r="AA89" s="6"/>
    </row>
    <row r="90" spans="5:29" ht="13.2">
      <c r="E90" s="6"/>
      <c r="F90" s="6"/>
      <c r="G90" s="6"/>
      <c r="AA90" s="6"/>
    </row>
    <row r="91" spans="5:29" ht="13.2">
      <c r="E91" s="6"/>
      <c r="F91" s="6"/>
      <c r="G91" s="6"/>
    </row>
    <row r="92" spans="5:29" ht="13.2">
      <c r="E92" s="6"/>
      <c r="F92" s="6"/>
      <c r="G92" s="6"/>
    </row>
    <row r="93" spans="5:29" ht="13.2">
      <c r="E93" s="6"/>
      <c r="F93" s="6"/>
      <c r="G93" s="6"/>
    </row>
    <row r="94" spans="5:29" ht="13.2">
      <c r="E94" s="6"/>
      <c r="F94" s="6"/>
      <c r="G94" s="6"/>
    </row>
    <row r="95" spans="5:29" ht="13.2">
      <c r="E95" s="6"/>
      <c r="F95" s="6"/>
      <c r="G95" s="6"/>
    </row>
    <row r="96" spans="5:29" ht="13.2">
      <c r="E96" s="6"/>
      <c r="F96" s="6"/>
      <c r="G96" s="6"/>
    </row>
    <row r="97" spans="5:7" ht="13.2">
      <c r="E97" s="6"/>
      <c r="F97" s="6"/>
      <c r="G97" s="6"/>
    </row>
    <row r="98" spans="5:7" ht="13.2">
      <c r="E98" s="6"/>
      <c r="F98" s="6"/>
      <c r="G98" s="6"/>
    </row>
    <row r="99" spans="5:7" ht="13.2">
      <c r="E99" s="6"/>
      <c r="F99" s="6"/>
      <c r="G99" s="6"/>
    </row>
  </sheetData>
  <conditionalFormatting sqref="B4:B136">
    <cfRule type="cellIs" dxfId="21" priority="1" operator="equal">
      <formula>"Pago"</formula>
    </cfRule>
  </conditionalFormatting>
  <conditionalFormatting sqref="G1:G106 I2">
    <cfRule type="cellIs" dxfId="20" priority="2" operator="equal">
      <formula>"Si"</formula>
    </cfRule>
  </conditionalFormatting>
  <conditionalFormatting sqref="G4:G106">
    <cfRule type="containsText" dxfId="19" priority="3" operator="containsText" text="sorteo">
      <formula>NOT(ISERROR(SEARCH(("sorteo"),(G4))))</formula>
    </cfRule>
  </conditionalFormatting>
  <conditionalFormatting sqref="AB3:AB39">
    <cfRule type="cellIs" dxfId="18" priority="5" operator="equal">
      <formula>"Terminado"</formula>
    </cfRule>
  </conditionalFormatting>
  <conditionalFormatting sqref="AC4:AC1002">
    <cfRule type="cellIs" dxfId="17" priority="4" operator="equal">
      <formula>"OK"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G99"/>
  <sheetViews>
    <sheetView topLeftCell="B1" workbookViewId="0"/>
  </sheetViews>
  <sheetFormatPr defaultColWidth="12.6640625" defaultRowHeight="15.75" customHeight="1"/>
  <cols>
    <col min="1" max="1" width="6.21875" hidden="1" customWidth="1"/>
    <col min="2" max="2" width="14.88671875" customWidth="1"/>
    <col min="3" max="3" width="12.33203125" customWidth="1"/>
    <col min="4" max="4" width="15.6640625" customWidth="1"/>
    <col min="5" max="5" width="19.88671875" customWidth="1"/>
    <col min="6" max="6" width="4.33203125" customWidth="1"/>
    <col min="7" max="7" width="6.6640625" hidden="1" customWidth="1"/>
    <col min="8" max="8" width="4.33203125" hidden="1" customWidth="1"/>
    <col min="9" max="9" width="12.6640625" hidden="1"/>
    <col min="10" max="10" width="6.44140625" hidden="1" customWidth="1"/>
    <col min="11" max="11" width="12.6640625" hidden="1"/>
    <col min="12" max="12" width="8.44140625" customWidth="1"/>
    <col min="13" max="13" width="9.77734375" customWidth="1"/>
    <col min="14" max="14" width="11.33203125" customWidth="1"/>
    <col min="15" max="15" width="5.44140625" hidden="1" customWidth="1"/>
    <col min="16" max="16" width="7" hidden="1" customWidth="1"/>
    <col min="17" max="17" width="6.44140625" customWidth="1"/>
    <col min="18" max="18" width="10.21875" customWidth="1"/>
    <col min="19" max="19" width="10.109375" hidden="1" customWidth="1"/>
    <col min="20" max="25" width="10.33203125" hidden="1" customWidth="1"/>
    <col min="26" max="26" width="12.88671875" hidden="1" customWidth="1"/>
    <col min="27" max="27" width="7" hidden="1" customWidth="1"/>
    <col min="28" max="28" width="11" customWidth="1"/>
    <col min="29" max="29" width="10.6640625" hidden="1" customWidth="1"/>
    <col min="30" max="30" width="11.109375" hidden="1" customWidth="1"/>
    <col min="31" max="31" width="10.6640625" hidden="1" customWidth="1"/>
    <col min="32" max="32" width="12.6640625" hidden="1"/>
  </cols>
  <sheetData>
    <row r="1" spans="1:33" ht="22.8">
      <c r="A1" s="40"/>
      <c r="B1" s="48" t="s">
        <v>33</v>
      </c>
      <c r="C1" s="49"/>
      <c r="D1" s="49"/>
      <c r="E1" s="49"/>
      <c r="F1" s="49"/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33" ht="15" customHeight="1">
      <c r="A2" s="40"/>
      <c r="B2" s="51" t="s">
        <v>50</v>
      </c>
      <c r="C2" s="2"/>
      <c r="D2" s="2"/>
      <c r="E2" s="2"/>
      <c r="F2" s="63" t="str">
        <f ca="1">"Inscriptos: "&amp;COUNTA(C4:C100)</f>
        <v>Inscriptos: 15</v>
      </c>
      <c r="G2" s="2"/>
      <c r="H2" s="2"/>
      <c r="I2" s="54"/>
      <c r="J2" s="54"/>
      <c r="K2" s="54"/>
      <c r="L2" s="40"/>
      <c r="M2" s="2"/>
      <c r="N2" s="2"/>
      <c r="O2" s="2"/>
      <c r="P2" s="2"/>
      <c r="Q2" s="2"/>
      <c r="R2" s="2"/>
      <c r="S2" s="2"/>
      <c r="T2" s="54"/>
      <c r="U2" s="54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3" ht="66">
      <c r="A3" s="40" t="s">
        <v>51</v>
      </c>
      <c r="B3" s="2" t="str">
        <f ca="1">IFERROR(__xludf.DUMMYFUNCTION("query(Titulos)"),"Dia y Hora")</f>
        <v>Dia y Hora</v>
      </c>
      <c r="C3" s="66" t="str">
        <f ca="1">IFERROR(__xludf.DUMMYFUNCTION("""COMPUTED_VALUE"""),"Nombre")</f>
        <v>Nombre</v>
      </c>
      <c r="D3" s="66" t="str">
        <f ca="1">IFERROR(__xludf.DUMMYFUNCTION("""COMPUTED_VALUE"""),"Apellido")</f>
        <v>Apellido</v>
      </c>
      <c r="E3" s="66" t="str">
        <f ca="1">IFERROR(__xludf.DUMMYFUNCTION("""COMPUTED_VALUE"""),"Ciudad")</f>
        <v>Ciudad</v>
      </c>
      <c r="F3" s="2" t="str">
        <f ca="1">IFERROR(__xludf.DUMMYFUNCTION("""COMPUTED_VALUE"""),"Pais")</f>
        <v>Pais</v>
      </c>
      <c r="G3" s="2" t="str">
        <f ca="1">IFERROR(__xludf.DUMMYFUNCTION("""COMPUTED_VALUE"""),"DNI")</f>
        <v>DNI</v>
      </c>
      <c r="H3" s="2" t="str">
        <f ca="1">IFERROR(__xludf.DUMMYFUNCTION("""COMPUTED_VALUE"""),"Nacimiento")</f>
        <v>Nacimiento</v>
      </c>
      <c r="I3" s="2" t="str">
        <f ca="1">IFERROR(__xludf.DUMMYFUNCTION("""COMPUTED_VALUE"""),"Celular de Contacto")</f>
        <v>Celular de Contacto</v>
      </c>
      <c r="J3" s="2" t="str">
        <f ca="1">IFERROR(__xludf.DUMMYFUNCTION("""COMPUTED_VALUE"""),"Celular de Emergencias")</f>
        <v>Celular de Emergencias</v>
      </c>
      <c r="K3" s="2" t="str">
        <f ca="1">IFERROR(__xludf.DUMMYFUNCTION("""COMPUTED_VALUE"""),"email")</f>
        <v>email</v>
      </c>
      <c r="L3" s="2" t="str">
        <f ca="1">IFERROR(__xludf.DUMMYFUNCTION("""COMPUTED_VALUE"""),"Sexo")</f>
        <v>Sexo</v>
      </c>
      <c r="M3" s="2" t="str">
        <f ca="1">IFERROR(__xludf.DUMMYFUNCTION("""COMPUTED_VALUE"""),"Club")</f>
        <v>Club</v>
      </c>
      <c r="N3" s="2" t="str">
        <f ca="1">IFERROR(__xludf.DUMMYFUNCTION("""COMPUTED_VALUE"""),"Categoría")</f>
        <v>Categoría</v>
      </c>
      <c r="O3" s="2" t="str">
        <f ca="1">IFERROR(__xludf.DUMMYFUNCTION("""COMPUTED_VALUE"""),"Clase")</f>
        <v>Clase</v>
      </c>
      <c r="P3" s="2" t="str">
        <f ca="1">IFERROR(__xludf.DUMMYFUNCTION("""COMPUTED_VALUE"""),"Proa Nº")</f>
        <v>Proa Nº</v>
      </c>
      <c r="Q3" s="2" t="str">
        <f ca="1">IFERROR(__xludf.DUMMYFUNCTION("""COMPUTED_VALUE"""),"Vela")</f>
        <v>Vela</v>
      </c>
      <c r="R3" s="2" t="str">
        <f ca="1">IFERROR(__xludf.DUMMYFUNCTION("""COMPUTED_VALUE"""),"Nombre del Barco")</f>
        <v>Nombre del Barco</v>
      </c>
      <c r="S3" s="2" t="str">
        <f ca="1">IFERROR(__xludf.DUMMYFUNCTION("""COMPUTED_VALUE"""),"Tripulante 1")</f>
        <v>Tripulante 1</v>
      </c>
      <c r="T3" s="2" t="str">
        <f ca="1">IFERROR(__xludf.DUMMYFUNCTION("""COMPUTED_VALUE"""),"Tripulante 2")</f>
        <v>Tripulante 2</v>
      </c>
      <c r="U3" s="2" t="str">
        <f ca="1">IFERROR(__xludf.DUMMYFUNCTION("""COMPUTED_VALUE"""),"Tripulante 3")</f>
        <v>Tripulante 3</v>
      </c>
      <c r="V3" s="2" t="str">
        <f ca="1">IFERROR(__xludf.DUMMYFUNCTION("""COMPUTED_VALUE"""),"Tripulante 4")</f>
        <v>Tripulante 4</v>
      </c>
      <c r="W3" s="2" t="str">
        <f ca="1">IFERROR(__xludf.DUMMYFUNCTION("""COMPUTED_VALUE"""),"Tripulante 5")</f>
        <v>Tripulante 5</v>
      </c>
      <c r="X3" s="2" t="str">
        <f ca="1">IFERROR(__xludf.DUMMYFUNCTION("""COMPUTED_VALUE"""),"Tripulante 6")</f>
        <v>Tripulante 6</v>
      </c>
      <c r="Y3" s="2" t="str">
        <f ca="1">IFERROR(__xludf.DUMMYFUNCTION("""COMPUTED_VALUE"""),"Obra Social/Nº Afiliado")</f>
        <v>Obra Social/Nº Afiliado</v>
      </c>
      <c r="Z3" s="2" t="str">
        <f ca="1">IFERROR(__xludf.DUMMYFUNCTION("""COMPUTED_VALUE"""),"Bajada YCO")</f>
        <v>Bajada YCO</v>
      </c>
      <c r="AA3" s="54" t="str">
        <f ca="1">IFERROR(__xludf.DUMMYFUNCTION("""COMPUTED_VALUE"""),"Términos y Condiciones")</f>
        <v>Términos y Condiciones</v>
      </c>
      <c r="AB3" s="2" t="str">
        <f ca="1">IFERROR(__xludf.DUMMYFUNCTION("""COMPUTED_VALUE"""),"Pago")</f>
        <v>Pago</v>
      </c>
      <c r="AC3" s="54" t="str">
        <f ca="1">IFERROR(__xludf.DUMMYFUNCTION("""COMPUTED_VALUE"""),"Importe")</f>
        <v>Importe</v>
      </c>
      <c r="AD3" s="2" t="str">
        <f ca="1">IFERROR(__xludf.DUMMYFUNCTION("""COMPUTED_VALUE"""),"RECIBO")</f>
        <v>RECIBO</v>
      </c>
      <c r="AE3" s="2"/>
      <c r="AG3" s="92" t="s">
        <v>32</v>
      </c>
    </row>
    <row r="4" spans="1:33" ht="13.2">
      <c r="B4" s="68">
        <f ca="1">IFERROR(__xludf.DUMMYFUNCTION("filter(Datos,Clases=A3)"),45513.7932882638)</f>
        <v>45513.793288263798</v>
      </c>
      <c r="C4" s="36" t="str">
        <f ca="1">IFERROR(__xludf.DUMMYFUNCTION("""COMPUTED_VALUE"""),"Rodrigo ")</f>
        <v xml:space="preserve">Rodrigo </v>
      </c>
      <c r="D4" s="36" t="str">
        <f ca="1">IFERROR(__xludf.DUMMYFUNCTION("""COMPUTED_VALUE"""),"Magnano")</f>
        <v>Magnano</v>
      </c>
      <c r="E4" s="36" t="str">
        <f ca="1">IFERROR(__xludf.DUMMYFUNCTION("""COMPUTED_VALUE"""),"CABA")</f>
        <v>CABA</v>
      </c>
      <c r="F4" s="6" t="str">
        <f ca="1">IFERROR(__xludf.DUMMYFUNCTION("""COMPUTED_VALUE"""),"ARG")</f>
        <v>ARG</v>
      </c>
      <c r="G4" s="6">
        <f ca="1">IFERROR(__xludf.DUMMYFUNCTION("""COMPUTED_VALUE"""),40238928)</f>
        <v>40238928</v>
      </c>
      <c r="H4" s="37">
        <f ca="1">IFERROR(__xludf.DUMMYFUNCTION("""COMPUTED_VALUE"""),35513)</f>
        <v>35513</v>
      </c>
      <c r="I4" s="38">
        <f ca="1">IFERROR(__xludf.DUMMYFUNCTION("""COMPUTED_VALUE"""),1169150321)</f>
        <v>1169150321</v>
      </c>
      <c r="J4" s="38"/>
      <c r="K4" s="38" t="str">
        <f ca="1">IFERROR(__xludf.DUMMYFUNCTION("""COMPUTED_VALUE"""),"rodrigomagnano@hotmail.com")</f>
        <v>rodrigomagnano@hotmail.com</v>
      </c>
      <c r="L4" s="38" t="str">
        <f ca="1">IFERROR(__xludf.DUMMYFUNCTION("""COMPUTED_VALUE"""),"Masculino")</f>
        <v>Masculino</v>
      </c>
      <c r="M4" s="38" t="str">
        <f ca="1">IFERROR(__xludf.DUMMYFUNCTION("""COMPUTED_VALUE"""),"YCO")</f>
        <v>YCO</v>
      </c>
      <c r="N4" s="38" t="str">
        <f ca="1">IFERROR(__xludf.DUMMYFUNCTION("""COMPUTED_VALUE"""),"Ilca")</f>
        <v>Ilca</v>
      </c>
      <c r="O4" s="38" t="str">
        <f ca="1">IFERROR(__xludf.DUMMYFUNCTION("""COMPUTED_VALUE"""),"ILCA 7")</f>
        <v>ILCA 7</v>
      </c>
      <c r="P4" s="38"/>
      <c r="Q4" s="38">
        <f ca="1">IFERROR(__xludf.DUMMYFUNCTION("""COMPUTED_VALUE"""),164124)</f>
        <v>164124</v>
      </c>
      <c r="R4" s="38" t="str">
        <f ca="1">IFERROR(__xludf.DUMMYFUNCTION("""COMPUTED_VALUE"""),"Playboy")</f>
        <v>Playboy</v>
      </c>
      <c r="S4" s="38"/>
      <c r="T4" s="38"/>
      <c r="U4" s="38"/>
      <c r="V4" s="38"/>
      <c r="W4" s="38"/>
      <c r="X4" s="38"/>
      <c r="Y4" s="38" t="str">
        <f ca="1">IFERROR(__xludf.DUMMYFUNCTION("""COMPUTED_VALUE"""),"HI")</f>
        <v>HI</v>
      </c>
      <c r="Z4" s="38" t="str">
        <f ca="1">IFERROR(__xludf.DUMMYFUNCTION("""COMPUTED_VALUE"""),"Si")</f>
        <v>Si</v>
      </c>
      <c r="AA4" s="6" t="str">
        <f ca="1">IFERROR(__xludf.DUMMYFUNCTION("""COMPUTED_VALUE"""),"Acepto")</f>
        <v>Acepto</v>
      </c>
      <c r="AB4" s="38"/>
      <c r="AC4" s="6"/>
      <c r="AD4" s="38"/>
      <c r="AE4" s="38"/>
      <c r="AF4" s="38"/>
      <c r="AG4" s="38"/>
    </row>
    <row r="5" spans="1:33" ht="13.2">
      <c r="B5" s="68">
        <f ca="1">IFERROR(__xludf.DUMMYFUNCTION("""COMPUTED_VALUE"""),45536.8449853819)</f>
        <v>45536.844985381897</v>
      </c>
      <c r="C5" s="36" t="str">
        <f ca="1">IFERROR(__xludf.DUMMYFUNCTION("""COMPUTED_VALUE"""),"Alejo")</f>
        <v>Alejo</v>
      </c>
      <c r="D5" s="36" t="str">
        <f ca="1">IFERROR(__xludf.DUMMYFUNCTION("""COMPUTED_VALUE"""),"Acosta")</f>
        <v>Acosta</v>
      </c>
      <c r="E5" s="36" t="str">
        <f ca="1">IFERROR(__xludf.DUMMYFUNCTION("""COMPUTED_VALUE"""),"San Isidro")</f>
        <v>San Isidro</v>
      </c>
      <c r="F5" s="6" t="str">
        <f ca="1">IFERROR(__xludf.DUMMYFUNCTION("""COMPUTED_VALUE"""),"ARG")</f>
        <v>ARG</v>
      </c>
      <c r="G5" s="6">
        <f ca="1">IFERROR(__xludf.DUMMYFUNCTION("""COMPUTED_VALUE"""),24237005)</f>
        <v>24237005</v>
      </c>
      <c r="H5" s="37">
        <f ca="1">IFERROR(__xludf.DUMMYFUNCTION("""COMPUTED_VALUE"""),27307)</f>
        <v>27307</v>
      </c>
      <c r="I5" s="38">
        <f ca="1">IFERROR(__xludf.DUMMYFUNCTION("""COMPUTED_VALUE"""),1154676316)</f>
        <v>1154676316</v>
      </c>
      <c r="J5" s="38"/>
      <c r="K5" s="38" t="str">
        <f ca="1">IFERROR(__xludf.DUMMYFUNCTION("""COMPUTED_VALUE"""),"alejoacos@gmail.com")</f>
        <v>alejoacos@gmail.com</v>
      </c>
      <c r="L5" s="38" t="str">
        <f ca="1">IFERROR(__xludf.DUMMYFUNCTION("""COMPUTED_VALUE"""),"Masculino")</f>
        <v>Masculino</v>
      </c>
      <c r="M5" s="38" t="str">
        <f ca="1">IFERROR(__xludf.DUMMYFUNCTION("""COMPUTED_VALUE"""),"YCO")</f>
        <v>YCO</v>
      </c>
      <c r="N5" s="38" t="str">
        <f ca="1">IFERROR(__xludf.DUMMYFUNCTION("""COMPUTED_VALUE"""),"Master (ILCA)")</f>
        <v>Master (ILCA)</v>
      </c>
      <c r="O5" s="38" t="str">
        <f ca="1">IFERROR(__xludf.DUMMYFUNCTION("""COMPUTED_VALUE"""),"ILCA 7")</f>
        <v>ILCA 7</v>
      </c>
      <c r="P5" s="38"/>
      <c r="Q5" s="38">
        <f ca="1">IFERROR(__xludf.DUMMYFUNCTION("""COMPUTED_VALUE"""),3)</f>
        <v>3</v>
      </c>
      <c r="R5" s="38"/>
      <c r="S5" s="38"/>
      <c r="T5" s="38"/>
      <c r="U5" s="38"/>
      <c r="V5" s="38"/>
      <c r="W5" s="38"/>
      <c r="X5" s="38"/>
      <c r="Y5" s="38"/>
      <c r="Z5" s="38" t="str">
        <f ca="1">IFERROR(__xludf.DUMMYFUNCTION("""COMPUTED_VALUE"""),"Si")</f>
        <v>Si</v>
      </c>
      <c r="AA5" s="6" t="str">
        <f ca="1">IFERROR(__xludf.DUMMYFUNCTION("""COMPUTED_VALUE"""),"Acepto")</f>
        <v>Acepto</v>
      </c>
      <c r="AB5" s="38" t="str">
        <f ca="1">IFERROR(__xludf.DUMMYFUNCTION("""COMPUTED_VALUE"""),"Pendiente")</f>
        <v>Pendiente</v>
      </c>
      <c r="AC5" s="6"/>
      <c r="AD5" s="38"/>
      <c r="AE5" s="38"/>
      <c r="AF5" s="38"/>
      <c r="AG5" s="38"/>
    </row>
    <row r="6" spans="1:33" ht="13.2">
      <c r="B6" s="68">
        <f ca="1">IFERROR(__xludf.DUMMYFUNCTION("""COMPUTED_VALUE"""),45538.92919853)</f>
        <v>45538.929198530001</v>
      </c>
      <c r="C6" s="36" t="str">
        <f ca="1">IFERROR(__xludf.DUMMYFUNCTION("""COMPUTED_VALUE"""),"Jose Alberto")</f>
        <v>Jose Alberto</v>
      </c>
      <c r="D6" s="36" t="str">
        <f ca="1">IFERROR(__xludf.DUMMYFUNCTION("""COMPUTED_VALUE"""),"Asad")</f>
        <v>Asad</v>
      </c>
      <c r="E6" s="36" t="str">
        <f ca="1">IFERROR(__xludf.DUMMYFUNCTION("""COMPUTED_VALUE"""),"San Fernando, Pcia de Buenos Aires")</f>
        <v>San Fernando, Pcia de Buenos Aires</v>
      </c>
      <c r="F6" s="6" t="str">
        <f ca="1">IFERROR(__xludf.DUMMYFUNCTION("""COMPUTED_VALUE"""),"ARG")</f>
        <v>ARG</v>
      </c>
      <c r="G6" s="6">
        <f ca="1">IFERROR(__xludf.DUMMYFUNCTION("""COMPUTED_VALUE"""),11543300)</f>
        <v>11543300</v>
      </c>
      <c r="H6" s="37">
        <f ca="1">IFERROR(__xludf.DUMMYFUNCTION("""COMPUTED_VALUE"""),20172)</f>
        <v>20172</v>
      </c>
      <c r="I6" s="38">
        <f ca="1">IFERROR(__xludf.DUMMYFUNCTION("""COMPUTED_VALUE"""),1150077917)</f>
        <v>1150077917</v>
      </c>
      <c r="J6" s="38"/>
      <c r="K6" s="38" t="str">
        <f ca="1">IFERROR(__xludf.DUMMYFUNCTION("""COMPUTED_VALUE"""),"joseasad5@gmail.com")</f>
        <v>joseasad5@gmail.com</v>
      </c>
      <c r="L6" s="38" t="str">
        <f ca="1">IFERROR(__xludf.DUMMYFUNCTION("""COMPUTED_VALUE"""),"Masculino")</f>
        <v>Masculino</v>
      </c>
      <c r="M6" s="38" t="str">
        <f ca="1">IFERROR(__xludf.DUMMYFUNCTION("""COMPUTED_VALUE"""),"YCO")</f>
        <v>YCO</v>
      </c>
      <c r="N6" s="38" t="str">
        <f ca="1">IFERROR(__xludf.DUMMYFUNCTION("""COMPUTED_VALUE"""),"Master (ILCA)")</f>
        <v>Master (ILCA)</v>
      </c>
      <c r="O6" s="38" t="str">
        <f ca="1">IFERROR(__xludf.DUMMYFUNCTION("""COMPUTED_VALUE"""),"ILCA 7")</f>
        <v>ILCA 7</v>
      </c>
      <c r="P6" s="38"/>
      <c r="Q6" s="38">
        <f ca="1">IFERROR(__xludf.DUMMYFUNCTION("""COMPUTED_VALUE"""),207306)</f>
        <v>207306</v>
      </c>
      <c r="R6" s="38" t="str">
        <f ca="1">IFERROR(__xludf.DUMMYFUNCTION("""COMPUTED_VALUE"""),"NO TIENE")</f>
        <v>NO TIENE</v>
      </c>
      <c r="S6" s="38"/>
      <c r="T6" s="38"/>
      <c r="U6" s="38"/>
      <c r="V6" s="38"/>
      <c r="W6" s="38"/>
      <c r="X6" s="38"/>
      <c r="Y6" s="38" t="str">
        <f ca="1">IFERROR(__xludf.DUMMYFUNCTION("""COMPUTED_VALUE"""),"HOMINIS")</f>
        <v>HOMINIS</v>
      </c>
      <c r="Z6" s="38" t="str">
        <f ca="1">IFERROR(__xludf.DUMMYFUNCTION("""COMPUTED_VALUE"""),"Si")</f>
        <v>Si</v>
      </c>
      <c r="AA6" s="6" t="str">
        <f ca="1">IFERROR(__xludf.DUMMYFUNCTION("""COMPUTED_VALUE"""),"Acepto")</f>
        <v>Acepto</v>
      </c>
      <c r="AB6" s="38" t="str">
        <f ca="1">IFERROR(__xludf.DUMMYFUNCTION("""COMPUTED_VALUE"""),"Terminado")</f>
        <v>Terminado</v>
      </c>
      <c r="AC6" s="6">
        <f ca="1">IFERROR(__xludf.DUMMYFUNCTION("""COMPUTED_VALUE"""),45000)</f>
        <v>45000</v>
      </c>
      <c r="AD6" s="38">
        <f ca="1">IFERROR(__xludf.DUMMYFUNCTION("""COMPUTED_VALUE"""),205431)</f>
        <v>205431</v>
      </c>
      <c r="AE6" s="38" t="str">
        <f ca="1">IFERROR(__xludf.DUMMYFUNCTION("""COMPUTED_VALUE"""),"TRF 03-09")</f>
        <v>TRF 03-09</v>
      </c>
      <c r="AF6" s="38"/>
      <c r="AG6" s="38"/>
    </row>
    <row r="7" spans="1:33" ht="13.2">
      <c r="B7" s="68">
        <f ca="1">IFERROR(__xludf.DUMMYFUNCTION("""COMPUTED_VALUE"""),45535.6569247453)</f>
        <v>45535.656924745301</v>
      </c>
      <c r="C7" s="36" t="str">
        <f ca="1">IFERROR(__xludf.DUMMYFUNCTION("""COMPUTED_VALUE"""),"Juan Antonio ")</f>
        <v xml:space="preserve">Juan Antonio </v>
      </c>
      <c r="D7" s="36" t="str">
        <f ca="1">IFERROR(__xludf.DUMMYFUNCTION("""COMPUTED_VALUE"""),"Carosella ")</f>
        <v xml:space="preserve">Carosella </v>
      </c>
      <c r="E7" s="36" t="str">
        <f ca="1">IFERROR(__xludf.DUMMYFUNCTION("""COMPUTED_VALUE"""),"Buenos Aires ")</f>
        <v xml:space="preserve">Buenos Aires </v>
      </c>
      <c r="F7" s="6" t="str">
        <f ca="1">IFERROR(__xludf.DUMMYFUNCTION("""COMPUTED_VALUE"""),"ARG")</f>
        <v>ARG</v>
      </c>
      <c r="G7" s="6">
        <f ca="1">IFERROR(__xludf.DUMMYFUNCTION("""COMPUTED_VALUE"""),13296654)</f>
        <v>13296654</v>
      </c>
      <c r="H7" s="37">
        <f ca="1">IFERROR(__xludf.DUMMYFUNCTION("""COMPUTED_VALUE"""),21789)</f>
        <v>21789</v>
      </c>
      <c r="I7" s="38">
        <f ca="1">IFERROR(__xludf.DUMMYFUNCTION("""COMPUTED_VALUE"""),1140693050)</f>
        <v>1140693050</v>
      </c>
      <c r="J7" s="38"/>
      <c r="K7" s="38" t="str">
        <f ca="1">IFERROR(__xludf.DUMMYFUNCTION("""COMPUTED_VALUE"""),"Jac1@fibertel.com.ar ")</f>
        <v xml:space="preserve">Jac1@fibertel.com.ar </v>
      </c>
      <c r="L7" s="38" t="str">
        <f ca="1">IFERROR(__xludf.DUMMYFUNCTION("""COMPUTED_VALUE"""),"Masculino")</f>
        <v>Masculino</v>
      </c>
      <c r="M7" s="38" t="str">
        <f ca="1">IFERROR(__xludf.DUMMYFUNCTION("""COMPUTED_VALUE"""),"Yco")</f>
        <v>Yco</v>
      </c>
      <c r="N7" s="38" t="str">
        <f ca="1">IFERROR(__xludf.DUMMYFUNCTION("""COMPUTED_VALUE"""),"Master (ILCA)")</f>
        <v>Master (ILCA)</v>
      </c>
      <c r="O7" s="38" t="str">
        <f ca="1">IFERROR(__xludf.DUMMYFUNCTION("""COMPUTED_VALUE"""),"ILCA 7")</f>
        <v>ILCA 7</v>
      </c>
      <c r="P7" s="38"/>
      <c r="Q7" s="38">
        <f ca="1">IFERROR(__xludf.DUMMYFUNCTION("""COMPUTED_VALUE"""),222121)</f>
        <v>222121</v>
      </c>
      <c r="R7" s="38" t="str">
        <f ca="1">IFERROR(__xludf.DUMMYFUNCTION("""COMPUTED_VALUE"""),"Xxx")</f>
        <v>Xxx</v>
      </c>
      <c r="S7" s="38"/>
      <c r="T7" s="38"/>
      <c r="U7" s="38"/>
      <c r="V7" s="38"/>
      <c r="W7" s="38"/>
      <c r="X7" s="38"/>
      <c r="Y7" s="38" t="str">
        <f ca="1">IFERROR(__xludf.DUMMYFUNCTION("""COMPUTED_VALUE"""),"Osde 36204060 01")</f>
        <v>Osde 36204060 01</v>
      </c>
      <c r="Z7" s="38" t="str">
        <f ca="1">IFERROR(__xludf.DUMMYFUNCTION("""COMPUTED_VALUE"""),"Si")</f>
        <v>Si</v>
      </c>
      <c r="AA7" s="6" t="str">
        <f ca="1">IFERROR(__xludf.DUMMYFUNCTION("""COMPUTED_VALUE"""),"Acepto")</f>
        <v>Acepto</v>
      </c>
      <c r="AB7" s="38" t="str">
        <f ca="1">IFERROR(__xludf.DUMMYFUNCTION("""COMPUTED_VALUE"""),"Pendiente")</f>
        <v>Pendiente</v>
      </c>
      <c r="AC7" s="6"/>
      <c r="AD7" s="38"/>
      <c r="AE7" s="38"/>
      <c r="AF7" s="38"/>
      <c r="AG7" s="38"/>
    </row>
    <row r="8" spans="1:33" ht="13.2">
      <c r="B8" s="68">
        <f ca="1">IFERROR(__xludf.DUMMYFUNCTION("""COMPUTED_VALUE"""),45537.6359034837)</f>
        <v>45537.635903483701</v>
      </c>
      <c r="C8" s="36" t="str">
        <f ca="1">IFERROR(__xludf.DUMMYFUNCTION("""COMPUTED_VALUE"""),"Benjamin")</f>
        <v>Benjamin</v>
      </c>
      <c r="D8" s="36" t="str">
        <f ca="1">IFERROR(__xludf.DUMMYFUNCTION("""COMPUTED_VALUE"""),"Galvan")</f>
        <v>Galvan</v>
      </c>
      <c r="E8" s="36" t="str">
        <f ca="1">IFERROR(__xludf.DUMMYFUNCTION("""COMPUTED_VALUE"""),"La Plata")</f>
        <v>La Plata</v>
      </c>
      <c r="F8" s="6" t="str">
        <f ca="1">IFERROR(__xludf.DUMMYFUNCTION("""COMPUTED_VALUE"""),"ARG")</f>
        <v>ARG</v>
      </c>
      <c r="G8" s="6">
        <f ca="1">IFERROR(__xludf.DUMMYFUNCTION("""COMPUTED_VALUE"""),46269356)</f>
        <v>46269356</v>
      </c>
      <c r="H8" s="37">
        <f ca="1">IFERROR(__xludf.DUMMYFUNCTION("""COMPUTED_VALUE"""),38288)</f>
        <v>38288</v>
      </c>
      <c r="I8" s="38">
        <f ca="1">IFERROR(__xludf.DUMMYFUNCTION("""COMPUTED_VALUE"""),2214289917)</f>
        <v>2214289917</v>
      </c>
      <c r="J8" s="38">
        <f ca="1">IFERROR(__xludf.DUMMYFUNCTION("""COMPUTED_VALUE"""),2214638320)</f>
        <v>2214638320</v>
      </c>
      <c r="K8" s="38" t="str">
        <f ca="1">IFERROR(__xludf.DUMMYFUNCTION("""COMPUTED_VALUE"""),"galvanb612@gmail.com")</f>
        <v>galvanb612@gmail.com</v>
      </c>
      <c r="L8" s="38" t="str">
        <f ca="1">IFERROR(__xludf.DUMMYFUNCTION("""COMPUTED_VALUE"""),"Masculino")</f>
        <v>Masculino</v>
      </c>
      <c r="M8" s="38" t="str">
        <f ca="1">IFERROR(__xludf.DUMMYFUNCTION("""COMPUTED_VALUE"""),"YCO")</f>
        <v>YCO</v>
      </c>
      <c r="N8" s="38" t="str">
        <f ca="1">IFERROR(__xludf.DUMMYFUNCTION("""COMPUTED_VALUE"""),"Sub 21")</f>
        <v>Sub 21</v>
      </c>
      <c r="O8" s="38" t="str">
        <f ca="1">IFERROR(__xludf.DUMMYFUNCTION("""COMPUTED_VALUE"""),"ILCA 7")</f>
        <v>ILCA 7</v>
      </c>
      <c r="P8" s="38"/>
      <c r="Q8" s="38">
        <f ca="1">IFERROR(__xludf.DUMMYFUNCTION("""COMPUTED_VALUE"""),217355)</f>
        <v>217355</v>
      </c>
      <c r="R8" s="38"/>
      <c r="S8" s="38"/>
      <c r="T8" s="38"/>
      <c r="U8" s="38"/>
      <c r="V8" s="38"/>
      <c r="W8" s="38"/>
      <c r="X8" s="38"/>
      <c r="Y8" s="38">
        <f ca="1">IFERROR(__xludf.DUMMYFUNCTION("""COMPUTED_VALUE"""),46269356)</f>
        <v>46269356</v>
      </c>
      <c r="Z8" s="38" t="str">
        <f ca="1">IFERROR(__xludf.DUMMYFUNCTION("""COMPUTED_VALUE"""),"Si")</f>
        <v>Si</v>
      </c>
      <c r="AA8" s="6" t="str">
        <f ca="1">IFERROR(__xludf.DUMMYFUNCTION("""COMPUTED_VALUE"""),"Acepto")</f>
        <v>Acepto</v>
      </c>
      <c r="AB8" s="38" t="str">
        <f ca="1">IFERROR(__xludf.DUMMYFUNCTION("""COMPUTED_VALUE"""),"Terminado")</f>
        <v>Terminado</v>
      </c>
      <c r="AC8" s="6">
        <f ca="1">IFERROR(__xludf.DUMMYFUNCTION("""COMPUTED_VALUE"""),45000)</f>
        <v>45000</v>
      </c>
      <c r="AD8" s="38">
        <f ca="1">IFERROR(__xludf.DUMMYFUNCTION("""COMPUTED_VALUE"""),206483)</f>
        <v>206483</v>
      </c>
      <c r="AE8" s="38" t="str">
        <f ca="1">IFERROR(__xludf.DUMMYFUNCTION("""COMPUTED_VALUE"""),"TRF 03-09")</f>
        <v>TRF 03-09</v>
      </c>
      <c r="AF8" s="38"/>
      <c r="AG8" s="38"/>
    </row>
    <row r="9" spans="1:33" ht="13.2">
      <c r="B9" s="68">
        <f ca="1">IFERROR(__xludf.DUMMYFUNCTION("""COMPUTED_VALUE"""),45534.8976090625)</f>
        <v>45534.8976090625</v>
      </c>
      <c r="C9" s="36" t="str">
        <f ca="1">IFERROR(__xludf.DUMMYFUNCTION("""COMPUTED_VALUE"""),"Ulises ")</f>
        <v xml:space="preserve">Ulises </v>
      </c>
      <c r="D9" s="36" t="str">
        <f ca="1">IFERROR(__xludf.DUMMYFUNCTION("""COMPUTED_VALUE"""),"Gómez lacchini ")</f>
        <v xml:space="preserve">Gómez lacchini </v>
      </c>
      <c r="E9" s="36" t="str">
        <f ca="1">IFERROR(__xludf.DUMMYFUNCTION("""COMPUTED_VALUE"""),"La plata")</f>
        <v>La plata</v>
      </c>
      <c r="F9" s="6" t="str">
        <f ca="1">IFERROR(__xludf.DUMMYFUNCTION("""COMPUTED_VALUE"""),"ARG")</f>
        <v>ARG</v>
      </c>
      <c r="G9" s="6">
        <f ca="1">IFERROR(__xludf.DUMMYFUNCTION("""COMPUTED_VALUE"""),44677873)</f>
        <v>44677873</v>
      </c>
      <c r="H9" s="37">
        <f ca="1">IFERROR(__xludf.DUMMYFUNCTION("""COMPUTED_VALUE"""),37763)</f>
        <v>37763</v>
      </c>
      <c r="I9" s="38">
        <f ca="1">IFERROR(__xludf.DUMMYFUNCTION("""COMPUTED_VALUE"""),2216417120)</f>
        <v>2216417120</v>
      </c>
      <c r="J9" s="38"/>
      <c r="K9" s="38" t="str">
        <f ca="1">IFERROR(__xludf.DUMMYFUNCTION("""COMPUTED_VALUE"""),"ulisesgomezlacchini@gmail.com")</f>
        <v>ulisesgomezlacchini@gmail.com</v>
      </c>
      <c r="L9" s="38" t="str">
        <f ca="1">IFERROR(__xludf.DUMMYFUNCTION("""COMPUTED_VALUE"""),"Masculino")</f>
        <v>Masculino</v>
      </c>
      <c r="M9" s="38" t="str">
        <f ca="1">IFERROR(__xludf.DUMMYFUNCTION("""COMPUTED_VALUE"""),"CRLP")</f>
        <v>CRLP</v>
      </c>
      <c r="N9" s="38" t="str">
        <f ca="1">IFERROR(__xludf.DUMMYFUNCTION("""COMPUTED_VALUE"""),"Fachero")</f>
        <v>Fachero</v>
      </c>
      <c r="O9" s="38" t="str">
        <f ca="1">IFERROR(__xludf.DUMMYFUNCTION("""COMPUTED_VALUE"""),"ILCA 7")</f>
        <v>ILCA 7</v>
      </c>
      <c r="P9" s="38"/>
      <c r="Q9" s="38">
        <f ca="1">IFERROR(__xludf.DUMMYFUNCTION("""COMPUTED_VALUE"""),211981)</f>
        <v>211981</v>
      </c>
      <c r="R9" s="38"/>
      <c r="S9" s="38"/>
      <c r="T9" s="38"/>
      <c r="U9" s="38"/>
      <c r="V9" s="38"/>
      <c r="W9" s="38"/>
      <c r="X9" s="38"/>
      <c r="Y9" s="38"/>
      <c r="Z9" s="38" t="str">
        <f ca="1">IFERROR(__xludf.DUMMYFUNCTION("""COMPUTED_VALUE"""),"Si")</f>
        <v>Si</v>
      </c>
      <c r="AA9" s="6" t="str">
        <f ca="1">IFERROR(__xludf.DUMMYFUNCTION("""COMPUTED_VALUE"""),"Acepto")</f>
        <v>Acepto</v>
      </c>
      <c r="AB9" s="38" t="str">
        <f ca="1">IFERROR(__xludf.DUMMYFUNCTION("""COMPUTED_VALUE"""),"Terminado")</f>
        <v>Terminado</v>
      </c>
      <c r="AC9" s="6">
        <f ca="1">IFERROR(__xludf.DUMMYFUNCTION("""COMPUTED_VALUE"""),45000)</f>
        <v>45000</v>
      </c>
      <c r="AD9" s="38" t="str">
        <f ca="1">IFERROR(__xludf.DUMMYFUNCTION("""COMPUTED_VALUE"""),"205121/205509")</f>
        <v>205121/205509</v>
      </c>
      <c r="AE9" s="38" t="str">
        <f ca="1">IFERROR(__xludf.DUMMYFUNCTION("""COMPUTED_VALUE"""),"TRF 30-08 y 05-09")</f>
        <v>TRF 30-08 y 05-09</v>
      </c>
      <c r="AF9" s="38"/>
      <c r="AG9" s="38"/>
    </row>
    <row r="10" spans="1:33" ht="13.2">
      <c r="B10" s="68">
        <f ca="1">IFERROR(__xludf.DUMMYFUNCTION("""COMPUTED_VALUE"""),45540.555867037)</f>
        <v>45540.555867037001</v>
      </c>
      <c r="C10" s="36" t="str">
        <f ca="1">IFERROR(__xludf.DUMMYFUNCTION("""COMPUTED_VALUE"""),"Andres")</f>
        <v>Andres</v>
      </c>
      <c r="D10" s="36" t="str">
        <f ca="1">IFERROR(__xludf.DUMMYFUNCTION("""COMPUTED_VALUE"""),"Heredia")</f>
        <v>Heredia</v>
      </c>
      <c r="E10" s="36" t="str">
        <f ca="1">IFERROR(__xludf.DUMMYFUNCTION("""COMPUTED_VALUE"""),"Buenos Aires")</f>
        <v>Buenos Aires</v>
      </c>
      <c r="F10" s="6" t="str">
        <f ca="1">IFERROR(__xludf.DUMMYFUNCTION("""COMPUTED_VALUE"""),"ARG")</f>
        <v>ARG</v>
      </c>
      <c r="G10" s="6">
        <f ca="1">IFERROR(__xludf.DUMMYFUNCTION("""COMPUTED_VALUE"""),30368109)</f>
        <v>30368109</v>
      </c>
      <c r="H10" s="37">
        <f ca="1">IFERROR(__xludf.DUMMYFUNCTION("""COMPUTED_VALUE"""),30473)</f>
        <v>30473</v>
      </c>
      <c r="I10" s="38" t="str">
        <f ca="1">IFERROR(__xludf.DUMMYFUNCTION("""COMPUTED_VALUE"""),"+5491161347543")</f>
        <v>+5491161347543</v>
      </c>
      <c r="J10" s="38" t="str">
        <f ca="1">IFERROR(__xludf.DUMMYFUNCTION("""COMPUTED_VALUE"""),"+5491161347543")</f>
        <v>+5491161347543</v>
      </c>
      <c r="K10" s="38" t="str">
        <f ca="1">IFERROR(__xludf.DUMMYFUNCTION("""COMPUTED_VALUE"""),"flotalaser@gmail.com")</f>
        <v>flotalaser@gmail.com</v>
      </c>
      <c r="L10" s="38" t="str">
        <f ca="1">IFERROR(__xludf.DUMMYFUNCTION("""COMPUTED_VALUE"""),"Masculino")</f>
        <v>Masculino</v>
      </c>
      <c r="M10" s="38" t="str">
        <f ca="1">IFERROR(__xludf.DUMMYFUNCTION("""COMPUTED_VALUE"""),"YCO")</f>
        <v>YCO</v>
      </c>
      <c r="N10" s="38" t="str">
        <f ca="1">IFERROR(__xludf.DUMMYFUNCTION("""COMPUTED_VALUE"""),"Master (ILCA)")</f>
        <v>Master (ILCA)</v>
      </c>
      <c r="O10" s="38" t="str">
        <f ca="1">IFERROR(__xludf.DUMMYFUNCTION("""COMPUTED_VALUE"""),"ILCA 7")</f>
        <v>ILCA 7</v>
      </c>
      <c r="P10" s="38"/>
      <c r="Q10" s="38">
        <f ca="1">IFERROR(__xludf.DUMMYFUNCTION("""COMPUTED_VALUE"""),202660)</f>
        <v>202660</v>
      </c>
      <c r="R10" s="38"/>
      <c r="S10" s="38"/>
      <c r="T10" s="38"/>
      <c r="U10" s="38"/>
      <c r="V10" s="38"/>
      <c r="W10" s="38"/>
      <c r="X10" s="38"/>
      <c r="Y10" s="38" t="str">
        <f ca="1">IFERROR(__xludf.DUMMYFUNCTION("""COMPUTED_VALUE"""),"OSDE")</f>
        <v>OSDE</v>
      </c>
      <c r="Z10" s="38" t="str">
        <f ca="1">IFERROR(__xludf.DUMMYFUNCTION("""COMPUTED_VALUE"""),"Si")</f>
        <v>Si</v>
      </c>
      <c r="AA10" s="6" t="str">
        <f ca="1">IFERROR(__xludf.DUMMYFUNCTION("""COMPUTED_VALUE"""),"Acepto")</f>
        <v>Acepto</v>
      </c>
      <c r="AB10" s="38" t="str">
        <f ca="1">IFERROR(__xludf.DUMMYFUNCTION("""COMPUTED_VALUE"""),"Terminado")</f>
        <v>Terminado</v>
      </c>
      <c r="AC10" s="6">
        <f ca="1">IFERROR(__xludf.DUMMYFUNCTION("""COMPUTED_VALUE"""),45000)</f>
        <v>45000</v>
      </c>
      <c r="AD10" s="38">
        <f ca="1">IFERROR(__xludf.DUMMYFUNCTION("""COMPUTED_VALUE"""),205479)</f>
        <v>205479</v>
      </c>
      <c r="AE10" s="38" t="str">
        <f ca="1">IFERROR(__xludf.DUMMYFUNCTION("""COMPUTED_VALUE"""),"TRF 05-09")</f>
        <v>TRF 05-09</v>
      </c>
      <c r="AF10" s="38"/>
      <c r="AG10" s="38"/>
    </row>
    <row r="11" spans="1:33" ht="13.2">
      <c r="B11" s="68">
        <f ca="1">IFERROR(__xludf.DUMMYFUNCTION("""COMPUTED_VALUE"""),45533.7052874189)</f>
        <v>45533.705287418903</v>
      </c>
      <c r="C11" s="36" t="str">
        <f ca="1">IFERROR(__xludf.DUMMYFUNCTION("""COMPUTED_VALUE"""),"Agustín ")</f>
        <v xml:space="preserve">Agustín </v>
      </c>
      <c r="D11" s="36" t="str">
        <f ca="1">IFERROR(__xludf.DUMMYFUNCTION("""COMPUTED_VALUE"""),"Pascual")</f>
        <v>Pascual</v>
      </c>
      <c r="E11" s="36" t="str">
        <f ca="1">IFERROR(__xludf.DUMMYFUNCTION("""COMPUTED_VALUE"""),"Caba")</f>
        <v>Caba</v>
      </c>
      <c r="F11" s="6" t="str">
        <f ca="1">IFERROR(__xludf.DUMMYFUNCTION("""COMPUTED_VALUE"""),"ARG")</f>
        <v>ARG</v>
      </c>
      <c r="G11" s="6">
        <f ca="1">IFERROR(__xludf.DUMMYFUNCTION("""COMPUTED_VALUE"""),34263472)</f>
        <v>34263472</v>
      </c>
      <c r="H11" s="37">
        <f ca="1">IFERROR(__xludf.DUMMYFUNCTION("""COMPUTED_VALUE"""),32573)</f>
        <v>32573</v>
      </c>
      <c r="I11" s="38">
        <f ca="1">IFERROR(__xludf.DUMMYFUNCTION("""COMPUTED_VALUE"""),1135012888)</f>
        <v>1135012888</v>
      </c>
      <c r="J11" s="38"/>
      <c r="K11" s="38" t="str">
        <f ca="1">IFERROR(__xludf.DUMMYFUNCTION("""COMPUTED_VALUE"""),"juan_agustin09@hotmail.com")</f>
        <v>juan_agustin09@hotmail.com</v>
      </c>
      <c r="L11" s="38" t="str">
        <f ca="1">IFERROR(__xludf.DUMMYFUNCTION("""COMPUTED_VALUE"""),"Masculino")</f>
        <v>Masculino</v>
      </c>
      <c r="M11" s="38" t="str">
        <f ca="1">IFERROR(__xludf.DUMMYFUNCTION("""COMPUTED_VALUE"""),"YCO")</f>
        <v>YCO</v>
      </c>
      <c r="N11" s="38"/>
      <c r="O11" s="38" t="str">
        <f ca="1">IFERROR(__xludf.DUMMYFUNCTION("""COMPUTED_VALUE"""),"ILCA 7")</f>
        <v>ILCA 7</v>
      </c>
      <c r="P11" s="38"/>
      <c r="Q11" s="38">
        <f ca="1">IFERROR(__xludf.DUMMYFUNCTION("""COMPUTED_VALUE"""),218079)</f>
        <v>218079</v>
      </c>
      <c r="R11" s="38"/>
      <c r="S11" s="38"/>
      <c r="T11" s="38"/>
      <c r="U11" s="38"/>
      <c r="V11" s="38"/>
      <c r="W11" s="38"/>
      <c r="X11" s="38"/>
      <c r="Y11" s="38"/>
      <c r="Z11" s="38" t="str">
        <f ca="1">IFERROR(__xludf.DUMMYFUNCTION("""COMPUTED_VALUE"""),"Si")</f>
        <v>Si</v>
      </c>
      <c r="AA11" s="6" t="str">
        <f ca="1">IFERROR(__xludf.DUMMYFUNCTION("""COMPUTED_VALUE"""),"Acepto")</f>
        <v>Acepto</v>
      </c>
      <c r="AB11" s="38" t="str">
        <f ca="1">IFERROR(__xludf.DUMMYFUNCTION("""COMPUTED_VALUE"""),"Pendiente")</f>
        <v>Pendiente</v>
      </c>
      <c r="AC11" s="6"/>
      <c r="AD11" s="38"/>
      <c r="AE11" s="38"/>
      <c r="AF11" s="38"/>
      <c r="AG11" s="38"/>
    </row>
    <row r="12" spans="1:33" ht="13.2">
      <c r="B12" s="68">
        <f ca="1">IFERROR(__xludf.DUMMYFUNCTION("""COMPUTED_VALUE"""),45535.6483094212)</f>
        <v>45535.648309421202</v>
      </c>
      <c r="C12" s="36" t="str">
        <f ca="1">IFERROR(__xludf.DUMMYFUNCTION("""COMPUTED_VALUE"""),"Pedro Paulo")</f>
        <v>Pedro Paulo</v>
      </c>
      <c r="D12" s="36" t="str">
        <f ca="1">IFERROR(__xludf.DUMMYFUNCTION("""COMPUTED_VALUE"""),"Pinto")</f>
        <v>Pinto</v>
      </c>
      <c r="E12" s="36" t="str">
        <f ca="1">IFERROR(__xludf.DUMMYFUNCTION("""COMPUTED_VALUE"""),"Buenos Aires")</f>
        <v>Buenos Aires</v>
      </c>
      <c r="F12" s="6" t="str">
        <f ca="1">IFERROR(__xludf.DUMMYFUNCTION("""COMPUTED_VALUE"""),"ARG")</f>
        <v>ARG</v>
      </c>
      <c r="G12" s="6">
        <f ca="1">IFERROR(__xludf.DUMMYFUNCTION("""COMPUTED_VALUE"""),51705498)</f>
        <v>51705498</v>
      </c>
      <c r="H12" s="37">
        <f ca="1">IFERROR(__xludf.DUMMYFUNCTION("""COMPUTED_VALUE"""),36770)</f>
        <v>36770</v>
      </c>
      <c r="I12" s="38">
        <f ca="1">IFERROR(__xludf.DUMMYFUNCTION("""COMPUTED_VALUE"""),1168550109)</f>
        <v>1168550109</v>
      </c>
      <c r="J12" s="38">
        <f ca="1">IFERROR(__xludf.DUMMYFUNCTION("""COMPUTED_VALUE"""),1163044368)</f>
        <v>1163044368</v>
      </c>
      <c r="K12" s="38" t="str">
        <f ca="1">IFERROR(__xludf.DUMMYFUNCTION("""COMPUTED_VALUE"""),"pinto0pedro1paulo9@gmail.com")</f>
        <v>pinto0pedro1paulo9@gmail.com</v>
      </c>
      <c r="L12" s="38" t="str">
        <f ca="1">IFERROR(__xludf.DUMMYFUNCTION("""COMPUTED_VALUE"""),"Masculino")</f>
        <v>Masculino</v>
      </c>
      <c r="M12" s="38" t="str">
        <f ca="1">IFERROR(__xludf.DUMMYFUNCTION("""COMPUTED_VALUE"""),"CNSI-Cvsi")</f>
        <v>CNSI-Cvsi</v>
      </c>
      <c r="N12" s="38" t="str">
        <f ca="1">IFERROR(__xludf.DUMMYFUNCTION("""COMPUTED_VALUE"""),"Senior")</f>
        <v>Senior</v>
      </c>
      <c r="O12" s="38" t="str">
        <f ca="1">IFERROR(__xludf.DUMMYFUNCTION("""COMPUTED_VALUE"""),"ILCA 7")</f>
        <v>ILCA 7</v>
      </c>
      <c r="P12" s="38" t="str">
        <f ca="1">IFERROR(__xludf.DUMMYFUNCTION("""COMPUTED_VALUE"""),"-")</f>
        <v>-</v>
      </c>
      <c r="Q12" s="38">
        <f ca="1">IFERROR(__xludf.DUMMYFUNCTION("""COMPUTED_VALUE"""),202572)</f>
        <v>202572</v>
      </c>
      <c r="R12" s="38" t="str">
        <f ca="1">IFERROR(__xludf.DUMMYFUNCTION("""COMPUTED_VALUE"""),"-")</f>
        <v>-</v>
      </c>
      <c r="S12" s="38"/>
      <c r="T12" s="38"/>
      <c r="U12" s="38"/>
      <c r="V12" s="38"/>
      <c r="W12" s="38"/>
      <c r="X12" s="38"/>
      <c r="Y12" s="38" t="str">
        <f ca="1">IFERROR(__xludf.DUMMYFUNCTION("""COMPUTED_VALUE"""),"Colegio Escribanos Provincia de Buenos Aires")</f>
        <v>Colegio Escribanos Provincia de Buenos Aires</v>
      </c>
      <c r="Z12" s="38" t="str">
        <f ca="1">IFERROR(__xludf.DUMMYFUNCTION("""COMPUTED_VALUE"""),"Si")</f>
        <v>Si</v>
      </c>
      <c r="AA12" s="6" t="str">
        <f ca="1">IFERROR(__xludf.DUMMYFUNCTION("""COMPUTED_VALUE"""),"Acepto")</f>
        <v>Acepto</v>
      </c>
      <c r="AB12" s="38" t="str">
        <f ca="1">IFERROR(__xludf.DUMMYFUNCTION("""COMPUTED_VALUE"""),"Pendiente")</f>
        <v>Pendiente</v>
      </c>
      <c r="AC12" s="6"/>
      <c r="AD12" s="38"/>
      <c r="AE12" s="38"/>
      <c r="AF12" s="38"/>
      <c r="AG12" s="38"/>
    </row>
    <row r="13" spans="1:33" ht="13.2">
      <c r="B13" s="68">
        <f ca="1">IFERROR(__xludf.DUMMYFUNCTION("""COMPUTED_VALUE"""),45535.6680183101)</f>
        <v>45535.668018310098</v>
      </c>
      <c r="C13" s="36" t="str">
        <f ca="1">IFERROR(__xludf.DUMMYFUNCTION("""COMPUTED_VALUE"""),"Pedro Paulo")</f>
        <v>Pedro Paulo</v>
      </c>
      <c r="D13" s="36" t="str">
        <f ca="1">IFERROR(__xludf.DUMMYFUNCTION("""COMPUTED_VALUE"""),"Pinto")</f>
        <v>Pinto</v>
      </c>
      <c r="E13" s="36" t="str">
        <f ca="1">IFERROR(__xludf.DUMMYFUNCTION("""COMPUTED_VALUE"""),"Buenos Aires")</f>
        <v>Buenos Aires</v>
      </c>
      <c r="F13" s="6" t="str">
        <f ca="1">IFERROR(__xludf.DUMMYFUNCTION("""COMPUTED_VALUE"""),"ARG")</f>
        <v>ARG</v>
      </c>
      <c r="G13" s="6">
        <f ca="1">IFERROR(__xludf.DUMMYFUNCTION("""COMPUTED_VALUE"""),51705498)</f>
        <v>51705498</v>
      </c>
      <c r="H13" s="37">
        <f ca="1">IFERROR(__xludf.DUMMYFUNCTION("""COMPUTED_VALUE"""),36770)</f>
        <v>36770</v>
      </c>
      <c r="I13" s="38">
        <f ca="1">IFERROR(__xludf.DUMMYFUNCTION("""COMPUTED_VALUE"""),1168550109)</f>
        <v>1168550109</v>
      </c>
      <c r="J13" s="38"/>
      <c r="K13" s="38" t="str">
        <f ca="1">IFERROR(__xludf.DUMMYFUNCTION("""COMPUTED_VALUE"""),"pinto0pedro1paulo9@gmail.com")</f>
        <v>pinto0pedro1paulo9@gmail.com</v>
      </c>
      <c r="L13" s="38" t="str">
        <f ca="1">IFERROR(__xludf.DUMMYFUNCTION("""COMPUTED_VALUE"""),"Masculino")</f>
        <v>Masculino</v>
      </c>
      <c r="M13" s="38" t="str">
        <f ca="1">IFERROR(__xludf.DUMMYFUNCTION("""COMPUTED_VALUE"""),"CNSI-Cvsi")</f>
        <v>CNSI-Cvsi</v>
      </c>
      <c r="N13" s="38" t="str">
        <f ca="1">IFERROR(__xludf.DUMMYFUNCTION("""COMPUTED_VALUE"""),"senior")</f>
        <v>senior</v>
      </c>
      <c r="O13" s="38" t="str">
        <f ca="1">IFERROR(__xludf.DUMMYFUNCTION("""COMPUTED_VALUE"""),"ILCA 7")</f>
        <v>ILCA 7</v>
      </c>
      <c r="P13" s="38"/>
      <c r="Q13" s="38">
        <f ca="1">IFERROR(__xludf.DUMMYFUNCTION("""COMPUTED_VALUE"""),202572)</f>
        <v>202572</v>
      </c>
      <c r="R13" s="38"/>
      <c r="S13" s="38"/>
      <c r="T13" s="38"/>
      <c r="U13" s="38"/>
      <c r="V13" s="38"/>
      <c r="W13" s="38"/>
      <c r="X13" s="38"/>
      <c r="Y13" s="38" t="str">
        <f ca="1">IFERROR(__xludf.DUMMYFUNCTION("""COMPUTED_VALUE"""),"Colegio Escribanos Provincia BsAs")</f>
        <v>Colegio Escribanos Provincia BsAs</v>
      </c>
      <c r="Z13" s="38" t="str">
        <f ca="1">IFERROR(__xludf.DUMMYFUNCTION("""COMPUTED_VALUE"""),"Si")</f>
        <v>Si</v>
      </c>
      <c r="AA13" s="6" t="str">
        <f ca="1">IFERROR(__xludf.DUMMYFUNCTION("""COMPUTED_VALUE"""),"Acepto")</f>
        <v>Acepto</v>
      </c>
      <c r="AB13" s="38" t="str">
        <f ca="1">IFERROR(__xludf.DUMMYFUNCTION("""COMPUTED_VALUE"""),"Repetido")</f>
        <v>Repetido</v>
      </c>
      <c r="AC13" s="6"/>
      <c r="AD13" s="38"/>
      <c r="AE13" s="38"/>
      <c r="AF13" s="38"/>
      <c r="AG13" s="38"/>
    </row>
    <row r="14" spans="1:33" ht="13.2">
      <c r="B14" s="68">
        <f ca="1">IFERROR(__xludf.DUMMYFUNCTION("""COMPUTED_VALUE"""),45535.4935211805)</f>
        <v>45535.493521180499</v>
      </c>
      <c r="C14" s="36" t="str">
        <f ca="1">IFERROR(__xludf.DUMMYFUNCTION("""COMPUTED_VALUE"""),"Pedro")</f>
        <v>Pedro</v>
      </c>
      <c r="D14" s="36" t="str">
        <f ca="1">IFERROR(__xludf.DUMMYFUNCTION("""COMPUTED_VALUE"""),"Rodriguez Reynoso")</f>
        <v>Rodriguez Reynoso</v>
      </c>
      <c r="E14" s="36" t="str">
        <f ca="1">IFERROR(__xludf.DUMMYFUNCTION("""COMPUTED_VALUE"""),"Buenos aires")</f>
        <v>Buenos aires</v>
      </c>
      <c r="F14" s="6" t="str">
        <f ca="1">IFERROR(__xludf.DUMMYFUNCTION("""COMPUTED_VALUE"""),"ARG")</f>
        <v>ARG</v>
      </c>
      <c r="G14" s="6">
        <f ca="1">IFERROR(__xludf.DUMMYFUNCTION("""COMPUTED_VALUE"""),47436764)</f>
        <v>47436764</v>
      </c>
      <c r="H14" s="37">
        <f ca="1">IFERROR(__xludf.DUMMYFUNCTION("""COMPUTED_VALUE"""),38945)</f>
        <v>38945</v>
      </c>
      <c r="I14" s="38">
        <f ca="1">IFERROR(__xludf.DUMMYFUNCTION("""COMPUTED_VALUE"""),1159460039)</f>
        <v>1159460039</v>
      </c>
      <c r="J14" s="38">
        <f ca="1">IFERROR(__xludf.DUMMYFUNCTION("""COMPUTED_VALUE"""),1151832001)</f>
        <v>1151832001</v>
      </c>
      <c r="K14" s="38" t="str">
        <f ca="1">IFERROR(__xludf.DUMMYFUNCTION("""COMPUTED_VALUE"""),"pedrorodriguezreynoso54@gmail.com")</f>
        <v>pedrorodriguezreynoso54@gmail.com</v>
      </c>
      <c r="L14" s="38" t="str">
        <f ca="1">IFERROR(__xludf.DUMMYFUNCTION("""COMPUTED_VALUE"""),"Masculino")</f>
        <v>Masculino</v>
      </c>
      <c r="M14" s="38" t="str">
        <f ca="1">IFERROR(__xludf.DUMMYFUNCTION("""COMPUTED_VALUE"""),"CNO")</f>
        <v>CNO</v>
      </c>
      <c r="N14" s="38" t="str">
        <f ca="1">IFERROR(__xludf.DUMMYFUNCTION("""COMPUTED_VALUE"""),"U21")</f>
        <v>U21</v>
      </c>
      <c r="O14" s="38" t="str">
        <f ca="1">IFERROR(__xludf.DUMMYFUNCTION("""COMPUTED_VALUE"""),"ILCA 7")</f>
        <v>ILCA 7</v>
      </c>
      <c r="P14" s="38" t="str">
        <f ca="1">IFERROR(__xludf.DUMMYFUNCTION("""COMPUTED_VALUE"""),".")</f>
        <v>.</v>
      </c>
      <c r="Q14" s="38">
        <f ca="1">IFERROR(__xludf.DUMMYFUNCTION("""COMPUTED_VALUE"""),219355)</f>
        <v>219355</v>
      </c>
      <c r="R14" s="38" t="str">
        <f ca="1">IFERROR(__xludf.DUMMYFUNCTION("""COMPUTED_VALUE"""),"Cruz diablo")</f>
        <v>Cruz diablo</v>
      </c>
      <c r="S14" s="38"/>
      <c r="T14" s="38"/>
      <c r="U14" s="38"/>
      <c r="V14" s="38"/>
      <c r="W14" s="38"/>
      <c r="X14" s="38"/>
      <c r="Y14" s="38" t="str">
        <f ca="1">IFERROR(__xludf.DUMMYFUNCTION("""COMPUTED_VALUE"""),"Swiss medical")</f>
        <v>Swiss medical</v>
      </c>
      <c r="Z14" s="38" t="str">
        <f ca="1">IFERROR(__xludf.DUMMYFUNCTION("""COMPUTED_VALUE"""),"No")</f>
        <v>No</v>
      </c>
      <c r="AA14" s="6" t="str">
        <f ca="1">IFERROR(__xludf.DUMMYFUNCTION("""COMPUTED_VALUE"""),"Acepto")</f>
        <v>Acepto</v>
      </c>
      <c r="AB14" s="38" t="str">
        <f ca="1">IFERROR(__xludf.DUMMYFUNCTION("""COMPUTED_VALUE"""),"Pendiente")</f>
        <v>Pendiente</v>
      </c>
      <c r="AC14" s="6"/>
      <c r="AD14" s="38"/>
      <c r="AE14" s="38"/>
      <c r="AF14" s="38"/>
      <c r="AG14" s="38"/>
    </row>
    <row r="15" spans="1:33" ht="13.2">
      <c r="B15" s="68">
        <f ca="1">IFERROR(__xludf.DUMMYFUNCTION("""COMPUTED_VALUE"""),45540.6187827199)</f>
        <v>45540.618782719903</v>
      </c>
      <c r="C15" s="36" t="str">
        <f ca="1">IFERROR(__xludf.DUMMYFUNCTION("""COMPUTED_VALUE"""),"Mariano")</f>
        <v>Mariano</v>
      </c>
      <c r="D15" s="36" t="str">
        <f ca="1">IFERROR(__xludf.DUMMYFUNCTION("""COMPUTED_VALUE"""),"Saul")</f>
        <v>Saul</v>
      </c>
      <c r="E15" s="36" t="str">
        <f ca="1">IFERROR(__xludf.DUMMYFUNCTION("""COMPUTED_VALUE"""),"Vicente Lopez")</f>
        <v>Vicente Lopez</v>
      </c>
      <c r="F15" s="6" t="str">
        <f ca="1">IFERROR(__xludf.DUMMYFUNCTION("""COMPUTED_VALUE"""),"ARG")</f>
        <v>ARG</v>
      </c>
      <c r="G15" s="6">
        <f ca="1">IFERROR(__xludf.DUMMYFUNCTION("""COMPUTED_VALUE"""),23374203)</f>
        <v>23374203</v>
      </c>
      <c r="H15" s="37">
        <f ca="1">IFERROR(__xludf.DUMMYFUNCTION("""COMPUTED_VALUE"""),26786)</f>
        <v>26786</v>
      </c>
      <c r="I15" s="38">
        <f ca="1">IFERROR(__xludf.DUMMYFUNCTION("""COMPUTED_VALUE"""),1557131286)</f>
        <v>1557131286</v>
      </c>
      <c r="J15" s="38">
        <f ca="1">IFERROR(__xludf.DUMMYFUNCTION("""COMPUTED_VALUE"""),1563668146)</f>
        <v>1563668146</v>
      </c>
      <c r="K15" s="38" t="str">
        <f ca="1">IFERROR(__xludf.DUMMYFUNCTION("""COMPUTED_VALUE"""),"mariguard02@yahoo.com.ar")</f>
        <v>mariguard02@yahoo.com.ar</v>
      </c>
      <c r="L15" s="38" t="str">
        <f ca="1">IFERROR(__xludf.DUMMYFUNCTION("""COMPUTED_VALUE"""),"Masculino")</f>
        <v>Masculino</v>
      </c>
      <c r="M15" s="38" t="str">
        <f ca="1">IFERROR(__xludf.DUMMYFUNCTION("""COMPUTED_VALUE"""),"YCO")</f>
        <v>YCO</v>
      </c>
      <c r="N15" s="38" t="str">
        <f ca="1">IFERROR(__xludf.DUMMYFUNCTION("""COMPUTED_VALUE"""),"Master (ILCA)")</f>
        <v>Master (ILCA)</v>
      </c>
      <c r="O15" s="38" t="str">
        <f ca="1">IFERROR(__xludf.DUMMYFUNCTION("""COMPUTED_VALUE"""),"ILCA 7")</f>
        <v>ILCA 7</v>
      </c>
      <c r="P15" s="38"/>
      <c r="Q15" s="38">
        <f ca="1">IFERROR(__xludf.DUMMYFUNCTION("""COMPUTED_VALUE"""),211981)</f>
        <v>211981</v>
      </c>
      <c r="R15" s="38"/>
      <c r="S15" s="38"/>
      <c r="T15" s="38"/>
      <c r="U15" s="38"/>
      <c r="V15" s="38"/>
      <c r="W15" s="38"/>
      <c r="X15" s="38"/>
      <c r="Y15" s="38"/>
      <c r="Z15" s="38" t="str">
        <f ca="1">IFERROR(__xludf.DUMMYFUNCTION("""COMPUTED_VALUE"""),"Si")</f>
        <v>Si</v>
      </c>
      <c r="AA15" s="6" t="str">
        <f ca="1">IFERROR(__xludf.DUMMYFUNCTION("""COMPUTED_VALUE"""),"Acepto")</f>
        <v>Acepto</v>
      </c>
      <c r="AB15" s="38" t="str">
        <f ca="1">IFERROR(__xludf.DUMMYFUNCTION("""COMPUTED_VALUE"""),"Pendiente")</f>
        <v>Pendiente</v>
      </c>
      <c r="AC15" s="6"/>
      <c r="AD15" s="38"/>
      <c r="AE15" s="38"/>
      <c r="AF15" s="38"/>
      <c r="AG15" s="38"/>
    </row>
    <row r="16" spans="1:33" ht="13.2">
      <c r="B16" s="68">
        <f ca="1">IFERROR(__xludf.DUMMYFUNCTION("""COMPUTED_VALUE"""),45534.7200884143)</f>
        <v>45534.720088414302</v>
      </c>
      <c r="C16" s="36" t="str">
        <f ca="1">IFERROR(__xludf.DUMMYFUNCTION("""COMPUTED_VALUE"""),"ramiro")</f>
        <v>ramiro</v>
      </c>
      <c r="D16" s="36" t="str">
        <f ca="1">IFERROR(__xludf.DUMMYFUNCTION("""COMPUTED_VALUE"""),"Suarez Fabbro")</f>
        <v>Suarez Fabbro</v>
      </c>
      <c r="E16" s="36" t="str">
        <f ca="1">IFERROR(__xludf.DUMMYFUNCTION("""COMPUTED_VALUE"""),"cordoba")</f>
        <v>cordoba</v>
      </c>
      <c r="F16" s="6" t="str">
        <f ca="1">IFERROR(__xludf.DUMMYFUNCTION("""COMPUTED_VALUE"""),"ARG")</f>
        <v>ARG</v>
      </c>
      <c r="G16" s="6">
        <f ca="1">IFERROR(__xludf.DUMMYFUNCTION("""COMPUTED_VALUE"""),43142102)</f>
        <v>43142102</v>
      </c>
      <c r="H16" s="37">
        <f ca="1">IFERROR(__xludf.DUMMYFUNCTION("""COMPUTED_VALUE"""),36864)</f>
        <v>36864</v>
      </c>
      <c r="I16" s="38">
        <f ca="1">IFERROR(__xludf.DUMMYFUNCTION("""COMPUTED_VALUE"""),3512025971)</f>
        <v>3512025971</v>
      </c>
      <c r="J16" s="38">
        <f ca="1">IFERROR(__xludf.DUMMYFUNCTION("""COMPUTED_VALUE"""),3512025968)</f>
        <v>3512025968</v>
      </c>
      <c r="K16" s="38" t="str">
        <f ca="1">IFERROR(__xludf.DUMMYFUNCTION("""COMPUTED_VALUE"""),"Rsuarezfabbro@gmail.com")</f>
        <v>Rsuarezfabbro@gmail.com</v>
      </c>
      <c r="L16" s="38" t="str">
        <f ca="1">IFERROR(__xludf.DUMMYFUNCTION("""COMPUTED_VALUE"""),"Masculino")</f>
        <v>Masculino</v>
      </c>
      <c r="M16" s="38" t="str">
        <f ca="1">IFERROR(__xludf.DUMMYFUNCTION("""COMPUTED_VALUE"""),"CNC")</f>
        <v>CNC</v>
      </c>
      <c r="N16" s="38" t="str">
        <f ca="1">IFERROR(__xludf.DUMMYFUNCTION("""COMPUTED_VALUE"""),"senior")</f>
        <v>senior</v>
      </c>
      <c r="O16" s="38" t="str">
        <f ca="1">IFERROR(__xludf.DUMMYFUNCTION("""COMPUTED_VALUE"""),"ILCA 7")</f>
        <v>ILCA 7</v>
      </c>
      <c r="P16" s="38"/>
      <c r="Q16" s="38">
        <f ca="1">IFERROR(__xludf.DUMMYFUNCTION("""COMPUTED_VALUE"""),203212)</f>
        <v>203212</v>
      </c>
      <c r="R16" s="38"/>
      <c r="S16" s="38"/>
      <c r="T16" s="38"/>
      <c r="U16" s="38"/>
      <c r="V16" s="38"/>
      <c r="W16" s="38"/>
      <c r="X16" s="38"/>
      <c r="Y16" s="38" t="str">
        <f ca="1">IFERROR(__xludf.DUMMYFUNCTION("""COMPUTED_VALUE"""),"DASPU")</f>
        <v>DASPU</v>
      </c>
      <c r="Z16" s="38" t="str">
        <f ca="1">IFERROR(__xludf.DUMMYFUNCTION("""COMPUTED_VALUE"""),"No")</f>
        <v>No</v>
      </c>
      <c r="AA16" s="6" t="str">
        <f ca="1">IFERROR(__xludf.DUMMYFUNCTION("""COMPUTED_VALUE"""),"Acepto")</f>
        <v>Acepto</v>
      </c>
      <c r="AB16" s="38" t="str">
        <f ca="1">IFERROR(__xludf.DUMMYFUNCTION("""COMPUTED_VALUE"""),"Repetido")</f>
        <v>Repetido</v>
      </c>
      <c r="AC16" s="6"/>
      <c r="AD16" s="38"/>
      <c r="AE16" s="38"/>
      <c r="AF16" s="38"/>
      <c r="AG16" s="38"/>
    </row>
    <row r="17" spans="2:33" ht="13.2">
      <c r="B17" s="68">
        <f ca="1">IFERROR(__xludf.DUMMYFUNCTION("""COMPUTED_VALUE"""),45534.7263531481)</f>
        <v>45534.7263531481</v>
      </c>
      <c r="C17" s="36" t="str">
        <f ca="1">IFERROR(__xludf.DUMMYFUNCTION("""COMPUTED_VALUE"""),"Ramiro")</f>
        <v>Ramiro</v>
      </c>
      <c r="D17" s="36" t="str">
        <f ca="1">IFERROR(__xludf.DUMMYFUNCTION("""COMPUTED_VALUE"""),"Suarez Fabbro")</f>
        <v>Suarez Fabbro</v>
      </c>
      <c r="E17" s="36" t="str">
        <f ca="1">IFERROR(__xludf.DUMMYFUNCTION("""COMPUTED_VALUE"""),"Córdoba")</f>
        <v>Córdoba</v>
      </c>
      <c r="F17" s="6" t="str">
        <f ca="1">IFERROR(__xludf.DUMMYFUNCTION("""COMPUTED_VALUE"""),"ARG")</f>
        <v>ARG</v>
      </c>
      <c r="G17" s="6">
        <f ca="1">IFERROR(__xludf.DUMMYFUNCTION("""COMPUTED_VALUE"""),43142102)</f>
        <v>43142102</v>
      </c>
      <c r="H17" s="37">
        <f ca="1">IFERROR(__xludf.DUMMYFUNCTION("""COMPUTED_VALUE"""),36864)</f>
        <v>36864</v>
      </c>
      <c r="I17" s="38">
        <f ca="1">IFERROR(__xludf.DUMMYFUNCTION("""COMPUTED_VALUE"""),3512025971)</f>
        <v>3512025971</v>
      </c>
      <c r="J17" s="38">
        <f ca="1">IFERROR(__xludf.DUMMYFUNCTION("""COMPUTED_VALUE"""),3512025968)</f>
        <v>3512025968</v>
      </c>
      <c r="K17" s="38" t="str">
        <f ca="1">IFERROR(__xludf.DUMMYFUNCTION("""COMPUTED_VALUE"""),"rsuarezfabbro@gmail.com")</f>
        <v>rsuarezfabbro@gmail.com</v>
      </c>
      <c r="L17" s="38" t="str">
        <f ca="1">IFERROR(__xludf.DUMMYFUNCTION("""COMPUTED_VALUE"""),"Masculino")</f>
        <v>Masculino</v>
      </c>
      <c r="M17" s="38" t="str">
        <f ca="1">IFERROR(__xludf.DUMMYFUNCTION("""COMPUTED_VALUE"""),"CNC")</f>
        <v>CNC</v>
      </c>
      <c r="N17" s="38" t="str">
        <f ca="1">IFERROR(__xludf.DUMMYFUNCTION("""COMPUTED_VALUE"""),"SENIOR")</f>
        <v>SENIOR</v>
      </c>
      <c r="O17" s="38" t="str">
        <f ca="1">IFERROR(__xludf.DUMMYFUNCTION("""COMPUTED_VALUE"""),"ILCA 7")</f>
        <v>ILCA 7</v>
      </c>
      <c r="P17" s="38"/>
      <c r="Q17" s="38">
        <f ca="1">IFERROR(__xludf.DUMMYFUNCTION("""COMPUTED_VALUE"""),203212)</f>
        <v>203212</v>
      </c>
      <c r="R17" s="38"/>
      <c r="S17" s="38"/>
      <c r="T17" s="38"/>
      <c r="U17" s="38"/>
      <c r="V17" s="38"/>
      <c r="W17" s="38"/>
      <c r="X17" s="38"/>
      <c r="Y17" s="38" t="str">
        <f ca="1">IFERROR(__xludf.DUMMYFUNCTION("""COMPUTED_VALUE"""),"DASPU")</f>
        <v>DASPU</v>
      </c>
      <c r="Z17" s="38" t="str">
        <f ca="1">IFERROR(__xludf.DUMMYFUNCTION("""COMPUTED_VALUE"""),"No")</f>
        <v>No</v>
      </c>
      <c r="AA17" s="6" t="str">
        <f ca="1">IFERROR(__xludf.DUMMYFUNCTION("""COMPUTED_VALUE"""),"Acepto")</f>
        <v>Acepto</v>
      </c>
      <c r="AB17" s="38" t="str">
        <f ca="1">IFERROR(__xludf.DUMMYFUNCTION("""COMPUTED_VALUE"""),"Terminado")</f>
        <v>Terminado</v>
      </c>
      <c r="AC17" s="6">
        <f ca="1">IFERROR(__xludf.DUMMYFUNCTION("""COMPUTED_VALUE"""),38250)</f>
        <v>38250</v>
      </c>
      <c r="AD17" s="38">
        <f ca="1">IFERROR(__xludf.DUMMYFUNCTION("""COMPUTED_VALUE"""),205137)</f>
        <v>205137</v>
      </c>
      <c r="AE17" s="38" t="str">
        <f ca="1">IFERROR(__xludf.DUMMYFUNCTION("""COMPUTED_VALUE"""),"TRF 30-08")</f>
        <v>TRF 30-08</v>
      </c>
      <c r="AF17" s="38"/>
      <c r="AG17" s="38"/>
    </row>
    <row r="18" spans="2:33" ht="13.2">
      <c r="B18" s="68">
        <f ca="1">IFERROR(__xludf.DUMMYFUNCTION("""COMPUTED_VALUE"""),45541.4057839351)</f>
        <v>45541.405783935101</v>
      </c>
      <c r="C18" s="36" t="str">
        <f ca="1">IFERROR(__xludf.DUMMYFUNCTION("""COMPUTED_VALUE"""),"Thomas ")</f>
        <v xml:space="preserve">Thomas </v>
      </c>
      <c r="D18" s="36" t="str">
        <f ca="1">IFERROR(__xludf.DUMMYFUNCTION("""COMPUTED_VALUE"""),"Deho")</f>
        <v>Deho</v>
      </c>
      <c r="E18" s="36" t="str">
        <f ca="1">IFERROR(__xludf.DUMMYFUNCTION("""COMPUTED_VALUE"""),"Buenos Aires")</f>
        <v>Buenos Aires</v>
      </c>
      <c r="F18" s="6" t="str">
        <f ca="1">IFERROR(__xludf.DUMMYFUNCTION("""COMPUTED_VALUE"""),"ARG")</f>
        <v>ARG</v>
      </c>
      <c r="G18" s="6">
        <f ca="1">IFERROR(__xludf.DUMMYFUNCTION("""COMPUTED_VALUE"""),46958758)</f>
        <v>46958758</v>
      </c>
      <c r="H18" s="37">
        <f ca="1">IFERROR(__xludf.DUMMYFUNCTION("""COMPUTED_VALUE"""),38600)</f>
        <v>38600</v>
      </c>
      <c r="I18" s="38">
        <f ca="1">IFERROR(__xludf.DUMMYFUNCTION("""COMPUTED_VALUE"""),1169403645)</f>
        <v>1169403645</v>
      </c>
      <c r="J18" s="38">
        <f ca="1">IFERROR(__xludf.DUMMYFUNCTION("""COMPUTED_VALUE"""),1160965644)</f>
        <v>1160965644</v>
      </c>
      <c r="K18" s="38" t="str">
        <f ca="1">IFERROR(__xludf.DUMMYFUNCTION("""COMPUTED_VALUE"""),"thomasdeho@gmail.com")</f>
        <v>thomasdeho@gmail.com</v>
      </c>
      <c r="L18" s="38" t="str">
        <f ca="1">IFERROR(__xludf.DUMMYFUNCTION("""COMPUTED_VALUE"""),"Masculino")</f>
        <v>Masculino</v>
      </c>
      <c r="M18" s="38" t="str">
        <f ca="1">IFERROR(__xludf.DUMMYFUNCTION("""COMPUTED_VALUE"""),"CNA")</f>
        <v>CNA</v>
      </c>
      <c r="N18" s="38" t="str">
        <f ca="1">IFERROR(__xludf.DUMMYFUNCTION("""COMPUTED_VALUE"""),"Master (ILCA)")</f>
        <v>Master (ILCA)</v>
      </c>
      <c r="O18" s="38" t="str">
        <f ca="1">IFERROR(__xludf.DUMMYFUNCTION("""COMPUTED_VALUE"""),"ILCA 7")</f>
        <v>ILCA 7</v>
      </c>
      <c r="P18" s="38"/>
      <c r="Q18" s="38">
        <f ca="1">IFERROR(__xludf.DUMMYFUNCTION("""COMPUTED_VALUE"""),711)</f>
        <v>711</v>
      </c>
      <c r="R18" s="38"/>
      <c r="S18" s="38"/>
      <c r="T18" s="38"/>
      <c r="U18" s="38"/>
      <c r="V18" s="38"/>
      <c r="W18" s="38"/>
      <c r="X18" s="38"/>
      <c r="Y18" s="38"/>
      <c r="Z18" s="38" t="str">
        <f ca="1">IFERROR(__xludf.DUMMYFUNCTION("""COMPUTED_VALUE"""),"No")</f>
        <v>No</v>
      </c>
      <c r="AA18" s="6" t="str">
        <f ca="1">IFERROR(__xludf.DUMMYFUNCTION("""COMPUTED_VALUE"""),"Acepto")</f>
        <v>Acepto</v>
      </c>
      <c r="AB18" s="38" t="str">
        <f ca="1">IFERROR(__xludf.DUMMYFUNCTION("""COMPUTED_VALUE"""),"Pendiente")</f>
        <v>Pendiente</v>
      </c>
      <c r="AC18" s="6"/>
      <c r="AD18" s="38"/>
      <c r="AE18" s="38"/>
      <c r="AF18" s="38"/>
      <c r="AG18" s="38"/>
    </row>
    <row r="19" spans="2:33" ht="13.2">
      <c r="B19" s="85"/>
      <c r="C19" s="36"/>
      <c r="D19" s="36"/>
      <c r="E19" s="36"/>
      <c r="F19" s="6"/>
      <c r="G19" s="6"/>
      <c r="AA19" s="6"/>
      <c r="AC19" s="6"/>
    </row>
    <row r="20" spans="2:33" ht="13.2">
      <c r="B20" s="85"/>
      <c r="C20" s="36"/>
      <c r="D20" s="36"/>
      <c r="E20" s="36"/>
      <c r="F20" s="6"/>
      <c r="G20" s="6"/>
      <c r="AA20" s="6"/>
      <c r="AC20" s="6"/>
    </row>
    <row r="21" spans="2:33" ht="13.2">
      <c r="B21" s="85"/>
      <c r="C21" s="36"/>
      <c r="D21" s="36"/>
      <c r="E21" s="36"/>
      <c r="F21" s="6"/>
      <c r="G21" s="6"/>
      <c r="AA21" s="6"/>
      <c r="AC21" s="6"/>
    </row>
    <row r="22" spans="2:33" ht="13.2">
      <c r="B22" s="85"/>
      <c r="C22" s="36"/>
      <c r="D22" s="36"/>
      <c r="E22" s="36"/>
      <c r="F22" s="6"/>
      <c r="G22" s="6"/>
      <c r="AA22" s="6"/>
      <c r="AC22" s="6"/>
    </row>
    <row r="23" spans="2:33" ht="13.2">
      <c r="B23" s="85"/>
      <c r="C23" s="36"/>
      <c r="D23" s="36"/>
      <c r="E23" s="36"/>
      <c r="F23" s="6"/>
      <c r="G23" s="6"/>
      <c r="AA23" s="6"/>
      <c r="AC23" s="6"/>
    </row>
    <row r="24" spans="2:33" ht="13.2">
      <c r="B24" s="85"/>
      <c r="C24" s="36"/>
      <c r="D24" s="36"/>
      <c r="E24" s="36"/>
      <c r="F24" s="6"/>
      <c r="G24" s="6"/>
      <c r="AA24" s="6"/>
      <c r="AC24" s="6"/>
    </row>
    <row r="25" spans="2:33" ht="13.2">
      <c r="B25" s="85"/>
      <c r="C25" s="36"/>
      <c r="D25" s="36"/>
      <c r="E25" s="36"/>
      <c r="F25" s="6"/>
      <c r="G25" s="6"/>
      <c r="AA25" s="6"/>
      <c r="AC25" s="6"/>
    </row>
    <row r="26" spans="2:33" ht="13.2">
      <c r="B26" s="85"/>
      <c r="C26" s="36"/>
      <c r="D26" s="36"/>
      <c r="E26" s="36"/>
      <c r="F26" s="6"/>
      <c r="G26" s="6"/>
      <c r="AA26" s="6"/>
      <c r="AC26" s="6"/>
    </row>
    <row r="27" spans="2:33" ht="13.2">
      <c r="C27" s="36"/>
      <c r="D27" s="36"/>
      <c r="E27" s="36"/>
      <c r="F27" s="6"/>
      <c r="G27" s="6"/>
      <c r="AA27" s="6"/>
      <c r="AC27" s="6"/>
    </row>
    <row r="28" spans="2:33" ht="13.2">
      <c r="C28" s="36"/>
      <c r="D28" s="36"/>
      <c r="E28" s="36"/>
      <c r="F28" s="6"/>
      <c r="G28" s="6"/>
      <c r="AA28" s="6"/>
      <c r="AC28" s="6"/>
    </row>
    <row r="29" spans="2:33" ht="13.2">
      <c r="C29" s="36"/>
      <c r="D29" s="36"/>
      <c r="E29" s="36"/>
      <c r="F29" s="6"/>
      <c r="G29" s="6"/>
      <c r="AA29" s="6"/>
      <c r="AC29" s="6"/>
    </row>
    <row r="30" spans="2:33" ht="13.2">
      <c r="D30" s="6"/>
      <c r="E30" s="6"/>
      <c r="F30" s="6"/>
      <c r="G30" s="6"/>
      <c r="AA30" s="6"/>
      <c r="AC30" s="6"/>
    </row>
    <row r="31" spans="2:33" ht="13.2">
      <c r="D31" s="6"/>
      <c r="E31" s="6"/>
      <c r="F31" s="6"/>
      <c r="G31" s="6"/>
      <c r="AA31" s="6"/>
      <c r="AC31" s="6"/>
    </row>
    <row r="32" spans="2:33" ht="13.2">
      <c r="D32" s="6"/>
      <c r="E32" s="6"/>
      <c r="F32" s="6"/>
      <c r="G32" s="6"/>
      <c r="AA32" s="6"/>
      <c r="AC32" s="6"/>
    </row>
    <row r="33" spans="4:29" ht="13.2">
      <c r="D33" s="6"/>
      <c r="E33" s="6"/>
      <c r="F33" s="6"/>
      <c r="G33" s="6"/>
      <c r="AA33" s="6"/>
      <c r="AC33" s="6"/>
    </row>
    <row r="34" spans="4:29" ht="13.2">
      <c r="D34" s="6"/>
      <c r="E34" s="6"/>
      <c r="F34" s="6"/>
      <c r="G34" s="6"/>
      <c r="AA34" s="6"/>
      <c r="AC34" s="6"/>
    </row>
    <row r="35" spans="4:29" ht="13.2">
      <c r="D35" s="6"/>
      <c r="E35" s="6"/>
      <c r="F35" s="6"/>
      <c r="G35" s="6"/>
      <c r="AA35" s="6"/>
      <c r="AC35" s="6"/>
    </row>
    <row r="36" spans="4:29" ht="13.2">
      <c r="D36" s="6"/>
      <c r="E36" s="6"/>
      <c r="F36" s="6"/>
      <c r="G36" s="6"/>
      <c r="AA36" s="6"/>
      <c r="AC36" s="6"/>
    </row>
    <row r="37" spans="4:29" ht="13.2">
      <c r="D37" s="6"/>
      <c r="E37" s="6"/>
      <c r="F37" s="6"/>
      <c r="G37" s="6"/>
      <c r="AA37" s="6"/>
      <c r="AC37" s="6"/>
    </row>
    <row r="38" spans="4:29" ht="13.2">
      <c r="D38" s="6"/>
      <c r="E38" s="6"/>
      <c r="F38" s="6"/>
      <c r="G38" s="6"/>
      <c r="AA38" s="6"/>
      <c r="AC38" s="6"/>
    </row>
    <row r="39" spans="4:29" ht="13.2">
      <c r="D39" s="6"/>
      <c r="E39" s="6"/>
      <c r="F39" s="6"/>
      <c r="G39" s="6"/>
      <c r="AA39" s="6"/>
      <c r="AC39" s="6"/>
    </row>
    <row r="40" spans="4:29" ht="13.2">
      <c r="D40" s="6"/>
      <c r="E40" s="6"/>
      <c r="F40" s="6"/>
      <c r="G40" s="6"/>
      <c r="AA40" s="6"/>
      <c r="AC40" s="6"/>
    </row>
    <row r="41" spans="4:29" ht="13.2">
      <c r="D41" s="6"/>
      <c r="E41" s="6"/>
      <c r="F41" s="6"/>
      <c r="G41" s="6"/>
      <c r="AA41" s="6"/>
      <c r="AC41" s="6"/>
    </row>
    <row r="42" spans="4:29" ht="13.2">
      <c r="D42" s="6"/>
      <c r="E42" s="6"/>
      <c r="F42" s="6"/>
      <c r="G42" s="6"/>
      <c r="AA42" s="6"/>
      <c r="AC42" s="6"/>
    </row>
    <row r="43" spans="4:29" ht="13.2">
      <c r="D43" s="6"/>
      <c r="E43" s="6"/>
      <c r="F43" s="6"/>
      <c r="G43" s="6"/>
      <c r="AA43" s="6"/>
      <c r="AC43" s="6"/>
    </row>
    <row r="44" spans="4:29" ht="13.2">
      <c r="D44" s="6"/>
      <c r="E44" s="6"/>
      <c r="F44" s="6"/>
      <c r="G44" s="6"/>
      <c r="AA44" s="6"/>
      <c r="AC44" s="6"/>
    </row>
    <row r="45" spans="4:29" ht="13.2">
      <c r="D45" s="6"/>
      <c r="E45" s="6"/>
      <c r="F45" s="6"/>
      <c r="G45" s="6"/>
      <c r="AA45" s="6"/>
      <c r="AC45" s="6"/>
    </row>
    <row r="46" spans="4:29" ht="13.2">
      <c r="D46" s="6"/>
      <c r="E46" s="6"/>
      <c r="F46" s="6"/>
      <c r="G46" s="6"/>
      <c r="AA46" s="6"/>
      <c r="AC46" s="6"/>
    </row>
    <row r="47" spans="4:29" ht="13.2">
      <c r="D47" s="6"/>
      <c r="E47" s="6"/>
      <c r="F47" s="6"/>
      <c r="G47" s="6"/>
      <c r="AA47" s="6"/>
      <c r="AC47" s="6"/>
    </row>
    <row r="48" spans="4:29" ht="13.2">
      <c r="E48" s="6"/>
      <c r="F48" s="6"/>
      <c r="G48" s="6"/>
      <c r="AA48" s="6"/>
      <c r="AC48" s="6"/>
    </row>
    <row r="49" spans="5:29" ht="13.2">
      <c r="E49" s="6"/>
      <c r="F49" s="6"/>
      <c r="G49" s="6"/>
      <c r="AA49" s="6"/>
      <c r="AC49" s="6"/>
    </row>
    <row r="50" spans="5:29" ht="13.2">
      <c r="E50" s="6"/>
      <c r="F50" s="6"/>
      <c r="G50" s="6"/>
      <c r="AA50" s="6"/>
      <c r="AC50" s="6"/>
    </row>
    <row r="51" spans="5:29" ht="13.2">
      <c r="E51" s="6"/>
      <c r="F51" s="6"/>
      <c r="G51" s="6"/>
      <c r="AA51" s="6"/>
      <c r="AC51" s="6"/>
    </row>
    <row r="52" spans="5:29" ht="13.2">
      <c r="E52" s="6"/>
      <c r="F52" s="6"/>
      <c r="G52" s="6"/>
      <c r="AA52" s="6"/>
      <c r="AC52" s="6"/>
    </row>
    <row r="53" spans="5:29" ht="13.2">
      <c r="E53" s="6"/>
      <c r="F53" s="6"/>
      <c r="G53" s="6"/>
      <c r="AA53" s="6"/>
      <c r="AC53" s="6"/>
    </row>
    <row r="54" spans="5:29" ht="13.2">
      <c r="E54" s="6"/>
      <c r="F54" s="6"/>
      <c r="G54" s="6"/>
      <c r="AA54" s="6"/>
      <c r="AC54" s="6"/>
    </row>
    <row r="55" spans="5:29" ht="13.2">
      <c r="E55" s="6"/>
      <c r="F55" s="6"/>
      <c r="G55" s="6"/>
      <c r="AA55" s="6"/>
      <c r="AC55" s="6"/>
    </row>
    <row r="56" spans="5:29" ht="13.2">
      <c r="E56" s="6"/>
      <c r="F56" s="6"/>
      <c r="G56" s="6"/>
      <c r="AA56" s="6"/>
      <c r="AC56" s="6"/>
    </row>
    <row r="57" spans="5:29" ht="13.2">
      <c r="E57" s="6"/>
      <c r="F57" s="6"/>
      <c r="G57" s="6"/>
      <c r="AA57" s="6"/>
      <c r="AC57" s="6"/>
    </row>
    <row r="58" spans="5:29" ht="13.2">
      <c r="E58" s="6"/>
      <c r="F58" s="6"/>
      <c r="G58" s="6"/>
      <c r="AA58" s="6"/>
      <c r="AC58" s="6"/>
    </row>
    <row r="59" spans="5:29" ht="13.2">
      <c r="E59" s="6"/>
      <c r="F59" s="6"/>
      <c r="G59" s="6"/>
      <c r="AA59" s="6"/>
      <c r="AC59" s="6"/>
    </row>
    <row r="60" spans="5:29" ht="13.2">
      <c r="E60" s="6"/>
      <c r="F60" s="6"/>
      <c r="G60" s="6"/>
      <c r="AA60" s="6"/>
      <c r="AC60" s="6"/>
    </row>
    <row r="61" spans="5:29" ht="13.2">
      <c r="E61" s="6"/>
      <c r="F61" s="6"/>
      <c r="G61" s="6"/>
      <c r="AA61" s="6"/>
      <c r="AC61" s="6"/>
    </row>
    <row r="62" spans="5:29" ht="13.2">
      <c r="E62" s="6"/>
      <c r="F62" s="6"/>
      <c r="G62" s="6"/>
      <c r="AA62" s="6"/>
      <c r="AC62" s="6"/>
    </row>
    <row r="63" spans="5:29" ht="13.2">
      <c r="E63" s="6"/>
      <c r="F63" s="6"/>
      <c r="G63" s="6"/>
      <c r="AA63" s="6"/>
      <c r="AC63" s="6"/>
    </row>
    <row r="64" spans="5:29" ht="13.2">
      <c r="E64" s="6"/>
      <c r="F64" s="6"/>
      <c r="G64" s="6"/>
      <c r="AA64" s="6"/>
      <c r="AC64" s="6"/>
    </row>
    <row r="65" spans="5:29" ht="13.2">
      <c r="E65" s="6"/>
      <c r="F65" s="6"/>
      <c r="G65" s="6"/>
      <c r="AA65" s="6"/>
      <c r="AC65" s="6"/>
    </row>
    <row r="66" spans="5:29" ht="13.2">
      <c r="E66" s="6"/>
      <c r="F66" s="6"/>
      <c r="G66" s="6"/>
      <c r="AA66" s="6"/>
      <c r="AC66" s="6"/>
    </row>
    <row r="67" spans="5:29" ht="13.2">
      <c r="E67" s="6"/>
      <c r="F67" s="6"/>
      <c r="G67" s="6"/>
      <c r="AA67" s="6"/>
      <c r="AC67" s="6"/>
    </row>
    <row r="68" spans="5:29" ht="13.2">
      <c r="E68" s="6"/>
      <c r="F68" s="6"/>
      <c r="G68" s="6"/>
      <c r="AA68" s="6"/>
      <c r="AC68" s="6"/>
    </row>
    <row r="69" spans="5:29" ht="13.2">
      <c r="E69" s="6"/>
      <c r="F69" s="6"/>
      <c r="G69" s="6"/>
      <c r="AA69" s="6"/>
      <c r="AC69" s="6"/>
    </row>
    <row r="70" spans="5:29" ht="13.2">
      <c r="E70" s="6"/>
      <c r="F70" s="6"/>
      <c r="G70" s="6"/>
      <c r="AA70" s="6"/>
      <c r="AC70" s="6"/>
    </row>
    <row r="71" spans="5:29" ht="13.2">
      <c r="E71" s="6"/>
      <c r="F71" s="6"/>
      <c r="G71" s="6"/>
      <c r="AA71" s="6"/>
      <c r="AC71" s="6"/>
    </row>
    <row r="72" spans="5:29" ht="13.2">
      <c r="E72" s="6"/>
      <c r="F72" s="6"/>
      <c r="G72" s="6"/>
      <c r="AA72" s="6"/>
      <c r="AC72" s="6"/>
    </row>
    <row r="73" spans="5:29" ht="13.2">
      <c r="E73" s="6"/>
      <c r="F73" s="6"/>
      <c r="G73" s="6"/>
      <c r="AA73" s="6"/>
      <c r="AC73" s="6"/>
    </row>
    <row r="74" spans="5:29" ht="13.2">
      <c r="E74" s="6"/>
      <c r="F74" s="6"/>
      <c r="G74" s="6"/>
      <c r="AA74" s="6"/>
      <c r="AC74" s="6"/>
    </row>
    <row r="75" spans="5:29" ht="13.2">
      <c r="E75" s="6"/>
      <c r="F75" s="6"/>
      <c r="G75" s="6"/>
      <c r="AA75" s="6"/>
      <c r="AC75" s="6"/>
    </row>
    <row r="76" spans="5:29" ht="13.2">
      <c r="E76" s="6"/>
      <c r="F76" s="6"/>
      <c r="G76" s="6"/>
      <c r="AA76" s="6"/>
      <c r="AC76" s="6"/>
    </row>
    <row r="77" spans="5:29" ht="13.2">
      <c r="E77" s="6"/>
      <c r="F77" s="6"/>
      <c r="G77" s="6"/>
      <c r="AA77" s="6"/>
      <c r="AC77" s="6"/>
    </row>
    <row r="78" spans="5:29" ht="13.2">
      <c r="E78" s="6"/>
      <c r="F78" s="6"/>
      <c r="G78" s="6"/>
      <c r="AA78" s="6"/>
      <c r="AC78" s="6"/>
    </row>
    <row r="79" spans="5:29" ht="13.2">
      <c r="E79" s="6"/>
      <c r="F79" s="6"/>
      <c r="G79" s="6"/>
      <c r="AA79" s="6"/>
      <c r="AC79" s="6"/>
    </row>
    <row r="80" spans="5:29" ht="13.2">
      <c r="E80" s="6"/>
      <c r="F80" s="6"/>
      <c r="G80" s="6"/>
      <c r="AA80" s="6"/>
      <c r="AC80" s="6"/>
    </row>
    <row r="81" spans="5:29" ht="13.2">
      <c r="E81" s="6"/>
      <c r="F81" s="6"/>
      <c r="G81" s="6"/>
      <c r="AA81" s="6"/>
      <c r="AC81" s="6"/>
    </row>
    <row r="82" spans="5:29" ht="13.2">
      <c r="E82" s="6"/>
      <c r="F82" s="6"/>
      <c r="G82" s="6"/>
      <c r="AA82" s="6"/>
      <c r="AC82" s="6"/>
    </row>
    <row r="83" spans="5:29" ht="13.2">
      <c r="E83" s="6"/>
      <c r="F83" s="6"/>
      <c r="G83" s="6"/>
      <c r="AA83" s="6"/>
      <c r="AC83" s="6"/>
    </row>
    <row r="84" spans="5:29" ht="13.2">
      <c r="E84" s="6"/>
      <c r="F84" s="6"/>
      <c r="G84" s="6"/>
      <c r="AA84" s="6"/>
      <c r="AC84" s="6"/>
    </row>
    <row r="85" spans="5:29" ht="13.2">
      <c r="E85" s="6"/>
      <c r="F85" s="6"/>
      <c r="G85" s="6"/>
      <c r="AA85" s="6"/>
      <c r="AC85" s="6"/>
    </row>
    <row r="86" spans="5:29" ht="13.2">
      <c r="E86" s="6"/>
      <c r="F86" s="6"/>
      <c r="G86" s="6"/>
      <c r="AA86" s="6"/>
      <c r="AC86" s="6"/>
    </row>
    <row r="87" spans="5:29" ht="13.2">
      <c r="E87" s="6"/>
      <c r="F87" s="6"/>
      <c r="G87" s="6"/>
      <c r="AA87" s="6"/>
      <c r="AC87" s="6"/>
    </row>
    <row r="88" spans="5:29" ht="13.2">
      <c r="E88" s="6"/>
      <c r="F88" s="6"/>
      <c r="G88" s="6"/>
      <c r="AA88" s="6"/>
      <c r="AC88" s="6"/>
    </row>
    <row r="89" spans="5:29" ht="13.2">
      <c r="E89" s="6"/>
      <c r="F89" s="6"/>
      <c r="G89" s="6"/>
      <c r="AA89" s="6"/>
    </row>
    <row r="90" spans="5:29" ht="13.2">
      <c r="E90" s="6"/>
      <c r="F90" s="6"/>
      <c r="G90" s="6"/>
      <c r="AA90" s="6"/>
    </row>
    <row r="91" spans="5:29" ht="13.2">
      <c r="E91" s="6"/>
      <c r="F91" s="6"/>
      <c r="G91" s="6"/>
    </row>
    <row r="92" spans="5:29" ht="13.2">
      <c r="E92" s="6"/>
      <c r="F92" s="6"/>
      <c r="G92" s="6"/>
    </row>
    <row r="93" spans="5:29" ht="13.2">
      <c r="E93" s="6"/>
      <c r="F93" s="6"/>
      <c r="G93" s="6"/>
    </row>
    <row r="94" spans="5:29" ht="13.2">
      <c r="E94" s="6"/>
      <c r="F94" s="6"/>
      <c r="G94" s="6"/>
    </row>
    <row r="95" spans="5:29" ht="13.2">
      <c r="E95" s="6"/>
      <c r="F95" s="6"/>
      <c r="G95" s="6"/>
    </row>
    <row r="96" spans="5:29" ht="13.2">
      <c r="E96" s="6"/>
      <c r="F96" s="6"/>
      <c r="G96" s="6"/>
    </row>
    <row r="97" spans="5:7" ht="13.2">
      <c r="E97" s="6"/>
      <c r="F97" s="6"/>
      <c r="G97" s="6"/>
    </row>
    <row r="98" spans="5:7" ht="13.2">
      <c r="E98" s="6"/>
      <c r="F98" s="6"/>
      <c r="G98" s="6"/>
    </row>
    <row r="99" spans="5:7" ht="13.2">
      <c r="E99" s="6"/>
      <c r="F99" s="6"/>
      <c r="G99" s="6"/>
    </row>
  </sheetData>
  <conditionalFormatting sqref="B4:B136">
    <cfRule type="cellIs" dxfId="16" priority="1" operator="equal">
      <formula>"Pago"</formula>
    </cfRule>
  </conditionalFormatting>
  <conditionalFormatting sqref="G1:G106 I2">
    <cfRule type="cellIs" dxfId="15" priority="2" operator="equal">
      <formula>"Si"</formula>
    </cfRule>
  </conditionalFormatting>
  <conditionalFormatting sqref="G4:G106">
    <cfRule type="containsText" dxfId="14" priority="3" operator="containsText" text="sorteo">
      <formula>NOT(ISERROR(SEARCH(("sorteo"),(G4))))</formula>
    </cfRule>
  </conditionalFormatting>
  <conditionalFormatting sqref="AB3:AB23">
    <cfRule type="cellIs" dxfId="13" priority="5" operator="equal">
      <formula>"Terminado"</formula>
    </cfRule>
  </conditionalFormatting>
  <conditionalFormatting sqref="AC4:AC1002">
    <cfRule type="cellIs" dxfId="12" priority="4" operator="equal">
      <formula>"OK"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H97"/>
  <sheetViews>
    <sheetView topLeftCell="C1" workbookViewId="0">
      <selection activeCell="H21" sqref="H21"/>
    </sheetView>
  </sheetViews>
  <sheetFormatPr defaultColWidth="12.6640625" defaultRowHeight="15.75" customHeight="1"/>
  <cols>
    <col min="1" max="1" width="28" customWidth="1"/>
    <col min="2" max="2" width="5.5546875" customWidth="1"/>
    <col min="3" max="3" width="14.77734375" customWidth="1"/>
    <col min="4" max="4" width="11.33203125" customWidth="1"/>
    <col min="5" max="5" width="5.44140625" customWidth="1"/>
    <col min="6" max="6" width="8.77734375" customWidth="1"/>
    <col min="7" max="7" width="16.88671875" customWidth="1"/>
    <col min="8" max="8" width="91.88671875" customWidth="1"/>
  </cols>
  <sheetData>
    <row r="1" spans="1:8" ht="34.799999999999997" customHeight="1">
      <c r="A1" s="2" t="s">
        <v>122</v>
      </c>
      <c r="B1" s="2" t="s">
        <v>5</v>
      </c>
      <c r="C1" s="2" t="s">
        <v>12</v>
      </c>
      <c r="D1" s="2" t="s">
        <v>13</v>
      </c>
      <c r="E1" s="54" t="s">
        <v>15</v>
      </c>
      <c r="F1" s="54" t="s">
        <v>16</v>
      </c>
      <c r="G1" s="2" t="s">
        <v>17</v>
      </c>
      <c r="H1" s="2" t="s">
        <v>164</v>
      </c>
    </row>
    <row r="2" spans="1:8" ht="13.2">
      <c r="A2" s="36" t="s">
        <v>141</v>
      </c>
      <c r="B2" s="6" t="s">
        <v>63</v>
      </c>
      <c r="C2" s="38" t="s">
        <v>64</v>
      </c>
      <c r="D2" s="38"/>
      <c r="E2" s="6">
        <v>12</v>
      </c>
      <c r="F2" s="6">
        <v>1198</v>
      </c>
      <c r="G2" s="38"/>
      <c r="H2" s="38" t="s">
        <v>165</v>
      </c>
    </row>
    <row r="3" spans="1:8" ht="13.2">
      <c r="A3" s="36" t="s">
        <v>142</v>
      </c>
      <c r="B3" s="6" t="s">
        <v>63</v>
      </c>
      <c r="C3" s="38" t="s">
        <v>65</v>
      </c>
      <c r="D3" s="38"/>
      <c r="E3" s="6">
        <v>28</v>
      </c>
      <c r="F3" s="6">
        <v>1302</v>
      </c>
      <c r="G3" s="38" t="s">
        <v>66</v>
      </c>
      <c r="H3" s="38" t="s">
        <v>166</v>
      </c>
    </row>
    <row r="4" spans="1:8" ht="13.2">
      <c r="A4" s="36" t="s">
        <v>143</v>
      </c>
      <c r="B4" s="6" t="s">
        <v>63</v>
      </c>
      <c r="C4" s="38" t="s">
        <v>67</v>
      </c>
      <c r="D4" s="38"/>
      <c r="E4" s="6">
        <v>14</v>
      </c>
      <c r="F4" s="6">
        <v>1200</v>
      </c>
      <c r="G4" s="38" t="s">
        <v>68</v>
      </c>
      <c r="H4" s="38" t="s">
        <v>167</v>
      </c>
    </row>
    <row r="5" spans="1:8" ht="13.2">
      <c r="A5" s="36" t="s">
        <v>144</v>
      </c>
      <c r="B5" s="6" t="s">
        <v>63</v>
      </c>
      <c r="C5" s="38" t="s">
        <v>70</v>
      </c>
      <c r="D5" s="38"/>
      <c r="E5" s="6">
        <v>25</v>
      </c>
      <c r="F5" s="6">
        <v>1299</v>
      </c>
      <c r="G5" s="38" t="s">
        <v>69</v>
      </c>
      <c r="H5" s="38" t="s">
        <v>168</v>
      </c>
    </row>
    <row r="6" spans="1:8" ht="13.2">
      <c r="A6" s="36" t="s">
        <v>145</v>
      </c>
      <c r="B6" s="6" t="s">
        <v>63</v>
      </c>
      <c r="C6" s="38" t="s">
        <v>70</v>
      </c>
      <c r="D6" s="38"/>
      <c r="E6" s="6" t="s">
        <v>71</v>
      </c>
      <c r="F6" s="6">
        <v>1191</v>
      </c>
      <c r="G6" s="38"/>
      <c r="H6" s="38" t="s">
        <v>169</v>
      </c>
    </row>
    <row r="7" spans="1:8" ht="13.2">
      <c r="A7" s="36" t="s">
        <v>146</v>
      </c>
      <c r="B7" s="6" t="s">
        <v>63</v>
      </c>
      <c r="C7" s="38" t="s">
        <v>162</v>
      </c>
      <c r="D7" s="38" t="s">
        <v>72</v>
      </c>
      <c r="E7" s="6">
        <v>41</v>
      </c>
      <c r="F7" s="6">
        <v>1552</v>
      </c>
      <c r="G7" s="38" t="s">
        <v>73</v>
      </c>
      <c r="H7" s="38" t="s">
        <v>170</v>
      </c>
    </row>
    <row r="8" spans="1:8" ht="13.2">
      <c r="A8" s="36" t="s">
        <v>147</v>
      </c>
      <c r="B8" s="6" t="s">
        <v>63</v>
      </c>
      <c r="C8" s="38" t="s">
        <v>74</v>
      </c>
      <c r="D8" s="38"/>
      <c r="E8" s="6">
        <v>46</v>
      </c>
      <c r="F8" s="6">
        <v>1560</v>
      </c>
      <c r="G8" s="38"/>
      <c r="H8" s="38" t="s">
        <v>171</v>
      </c>
    </row>
    <row r="9" spans="1:8" ht="13.2">
      <c r="A9" s="36" t="s">
        <v>148</v>
      </c>
      <c r="B9" s="6" t="s">
        <v>63</v>
      </c>
      <c r="C9" s="38" t="s">
        <v>75</v>
      </c>
      <c r="D9" s="38" t="s">
        <v>76</v>
      </c>
      <c r="E9" s="6" t="s">
        <v>77</v>
      </c>
      <c r="F9" s="6">
        <v>1020</v>
      </c>
      <c r="G9" s="38" t="s">
        <v>78</v>
      </c>
      <c r="H9" s="38" t="s">
        <v>172</v>
      </c>
    </row>
    <row r="10" spans="1:8" ht="13.2">
      <c r="A10" s="36" t="s">
        <v>149</v>
      </c>
      <c r="B10" s="6" t="s">
        <v>63</v>
      </c>
      <c r="C10" s="38" t="s">
        <v>79</v>
      </c>
      <c r="D10" s="38"/>
      <c r="E10" s="6">
        <v>40</v>
      </c>
      <c r="F10" s="6">
        <v>1551</v>
      </c>
      <c r="G10" s="38" t="s">
        <v>80</v>
      </c>
      <c r="H10" s="38" t="s">
        <v>173</v>
      </c>
    </row>
    <row r="11" spans="1:8" ht="13.2">
      <c r="A11" s="36" t="s">
        <v>150</v>
      </c>
      <c r="B11" s="6" t="s">
        <v>63</v>
      </c>
      <c r="C11" s="38" t="s">
        <v>79</v>
      </c>
      <c r="D11" s="38" t="s">
        <v>72</v>
      </c>
      <c r="E11" s="6">
        <v>49</v>
      </c>
      <c r="F11" s="6">
        <v>1557</v>
      </c>
      <c r="G11" s="38" t="s">
        <v>81</v>
      </c>
      <c r="H11" s="38" t="s">
        <v>174</v>
      </c>
    </row>
    <row r="12" spans="1:8" ht="13.2">
      <c r="A12" s="36" t="s">
        <v>151</v>
      </c>
      <c r="B12" s="6" t="s">
        <v>63</v>
      </c>
      <c r="C12" s="38" t="s">
        <v>82</v>
      </c>
      <c r="D12" s="38" t="s">
        <v>83</v>
      </c>
      <c r="E12" s="6">
        <v>13</v>
      </c>
      <c r="F12" s="6">
        <v>1199</v>
      </c>
      <c r="G12" s="38" t="s">
        <v>84</v>
      </c>
      <c r="H12" s="38" t="s">
        <v>175</v>
      </c>
    </row>
    <row r="13" spans="1:8" ht="13.2">
      <c r="A13" s="36" t="s">
        <v>152</v>
      </c>
      <c r="B13" s="6" t="s">
        <v>63</v>
      </c>
      <c r="C13" s="38" t="s">
        <v>82</v>
      </c>
      <c r="D13" s="38"/>
      <c r="E13" s="6">
        <v>71</v>
      </c>
      <c r="F13" s="6">
        <v>1555</v>
      </c>
      <c r="G13" s="38" t="s">
        <v>85</v>
      </c>
      <c r="H13" s="38" t="s">
        <v>176</v>
      </c>
    </row>
    <row r="14" spans="1:8" ht="13.2">
      <c r="A14" s="36" t="s">
        <v>153</v>
      </c>
      <c r="B14" s="6" t="s">
        <v>63</v>
      </c>
      <c r="C14" s="38" t="s">
        <v>82</v>
      </c>
      <c r="D14" s="38"/>
      <c r="E14" s="6">
        <v>39</v>
      </c>
      <c r="F14" s="6">
        <v>1441</v>
      </c>
      <c r="G14" s="38" t="s">
        <v>86</v>
      </c>
      <c r="H14" s="38" t="s">
        <v>177</v>
      </c>
    </row>
    <row r="15" spans="1:8" ht="13.2">
      <c r="A15" s="36" t="s">
        <v>154</v>
      </c>
      <c r="B15" s="6" t="s">
        <v>63</v>
      </c>
      <c r="C15" s="38" t="s">
        <v>87</v>
      </c>
      <c r="D15" s="38" t="s">
        <v>72</v>
      </c>
      <c r="E15" s="6">
        <v>22</v>
      </c>
      <c r="F15" s="6">
        <v>1296</v>
      </c>
      <c r="G15" s="38" t="s">
        <v>88</v>
      </c>
      <c r="H15" s="38" t="s">
        <v>178</v>
      </c>
    </row>
    <row r="16" spans="1:8" ht="13.2">
      <c r="A16" s="36" t="s">
        <v>155</v>
      </c>
      <c r="B16" s="36" t="s">
        <v>63</v>
      </c>
      <c r="C16" s="36" t="s">
        <v>70</v>
      </c>
      <c r="D16" s="38" t="s">
        <v>72</v>
      </c>
      <c r="E16" s="6">
        <v>29</v>
      </c>
      <c r="F16" s="6">
        <v>1433</v>
      </c>
      <c r="G16" s="38" t="s">
        <v>89</v>
      </c>
      <c r="H16" s="38" t="s">
        <v>179</v>
      </c>
    </row>
    <row r="17" spans="1:8" ht="13.2">
      <c r="A17" s="36" t="s">
        <v>156</v>
      </c>
      <c r="B17" s="36" t="s">
        <v>63</v>
      </c>
      <c r="C17" s="36" t="s">
        <v>90</v>
      </c>
      <c r="D17" s="38"/>
      <c r="E17" s="6">
        <v>23</v>
      </c>
      <c r="F17" s="6">
        <v>1738</v>
      </c>
      <c r="G17" s="38" t="s">
        <v>91</v>
      </c>
      <c r="H17" s="38" t="s">
        <v>180</v>
      </c>
    </row>
    <row r="18" spans="1:8" ht="13.2">
      <c r="A18" s="36" t="s">
        <v>157</v>
      </c>
      <c r="B18" s="36" t="s">
        <v>63</v>
      </c>
      <c r="C18" s="38" t="s">
        <v>70</v>
      </c>
      <c r="D18" s="38" t="s">
        <v>72</v>
      </c>
      <c r="E18" s="6">
        <v>31</v>
      </c>
      <c r="F18" s="6">
        <v>1436</v>
      </c>
      <c r="G18" s="38" t="s">
        <v>92</v>
      </c>
      <c r="H18" s="38" t="s">
        <v>181</v>
      </c>
    </row>
    <row r="19" spans="1:8" ht="13.2">
      <c r="A19" s="36" t="s">
        <v>158</v>
      </c>
      <c r="B19" s="36" t="s">
        <v>63</v>
      </c>
      <c r="C19" s="38" t="s">
        <v>70</v>
      </c>
      <c r="D19" s="38"/>
      <c r="E19" s="6" t="s">
        <v>93</v>
      </c>
      <c r="F19" s="6">
        <v>1190</v>
      </c>
      <c r="G19" s="38"/>
      <c r="H19" s="38" t="s">
        <v>182</v>
      </c>
    </row>
    <row r="20" spans="1:8" ht="13.2">
      <c r="A20" s="36" t="s">
        <v>159</v>
      </c>
      <c r="B20" s="36" t="s">
        <v>63</v>
      </c>
      <c r="C20" s="38" t="s">
        <v>70</v>
      </c>
      <c r="D20" s="38" t="s">
        <v>76</v>
      </c>
      <c r="E20" s="6" t="s">
        <v>94</v>
      </c>
      <c r="F20" s="6">
        <v>1189</v>
      </c>
      <c r="G20" s="38" t="s">
        <v>95</v>
      </c>
      <c r="H20" s="38" t="s">
        <v>183</v>
      </c>
    </row>
    <row r="21" spans="1:8" ht="13.2">
      <c r="A21" s="36" t="s">
        <v>160</v>
      </c>
      <c r="B21" s="36" t="s">
        <v>63</v>
      </c>
      <c r="C21" s="38" t="s">
        <v>79</v>
      </c>
      <c r="D21" s="38"/>
      <c r="E21" s="6">
        <v>43</v>
      </c>
      <c r="F21" s="6">
        <v>1558</v>
      </c>
      <c r="G21" s="38" t="s">
        <v>96</v>
      </c>
      <c r="H21" s="38" t="s">
        <v>184</v>
      </c>
    </row>
    <row r="22" spans="1:8" ht="13.2">
      <c r="A22" s="36" t="s">
        <v>161</v>
      </c>
      <c r="B22" s="36" t="s">
        <v>63</v>
      </c>
      <c r="C22" s="38" t="s">
        <v>97</v>
      </c>
      <c r="D22" s="38" t="s">
        <v>72</v>
      </c>
      <c r="E22" s="6">
        <v>47</v>
      </c>
      <c r="F22" s="6">
        <v>1559</v>
      </c>
      <c r="G22" s="38" t="s">
        <v>98</v>
      </c>
      <c r="H22" s="38" t="s">
        <v>163</v>
      </c>
    </row>
    <row r="23" spans="1:8" ht="13.2">
      <c r="A23" s="36"/>
      <c r="B23" s="36"/>
      <c r="E23" s="6"/>
      <c r="F23" s="6"/>
    </row>
    <row r="24" spans="1:8" ht="13.2">
      <c r="A24" s="36"/>
      <c r="B24" s="36"/>
      <c r="E24" s="6"/>
      <c r="F24" s="6"/>
    </row>
    <row r="25" spans="1:8" ht="13.2">
      <c r="A25" s="36"/>
      <c r="B25" s="6"/>
      <c r="E25" s="6"/>
      <c r="F25" s="6"/>
    </row>
    <row r="26" spans="1:8" ht="13.2">
      <c r="A26" s="36"/>
      <c r="B26" s="6"/>
      <c r="E26" s="6"/>
    </row>
    <row r="27" spans="1:8" ht="13.2">
      <c r="A27" s="36"/>
      <c r="B27" s="6"/>
      <c r="E27" s="6"/>
    </row>
    <row r="28" spans="1:8" ht="13.2">
      <c r="A28" s="36"/>
      <c r="B28" s="6"/>
      <c r="E28" s="6"/>
    </row>
    <row r="29" spans="1:8" ht="13.2">
      <c r="A29" s="36"/>
      <c r="B29" s="6"/>
      <c r="E29" s="6"/>
    </row>
    <row r="30" spans="1:8" ht="13.2">
      <c r="A30" s="36"/>
      <c r="B30" s="6"/>
      <c r="E30" s="6"/>
    </row>
    <row r="31" spans="1:8" ht="13.2">
      <c r="A31" s="36"/>
      <c r="B31" s="6"/>
      <c r="E31" s="6"/>
    </row>
    <row r="32" spans="1:8" ht="13.2">
      <c r="A32" s="6"/>
      <c r="B32" s="6"/>
      <c r="E32" s="6"/>
    </row>
    <row r="33" spans="1:5" ht="13.2">
      <c r="A33" s="6"/>
      <c r="B33" s="6"/>
      <c r="E33" s="6"/>
    </row>
    <row r="34" spans="1:5" ht="13.2">
      <c r="A34" s="6"/>
      <c r="B34" s="6"/>
      <c r="E34" s="6"/>
    </row>
    <row r="35" spans="1:5" ht="13.2">
      <c r="A35" s="6"/>
      <c r="B35" s="6"/>
      <c r="E35" s="6"/>
    </row>
    <row r="36" spans="1:5" ht="13.2">
      <c r="A36" s="6"/>
      <c r="B36" s="6"/>
      <c r="E36" s="6"/>
    </row>
    <row r="37" spans="1:5" ht="13.2">
      <c r="A37" s="6"/>
      <c r="B37" s="6"/>
      <c r="E37" s="6"/>
    </row>
    <row r="38" spans="1:5" ht="13.2">
      <c r="A38" s="6"/>
      <c r="B38" s="6"/>
      <c r="E38" s="6"/>
    </row>
    <row r="39" spans="1:5" ht="13.2">
      <c r="A39" s="6"/>
      <c r="B39" s="6"/>
    </row>
    <row r="40" spans="1:5" ht="13.2">
      <c r="A40" s="6"/>
      <c r="B40" s="6"/>
    </row>
    <row r="41" spans="1:5" ht="13.2">
      <c r="A41" s="6"/>
      <c r="B41" s="6"/>
    </row>
    <row r="42" spans="1:5" ht="13.2">
      <c r="A42" s="6"/>
      <c r="B42" s="6"/>
    </row>
    <row r="43" spans="1:5" ht="13.2">
      <c r="A43" s="6"/>
      <c r="B43" s="6"/>
    </row>
    <row r="44" spans="1:5" ht="13.2">
      <c r="A44" s="6"/>
      <c r="B44" s="6"/>
    </row>
    <row r="45" spans="1:5" ht="13.2">
      <c r="A45" s="6"/>
      <c r="B45" s="6"/>
    </row>
    <row r="46" spans="1:5" ht="13.2">
      <c r="B46" s="6"/>
    </row>
    <row r="47" spans="1:5" ht="13.2">
      <c r="B47" s="6"/>
    </row>
    <row r="48" spans="1:5" ht="13.2">
      <c r="B48" s="6"/>
    </row>
    <row r="49" spans="2:2" ht="13.2">
      <c r="B49" s="6"/>
    </row>
    <row r="50" spans="2:2" ht="13.2">
      <c r="B50" s="6"/>
    </row>
    <row r="51" spans="2:2" ht="13.2">
      <c r="B51" s="6"/>
    </row>
    <row r="52" spans="2:2" ht="13.2">
      <c r="B52" s="6"/>
    </row>
    <row r="53" spans="2:2" ht="13.2">
      <c r="B53" s="6"/>
    </row>
    <row r="54" spans="2:2" ht="13.2">
      <c r="B54" s="6"/>
    </row>
    <row r="55" spans="2:2" ht="13.2">
      <c r="B55" s="6"/>
    </row>
    <row r="56" spans="2:2" ht="13.2">
      <c r="B56" s="6"/>
    </row>
    <row r="57" spans="2:2" ht="13.2">
      <c r="B57" s="6"/>
    </row>
    <row r="58" spans="2:2" ht="13.2">
      <c r="B58" s="6"/>
    </row>
    <row r="59" spans="2:2" ht="13.2">
      <c r="B59" s="6"/>
    </row>
    <row r="60" spans="2:2" ht="13.2">
      <c r="B60" s="6"/>
    </row>
    <row r="61" spans="2:2" ht="13.2">
      <c r="B61" s="6"/>
    </row>
    <row r="62" spans="2:2" ht="13.2">
      <c r="B62" s="6"/>
    </row>
    <row r="63" spans="2:2" ht="13.2">
      <c r="B63" s="6"/>
    </row>
    <row r="64" spans="2:2" ht="13.2">
      <c r="B64" s="6"/>
    </row>
    <row r="65" spans="2:2" ht="13.2">
      <c r="B65" s="6"/>
    </row>
    <row r="66" spans="2:2" ht="13.2">
      <c r="B66" s="6"/>
    </row>
    <row r="67" spans="2:2" ht="13.2">
      <c r="B67" s="6"/>
    </row>
    <row r="68" spans="2:2" ht="13.2">
      <c r="B68" s="6"/>
    </row>
    <row r="69" spans="2:2" ht="13.2">
      <c r="B69" s="6"/>
    </row>
    <row r="70" spans="2:2" ht="13.2">
      <c r="B70" s="6"/>
    </row>
    <row r="71" spans="2:2" ht="13.2">
      <c r="B71" s="6"/>
    </row>
    <row r="72" spans="2:2" ht="13.2">
      <c r="B72" s="6"/>
    </row>
    <row r="73" spans="2:2" ht="13.2">
      <c r="B73" s="6"/>
    </row>
    <row r="74" spans="2:2" ht="13.2">
      <c r="B74" s="6"/>
    </row>
    <row r="75" spans="2:2" ht="13.2">
      <c r="B75" s="6"/>
    </row>
    <row r="76" spans="2:2" ht="13.2">
      <c r="B76" s="6"/>
    </row>
    <row r="77" spans="2:2" ht="13.2">
      <c r="B77" s="6"/>
    </row>
    <row r="78" spans="2:2" ht="13.2">
      <c r="B78" s="6"/>
    </row>
    <row r="79" spans="2:2" ht="13.2">
      <c r="B79" s="6"/>
    </row>
    <row r="80" spans="2:2" ht="13.2">
      <c r="B80" s="6"/>
    </row>
    <row r="81" spans="2:2" ht="13.2">
      <c r="B81" s="6"/>
    </row>
    <row r="82" spans="2:2" ht="13.2">
      <c r="B82" s="6"/>
    </row>
    <row r="83" spans="2:2" ht="13.2">
      <c r="B83" s="6"/>
    </row>
    <row r="84" spans="2:2" ht="13.2">
      <c r="B84" s="6"/>
    </row>
    <row r="85" spans="2:2" ht="13.2">
      <c r="B85" s="6"/>
    </row>
    <row r="86" spans="2:2" ht="13.2">
      <c r="B86" s="6"/>
    </row>
    <row r="87" spans="2:2" ht="13.2">
      <c r="B87" s="6"/>
    </row>
    <row r="88" spans="2:2" ht="13.2">
      <c r="B88" s="6"/>
    </row>
    <row r="89" spans="2:2" ht="13.2">
      <c r="B89" s="6"/>
    </row>
    <row r="90" spans="2:2" ht="13.2">
      <c r="B90" s="6"/>
    </row>
    <row r="91" spans="2:2" ht="13.2">
      <c r="B91" s="6"/>
    </row>
    <row r="92" spans="2:2" ht="13.2">
      <c r="B92" s="6"/>
    </row>
    <row r="93" spans="2:2" ht="13.2">
      <c r="B93" s="6"/>
    </row>
    <row r="94" spans="2:2" ht="13.2">
      <c r="B94" s="6"/>
    </row>
    <row r="95" spans="2:2" ht="13.2">
      <c r="B95" s="6"/>
    </row>
    <row r="96" spans="2:2" ht="13.2">
      <c r="B96" s="6"/>
    </row>
    <row r="97" spans="2:2" ht="13.2">
      <c r="B97" s="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G16"/>
  <sheetViews>
    <sheetView workbookViewId="0">
      <selection activeCell="E18" sqref="E18"/>
    </sheetView>
  </sheetViews>
  <sheetFormatPr defaultColWidth="12.6640625" defaultRowHeight="15.75" customHeight="1"/>
  <cols>
    <col min="1" max="1" width="28.33203125" customWidth="1"/>
    <col min="2" max="2" width="10.88671875" customWidth="1"/>
    <col min="5" max="5" width="6.5546875" customWidth="1"/>
    <col min="6" max="6" width="28.6640625" customWidth="1"/>
    <col min="7" max="7" width="22.44140625" customWidth="1"/>
  </cols>
  <sheetData>
    <row r="1" spans="1:7" ht="31.5" customHeight="1">
      <c r="A1" s="2" t="s">
        <v>122</v>
      </c>
      <c r="B1" s="2" t="s">
        <v>5</v>
      </c>
      <c r="C1" s="2" t="s">
        <v>12</v>
      </c>
      <c r="D1" s="2" t="s">
        <v>13</v>
      </c>
      <c r="E1" s="2" t="s">
        <v>16</v>
      </c>
      <c r="F1" s="2" t="s">
        <v>17</v>
      </c>
      <c r="G1" s="2" t="s">
        <v>18</v>
      </c>
    </row>
    <row r="2" spans="1:7" ht="13.2">
      <c r="A2" s="36" t="s">
        <v>131</v>
      </c>
      <c r="B2" s="6" t="s">
        <v>63</v>
      </c>
      <c r="C2" s="38" t="s">
        <v>82</v>
      </c>
      <c r="D2" s="38"/>
      <c r="E2" s="38">
        <v>8551</v>
      </c>
      <c r="F2" s="38" t="s">
        <v>99</v>
      </c>
      <c r="G2" s="38" t="s">
        <v>123</v>
      </c>
    </row>
    <row r="3" spans="1:7" ht="13.2">
      <c r="A3" s="36" t="s">
        <v>132</v>
      </c>
      <c r="B3" s="6" t="s">
        <v>63</v>
      </c>
      <c r="C3" s="38" t="s">
        <v>100</v>
      </c>
      <c r="D3" s="38"/>
      <c r="E3" s="38">
        <v>8239</v>
      </c>
      <c r="F3" s="38" t="s">
        <v>101</v>
      </c>
      <c r="G3" s="38" t="s">
        <v>124</v>
      </c>
    </row>
    <row r="4" spans="1:7" ht="13.2">
      <c r="A4" s="36" t="s">
        <v>133</v>
      </c>
      <c r="B4" s="6" t="s">
        <v>63</v>
      </c>
      <c r="C4" s="38" t="s">
        <v>102</v>
      </c>
      <c r="D4" s="38"/>
      <c r="E4" s="38">
        <v>8251</v>
      </c>
      <c r="F4" s="38" t="s">
        <v>103</v>
      </c>
      <c r="G4" s="38" t="s">
        <v>125</v>
      </c>
    </row>
    <row r="5" spans="1:7" ht="13.2">
      <c r="A5" s="36" t="s">
        <v>139</v>
      </c>
      <c r="B5" s="6" t="s">
        <v>63</v>
      </c>
      <c r="C5" s="38" t="s">
        <v>120</v>
      </c>
      <c r="D5" s="38" t="s">
        <v>104</v>
      </c>
      <c r="E5" s="38">
        <v>7213</v>
      </c>
      <c r="F5" s="38" t="s">
        <v>105</v>
      </c>
      <c r="G5" s="38" t="s">
        <v>126</v>
      </c>
    </row>
    <row r="6" spans="1:7" ht="13.2">
      <c r="A6" s="36" t="s">
        <v>134</v>
      </c>
      <c r="B6" s="6" t="s">
        <v>63</v>
      </c>
      <c r="C6" s="38" t="s">
        <v>102</v>
      </c>
      <c r="D6" s="38" t="s">
        <v>106</v>
      </c>
      <c r="E6" s="38">
        <v>7700</v>
      </c>
      <c r="F6" s="38" t="s">
        <v>107</v>
      </c>
      <c r="G6" s="38" t="s">
        <v>118</v>
      </c>
    </row>
    <row r="7" spans="1:7" ht="13.2">
      <c r="A7" s="36" t="s">
        <v>140</v>
      </c>
      <c r="B7" s="6" t="s">
        <v>63</v>
      </c>
      <c r="C7" s="38" t="s">
        <v>82</v>
      </c>
      <c r="D7" s="38"/>
      <c r="E7" s="38">
        <v>7907</v>
      </c>
      <c r="F7" s="38" t="s">
        <v>108</v>
      </c>
      <c r="G7" s="38" t="s">
        <v>127</v>
      </c>
    </row>
    <row r="8" spans="1:7" ht="13.2">
      <c r="A8" s="36" t="s">
        <v>135</v>
      </c>
      <c r="B8" s="6" t="s">
        <v>63</v>
      </c>
      <c r="C8" s="38" t="s">
        <v>109</v>
      </c>
      <c r="D8" s="38" t="s">
        <v>110</v>
      </c>
      <c r="E8" s="38">
        <v>8008</v>
      </c>
      <c r="F8" s="38" t="s">
        <v>111</v>
      </c>
      <c r="G8" s="38" t="s">
        <v>128</v>
      </c>
    </row>
    <row r="9" spans="1:7" ht="13.2">
      <c r="A9" s="36" t="s">
        <v>136</v>
      </c>
      <c r="B9" s="6" t="s">
        <v>63</v>
      </c>
      <c r="C9" s="38" t="s">
        <v>82</v>
      </c>
      <c r="D9" s="38"/>
      <c r="E9" s="38">
        <v>8285</v>
      </c>
      <c r="F9" s="38"/>
      <c r="G9" s="38" t="s">
        <v>129</v>
      </c>
    </row>
    <row r="10" spans="1:7" ht="13.2">
      <c r="A10" s="36" t="s">
        <v>137</v>
      </c>
      <c r="B10" s="6" t="s">
        <v>63</v>
      </c>
      <c r="C10" s="38" t="s">
        <v>121</v>
      </c>
      <c r="D10" s="38" t="s">
        <v>119</v>
      </c>
      <c r="E10" s="38">
        <v>7885</v>
      </c>
      <c r="F10" s="38" t="s">
        <v>112</v>
      </c>
      <c r="G10" s="38" t="s">
        <v>130</v>
      </c>
    </row>
    <row r="11" spans="1:7" ht="13.2">
      <c r="A11" s="36" t="s">
        <v>138</v>
      </c>
      <c r="B11" s="6" t="s">
        <v>63</v>
      </c>
      <c r="C11" s="38" t="s">
        <v>113</v>
      </c>
      <c r="D11" s="38" t="s">
        <v>114</v>
      </c>
      <c r="E11" s="38">
        <v>8061</v>
      </c>
      <c r="F11" s="38" t="s">
        <v>115</v>
      </c>
      <c r="G11" s="38" t="s">
        <v>116</v>
      </c>
    </row>
    <row r="12" spans="1:7" ht="13.2">
      <c r="A12" s="36" t="s">
        <v>131</v>
      </c>
      <c r="B12" s="6" t="s">
        <v>63</v>
      </c>
      <c r="C12" s="38"/>
      <c r="D12" s="38"/>
      <c r="E12" s="38">
        <v>8551</v>
      </c>
      <c r="F12" s="38" t="s">
        <v>117</v>
      </c>
      <c r="G12" s="38" t="s">
        <v>123</v>
      </c>
    </row>
    <row r="13" spans="1:7" ht="13.2">
      <c r="A13" s="6"/>
      <c r="B13" s="6"/>
    </row>
    <row r="14" spans="1:7" ht="13.2">
      <c r="A14" s="6"/>
      <c r="B14" s="6"/>
    </row>
    <row r="15" spans="1:7" ht="13.2"/>
    <row r="16" spans="1:7" ht="13.2"/>
  </sheetData>
  <printOptions horizontalCentered="1" gridLines="1"/>
  <pageMargins left="0.7" right="0.7" top="0.75" bottom="0.75" header="0" footer="0"/>
  <pageSetup paperSize="12"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I99"/>
  <sheetViews>
    <sheetView topLeftCell="B1" workbookViewId="0"/>
  </sheetViews>
  <sheetFormatPr defaultColWidth="12.6640625" defaultRowHeight="15.75" customHeight="1"/>
  <cols>
    <col min="1" max="1" width="12.6640625" hidden="1"/>
    <col min="4" max="4" width="15" customWidth="1"/>
    <col min="5" max="5" width="18" customWidth="1"/>
    <col min="6" max="6" width="10.88671875" customWidth="1"/>
    <col min="7" max="7" width="7.33203125" hidden="1" customWidth="1"/>
    <col min="8" max="8" width="5.44140625" hidden="1" customWidth="1"/>
    <col min="9" max="9" width="12.6640625" hidden="1"/>
    <col min="10" max="10" width="5.6640625" hidden="1" customWidth="1"/>
    <col min="11" max="11" width="12.88671875" hidden="1" customWidth="1"/>
    <col min="12" max="12" width="8.44140625" customWidth="1"/>
    <col min="13" max="13" width="5.77734375" customWidth="1"/>
    <col min="14" max="14" width="8.6640625" customWidth="1"/>
    <col min="15" max="15" width="12.6640625" hidden="1"/>
    <col min="16" max="16" width="7" hidden="1" customWidth="1"/>
    <col min="17" max="17" width="8.88671875" customWidth="1"/>
    <col min="18" max="18" width="13" customWidth="1"/>
    <col min="19" max="19" width="24.88671875" customWidth="1"/>
    <col min="20" max="25" width="12.6640625" hidden="1"/>
    <col min="26" max="26" width="7" customWidth="1"/>
    <col min="27" max="27" width="12.6640625" hidden="1"/>
    <col min="29" max="34" width="12.6640625" hidden="1"/>
  </cols>
  <sheetData>
    <row r="1" spans="1:35" ht="22.8">
      <c r="A1" s="40"/>
      <c r="B1" s="48" t="s">
        <v>33</v>
      </c>
      <c r="C1" s="49"/>
      <c r="D1" s="49"/>
      <c r="E1" s="49"/>
      <c r="F1" s="49"/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5" ht="15" customHeight="1">
      <c r="A2" s="40"/>
      <c r="B2" s="51" t="s">
        <v>52</v>
      </c>
      <c r="C2" s="2"/>
      <c r="D2" s="2"/>
      <c r="E2" s="2"/>
      <c r="F2" s="63" t="str">
        <f ca="1">"Inscriptos: "&amp;COUNTA(C4:C100)</f>
        <v>Inscriptos: 1</v>
      </c>
      <c r="G2" s="2"/>
      <c r="H2" s="2"/>
      <c r="I2" s="54"/>
      <c r="J2" s="54"/>
      <c r="K2" s="54"/>
      <c r="L2" s="2"/>
      <c r="M2" s="2"/>
      <c r="N2" s="2"/>
      <c r="O2" s="2"/>
      <c r="P2" s="2"/>
      <c r="Q2" s="2"/>
      <c r="R2" s="2"/>
      <c r="S2" s="54"/>
      <c r="T2" s="54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5" ht="66">
      <c r="A3" s="40" t="s">
        <v>53</v>
      </c>
      <c r="B3" s="2" t="str">
        <f ca="1">IFERROR(__xludf.DUMMYFUNCTION("query(Titulos)"),"Dia y Hora")</f>
        <v>Dia y Hora</v>
      </c>
      <c r="C3" s="2" t="str">
        <f ca="1">IFERROR(__xludf.DUMMYFUNCTION("""COMPUTED_VALUE"""),"Nombre")</f>
        <v>Nombre</v>
      </c>
      <c r="D3" s="2" t="str">
        <f ca="1">IFERROR(__xludf.DUMMYFUNCTION("""COMPUTED_VALUE"""),"Apellido")</f>
        <v>Apellido</v>
      </c>
      <c r="E3" s="2" t="str">
        <f ca="1">IFERROR(__xludf.DUMMYFUNCTION("""COMPUTED_VALUE"""),"Ciudad")</f>
        <v>Ciudad</v>
      </c>
      <c r="F3" s="2" t="str">
        <f ca="1">IFERROR(__xludf.DUMMYFUNCTION("""COMPUTED_VALUE"""),"Pais")</f>
        <v>Pais</v>
      </c>
      <c r="G3" s="2" t="str">
        <f ca="1">IFERROR(__xludf.DUMMYFUNCTION("""COMPUTED_VALUE"""),"DNI")</f>
        <v>DNI</v>
      </c>
      <c r="H3" s="2" t="str">
        <f ca="1">IFERROR(__xludf.DUMMYFUNCTION("""COMPUTED_VALUE"""),"Nacimiento")</f>
        <v>Nacimiento</v>
      </c>
      <c r="I3" s="2" t="str">
        <f ca="1">IFERROR(__xludf.DUMMYFUNCTION("""COMPUTED_VALUE"""),"Celular de Contacto")</f>
        <v>Celular de Contacto</v>
      </c>
      <c r="J3" s="2" t="str">
        <f ca="1">IFERROR(__xludf.DUMMYFUNCTION("""COMPUTED_VALUE"""),"Celular de Emergencias")</f>
        <v>Celular de Emergencias</v>
      </c>
      <c r="K3" s="2" t="str">
        <f ca="1">IFERROR(__xludf.DUMMYFUNCTION("""COMPUTED_VALUE"""),"email")</f>
        <v>email</v>
      </c>
      <c r="L3" s="2" t="str">
        <f ca="1">IFERROR(__xludf.DUMMYFUNCTION("""COMPUTED_VALUE"""),"Sexo")</f>
        <v>Sexo</v>
      </c>
      <c r="M3" s="2" t="str">
        <f ca="1">IFERROR(__xludf.DUMMYFUNCTION("""COMPUTED_VALUE"""),"Club")</f>
        <v>Club</v>
      </c>
      <c r="N3" s="2" t="str">
        <f ca="1">IFERROR(__xludf.DUMMYFUNCTION("""COMPUTED_VALUE"""),"Categoría")</f>
        <v>Categoría</v>
      </c>
      <c r="O3" s="2" t="str">
        <f ca="1">IFERROR(__xludf.DUMMYFUNCTION("""COMPUTED_VALUE"""),"Clase")</f>
        <v>Clase</v>
      </c>
      <c r="P3" s="2" t="str">
        <f ca="1">IFERROR(__xludf.DUMMYFUNCTION("""COMPUTED_VALUE"""),"Proa Nº")</f>
        <v>Proa Nº</v>
      </c>
      <c r="Q3" s="2" t="str">
        <f ca="1">IFERROR(__xludf.DUMMYFUNCTION("""COMPUTED_VALUE"""),"Vela")</f>
        <v>Vela</v>
      </c>
      <c r="R3" s="2" t="str">
        <f ca="1">IFERROR(__xludf.DUMMYFUNCTION("""COMPUTED_VALUE"""),"Nombre del Barco")</f>
        <v>Nombre del Barco</v>
      </c>
      <c r="S3" s="2" t="str">
        <f ca="1">IFERROR(__xludf.DUMMYFUNCTION("""COMPUTED_VALUE"""),"Tripulante 1")</f>
        <v>Tripulante 1</v>
      </c>
      <c r="T3" s="2" t="str">
        <f ca="1">IFERROR(__xludf.DUMMYFUNCTION("""COMPUTED_VALUE"""),"Tripulante 2")</f>
        <v>Tripulante 2</v>
      </c>
      <c r="U3" s="2" t="str">
        <f ca="1">IFERROR(__xludf.DUMMYFUNCTION("""COMPUTED_VALUE"""),"Tripulante 3")</f>
        <v>Tripulante 3</v>
      </c>
      <c r="V3" s="2" t="str">
        <f ca="1">IFERROR(__xludf.DUMMYFUNCTION("""COMPUTED_VALUE"""),"Tripulante 4")</f>
        <v>Tripulante 4</v>
      </c>
      <c r="W3" s="2" t="str">
        <f ca="1">IFERROR(__xludf.DUMMYFUNCTION("""COMPUTED_VALUE"""),"Tripulante 5")</f>
        <v>Tripulante 5</v>
      </c>
      <c r="X3" s="2" t="str">
        <f ca="1">IFERROR(__xludf.DUMMYFUNCTION("""COMPUTED_VALUE"""),"Tripulante 6")</f>
        <v>Tripulante 6</v>
      </c>
      <c r="Y3" s="2" t="str">
        <f ca="1">IFERROR(__xludf.DUMMYFUNCTION("""COMPUTED_VALUE"""),"Obra Social/Nº Afiliado")</f>
        <v>Obra Social/Nº Afiliado</v>
      </c>
      <c r="Z3" s="54" t="str">
        <f ca="1">IFERROR(__xludf.DUMMYFUNCTION("""COMPUTED_VALUE"""),"Bajada YCO")</f>
        <v>Bajada YCO</v>
      </c>
      <c r="AA3" s="54" t="str">
        <f ca="1">IFERROR(__xludf.DUMMYFUNCTION("""COMPUTED_VALUE"""),"Términos y Condiciones")</f>
        <v>Términos y Condiciones</v>
      </c>
      <c r="AB3" s="54" t="str">
        <f ca="1">IFERROR(__xludf.DUMMYFUNCTION("""COMPUTED_VALUE"""),"Pago")</f>
        <v>Pago</v>
      </c>
      <c r="AC3" s="54" t="str">
        <f ca="1">IFERROR(__xludf.DUMMYFUNCTION("""COMPUTED_VALUE"""),"Importe")</f>
        <v>Importe</v>
      </c>
      <c r="AD3" s="2" t="str">
        <f ca="1">IFERROR(__xludf.DUMMYFUNCTION("""COMPUTED_VALUE"""),"RECIBO")</f>
        <v>RECIBO</v>
      </c>
      <c r="AI3" s="92" t="s">
        <v>32</v>
      </c>
    </row>
    <row r="4" spans="1:35" ht="13.2">
      <c r="B4" s="35">
        <f ca="1">IFERROR(__xludf.DUMMYFUNCTION("filter(Datos,Clases=A3)"),45535.6074681365)</f>
        <v>45535.607468136499</v>
      </c>
      <c r="C4" s="36" t="str">
        <f ca="1">IFERROR(__xludf.DUMMYFUNCTION("""COMPUTED_VALUE"""),"Vicente")</f>
        <v>Vicente</v>
      </c>
      <c r="D4" s="36" t="str">
        <f ca="1">IFERROR(__xludf.DUMMYFUNCTION("""COMPUTED_VALUE"""),"Di stefano")</f>
        <v>Di stefano</v>
      </c>
      <c r="E4" s="36" t="str">
        <f ca="1">IFERROR(__xludf.DUMMYFUNCTION("""COMPUTED_VALUE"""),"Buenos Aires")</f>
        <v>Buenos Aires</v>
      </c>
      <c r="F4" s="6" t="str">
        <f ca="1">IFERROR(__xludf.DUMMYFUNCTION("""COMPUTED_VALUE"""),"ARG")</f>
        <v>ARG</v>
      </c>
      <c r="G4" s="6">
        <f ca="1">IFERROR(__xludf.DUMMYFUNCTION("""COMPUTED_VALUE"""),48044836)</f>
        <v>48044836</v>
      </c>
      <c r="H4" s="37">
        <f ca="1">IFERROR(__xludf.DUMMYFUNCTION("""COMPUTED_VALUE"""),39305)</f>
        <v>39305</v>
      </c>
      <c r="I4" s="38">
        <f ca="1">IFERROR(__xludf.DUMMYFUNCTION("""COMPUTED_VALUE"""),1130355629)</f>
        <v>1130355629</v>
      </c>
      <c r="J4" s="38">
        <f ca="1">IFERROR(__xludf.DUMMYFUNCTION("""COMPUTED_VALUE"""),1125588407)</f>
        <v>1125588407</v>
      </c>
      <c r="K4" s="38" t="str">
        <f ca="1">IFERROR(__xludf.DUMMYFUNCTION("""COMPUTED_VALUE"""),"Fueguelvicente@gmail.com")</f>
        <v>Fueguelvicente@gmail.com</v>
      </c>
      <c r="L4" s="38" t="str">
        <f ca="1">IFERROR(__xludf.DUMMYFUNCTION("""COMPUTED_VALUE"""),"Masculino")</f>
        <v>Masculino</v>
      </c>
      <c r="M4" s="38" t="str">
        <f ca="1">IFERROR(__xludf.DUMMYFUNCTION("""COMPUTED_VALUE"""),"YCCN")</f>
        <v>YCCN</v>
      </c>
      <c r="N4" s="38" t="str">
        <f ca="1">IFERROR(__xludf.DUMMYFUNCTION("""COMPUTED_VALUE"""),"Cadet")</f>
        <v>Cadet</v>
      </c>
      <c r="O4" s="38" t="str">
        <f ca="1">IFERROR(__xludf.DUMMYFUNCTION("""COMPUTED_VALUE"""),"CADET")</f>
        <v>CADET</v>
      </c>
      <c r="P4" s="38"/>
      <c r="Q4" s="38">
        <f ca="1">IFERROR(__xludf.DUMMYFUNCTION("""COMPUTED_VALUE"""),9473)</f>
        <v>9473</v>
      </c>
      <c r="R4" s="38" t="str">
        <f ca="1">IFERROR(__xludf.DUMMYFUNCTION("""COMPUTED_VALUE"""),"El millonario")</f>
        <v>El millonario</v>
      </c>
      <c r="S4" s="38" t="str">
        <f ca="1">IFERROR(__xludf.DUMMYFUNCTION("""COMPUTED_VALUE"""),"Libertad Nandin")</f>
        <v>Libertad Nandin</v>
      </c>
      <c r="T4" s="38"/>
      <c r="U4" s="38"/>
      <c r="V4" s="38"/>
      <c r="W4" s="38"/>
      <c r="X4" s="38"/>
      <c r="Y4" s="38" t="str">
        <f ca="1">IFERROR(__xludf.DUMMYFUNCTION("""COMPUTED_VALUE"""),"Osde 62 984177 1 02")</f>
        <v>Osde 62 984177 1 02</v>
      </c>
      <c r="Z4" s="6" t="str">
        <f ca="1">IFERROR(__xludf.DUMMYFUNCTION("""COMPUTED_VALUE"""),"No")</f>
        <v>No</v>
      </c>
      <c r="AA4" s="6" t="str">
        <f ca="1">IFERROR(__xludf.DUMMYFUNCTION("""COMPUTED_VALUE"""),"Acepto")</f>
        <v>Acepto</v>
      </c>
      <c r="AB4" s="6" t="str">
        <f ca="1">IFERROR(__xludf.DUMMYFUNCTION("""COMPUTED_VALUE"""),"Pendiente")</f>
        <v>Pendiente</v>
      </c>
      <c r="AC4" s="6"/>
      <c r="AD4" s="38"/>
      <c r="AE4" s="38"/>
      <c r="AF4" s="38"/>
      <c r="AG4" s="38"/>
    </row>
    <row r="5" spans="1:35" ht="13.2">
      <c r="C5" s="36"/>
      <c r="D5" s="36"/>
      <c r="E5" s="36"/>
      <c r="F5" s="6"/>
      <c r="G5" s="6"/>
      <c r="Z5" s="6"/>
      <c r="AA5" s="6"/>
      <c r="AB5" s="6"/>
      <c r="AC5" s="6"/>
    </row>
    <row r="6" spans="1:35" ht="13.2">
      <c r="C6" s="36"/>
      <c r="D6" s="36"/>
      <c r="E6" s="36"/>
      <c r="F6" s="6"/>
      <c r="G6" s="6"/>
      <c r="Z6" s="6"/>
      <c r="AA6" s="6"/>
      <c r="AB6" s="6"/>
      <c r="AC6" s="6"/>
    </row>
    <row r="7" spans="1:35" ht="13.2">
      <c r="C7" s="36"/>
      <c r="D7" s="36"/>
      <c r="E7" s="36"/>
      <c r="F7" s="6"/>
      <c r="G7" s="6"/>
      <c r="Z7" s="6"/>
      <c r="AA7" s="6"/>
      <c r="AB7" s="6"/>
      <c r="AC7" s="6"/>
    </row>
    <row r="8" spans="1:35" ht="13.2">
      <c r="C8" s="36"/>
      <c r="D8" s="36"/>
      <c r="E8" s="36"/>
      <c r="F8" s="6"/>
      <c r="G8" s="6"/>
      <c r="Z8" s="6"/>
      <c r="AA8" s="6"/>
      <c r="AB8" s="6"/>
      <c r="AC8" s="6"/>
    </row>
    <row r="9" spans="1:35" ht="13.2">
      <c r="C9" s="36"/>
      <c r="D9" s="36"/>
      <c r="E9" s="36"/>
      <c r="F9" s="6"/>
      <c r="G9" s="6"/>
      <c r="Z9" s="6"/>
      <c r="AA9" s="6"/>
      <c r="AB9" s="6"/>
      <c r="AC9" s="6"/>
    </row>
    <row r="10" spans="1:35" ht="13.2">
      <c r="C10" s="36"/>
      <c r="D10" s="36"/>
      <c r="E10" s="36"/>
      <c r="F10" s="6"/>
      <c r="G10" s="6"/>
      <c r="Z10" s="6"/>
      <c r="AA10" s="6"/>
      <c r="AB10" s="6"/>
      <c r="AC10" s="6"/>
    </row>
    <row r="11" spans="1:35" ht="13.2">
      <c r="C11" s="36"/>
      <c r="D11" s="36"/>
      <c r="E11" s="36"/>
      <c r="F11" s="6"/>
      <c r="G11" s="6"/>
      <c r="Z11" s="6"/>
      <c r="AB11" s="6"/>
      <c r="AC11" s="6"/>
    </row>
    <row r="12" spans="1:35" ht="13.2">
      <c r="C12" s="36"/>
      <c r="D12" s="36"/>
      <c r="E12" s="36"/>
      <c r="F12" s="6"/>
      <c r="G12" s="6"/>
      <c r="Z12" s="6"/>
      <c r="AB12" s="6"/>
      <c r="AC12" s="6"/>
    </row>
    <row r="13" spans="1:35" ht="13.2">
      <c r="C13" s="36"/>
      <c r="D13" s="36"/>
      <c r="E13" s="36"/>
      <c r="F13" s="6"/>
      <c r="G13" s="6"/>
      <c r="Z13" s="6"/>
      <c r="AB13" s="6"/>
      <c r="AC13" s="6"/>
    </row>
    <row r="14" spans="1:35" ht="13.2">
      <c r="C14" s="36"/>
      <c r="D14" s="36"/>
      <c r="E14" s="36"/>
      <c r="F14" s="6"/>
      <c r="G14" s="6"/>
      <c r="AC14" s="6"/>
    </row>
    <row r="15" spans="1:35" ht="13.2">
      <c r="C15" s="36"/>
      <c r="D15" s="36"/>
      <c r="E15" s="36"/>
      <c r="F15" s="6"/>
      <c r="G15" s="6"/>
      <c r="AC15" s="6"/>
    </row>
    <row r="16" spans="1:35" ht="13.2">
      <c r="C16" s="36"/>
      <c r="D16" s="36"/>
      <c r="E16" s="36"/>
      <c r="F16" s="6"/>
      <c r="G16" s="6"/>
    </row>
    <row r="17" spans="3:7" ht="13.2">
      <c r="C17" s="36"/>
      <c r="D17" s="36"/>
      <c r="E17" s="36"/>
      <c r="F17" s="6"/>
      <c r="G17" s="6"/>
    </row>
    <row r="18" spans="3:7" ht="13.2">
      <c r="C18" s="36"/>
      <c r="D18" s="36"/>
      <c r="E18" s="36"/>
      <c r="F18" s="6"/>
      <c r="G18" s="6"/>
    </row>
    <row r="19" spans="3:7" ht="13.2">
      <c r="C19" s="36"/>
      <c r="D19" s="36"/>
      <c r="E19" s="36"/>
      <c r="F19" s="6"/>
      <c r="G19" s="6"/>
    </row>
    <row r="20" spans="3:7" ht="13.2">
      <c r="D20" s="6"/>
      <c r="E20" s="6"/>
      <c r="F20" s="6"/>
      <c r="G20" s="6"/>
    </row>
    <row r="21" spans="3:7" ht="13.2">
      <c r="D21" s="6"/>
      <c r="E21" s="6"/>
      <c r="F21" s="6"/>
      <c r="G21" s="6"/>
    </row>
    <row r="22" spans="3:7" ht="13.2">
      <c r="D22" s="6"/>
      <c r="E22" s="6"/>
      <c r="F22" s="6"/>
      <c r="G22" s="6"/>
    </row>
    <row r="23" spans="3:7" ht="13.2">
      <c r="D23" s="6"/>
      <c r="E23" s="6"/>
      <c r="F23" s="6"/>
      <c r="G23" s="6"/>
    </row>
    <row r="24" spans="3:7" ht="13.2">
      <c r="D24" s="6"/>
      <c r="E24" s="6"/>
      <c r="F24" s="6"/>
      <c r="G24" s="6"/>
    </row>
    <row r="25" spans="3:7" ht="13.2">
      <c r="D25" s="6"/>
      <c r="E25" s="6"/>
      <c r="F25" s="6"/>
      <c r="G25" s="6"/>
    </row>
    <row r="26" spans="3:7" ht="13.2">
      <c r="D26" s="6"/>
      <c r="E26" s="6"/>
      <c r="F26" s="6"/>
      <c r="G26" s="6"/>
    </row>
    <row r="27" spans="3:7" ht="13.2">
      <c r="D27" s="6"/>
      <c r="E27" s="6"/>
      <c r="F27" s="6"/>
      <c r="G27" s="6"/>
    </row>
    <row r="28" spans="3:7" ht="13.2">
      <c r="D28" s="6"/>
      <c r="E28" s="6"/>
      <c r="F28" s="6"/>
      <c r="G28" s="6"/>
    </row>
    <row r="29" spans="3:7" ht="13.2">
      <c r="D29" s="6"/>
      <c r="E29" s="6"/>
      <c r="F29" s="6"/>
      <c r="G29" s="6"/>
    </row>
    <row r="30" spans="3:7" ht="13.2">
      <c r="D30" s="6"/>
      <c r="E30" s="6"/>
      <c r="F30" s="6"/>
      <c r="G30" s="6"/>
    </row>
    <row r="31" spans="3:7" ht="13.2">
      <c r="D31" s="6"/>
      <c r="E31" s="6"/>
      <c r="F31" s="6"/>
      <c r="G31" s="6"/>
    </row>
    <row r="32" spans="3:7" ht="13.2">
      <c r="D32" s="6"/>
      <c r="E32" s="6"/>
      <c r="F32" s="6"/>
      <c r="G32" s="6"/>
    </row>
    <row r="33" spans="4:7" ht="13.2">
      <c r="D33" s="6"/>
      <c r="E33" s="6"/>
      <c r="F33" s="6"/>
      <c r="G33" s="6"/>
    </row>
    <row r="34" spans="4:7" ht="13.2">
      <c r="D34" s="6"/>
      <c r="E34" s="6"/>
      <c r="F34" s="6"/>
      <c r="G34" s="6"/>
    </row>
    <row r="35" spans="4:7" ht="13.2">
      <c r="D35" s="6"/>
      <c r="E35" s="6"/>
      <c r="F35" s="6"/>
      <c r="G35" s="6"/>
    </row>
    <row r="36" spans="4:7" ht="13.2">
      <c r="D36" s="6"/>
      <c r="E36" s="6"/>
      <c r="F36" s="6"/>
      <c r="G36" s="6"/>
    </row>
    <row r="37" spans="4:7" ht="13.2">
      <c r="D37" s="6"/>
      <c r="E37" s="6"/>
      <c r="F37" s="6"/>
      <c r="G37" s="6"/>
    </row>
    <row r="38" spans="4:7" ht="13.2">
      <c r="D38" s="6"/>
      <c r="E38" s="6"/>
      <c r="F38" s="6"/>
      <c r="G38" s="6"/>
    </row>
    <row r="39" spans="4:7" ht="13.2">
      <c r="D39" s="6"/>
      <c r="E39" s="6"/>
      <c r="F39" s="6"/>
      <c r="G39" s="6"/>
    </row>
    <row r="40" spans="4:7" ht="13.2">
      <c r="D40" s="6"/>
      <c r="E40" s="6"/>
      <c r="F40" s="6"/>
      <c r="G40" s="6"/>
    </row>
    <row r="41" spans="4:7" ht="13.2">
      <c r="D41" s="6"/>
      <c r="E41" s="6"/>
      <c r="F41" s="6"/>
      <c r="G41" s="6"/>
    </row>
    <row r="42" spans="4:7" ht="13.2">
      <c r="D42" s="6"/>
      <c r="E42" s="6"/>
      <c r="F42" s="6"/>
      <c r="G42" s="6"/>
    </row>
    <row r="43" spans="4:7" ht="13.2">
      <c r="D43" s="6"/>
      <c r="E43" s="6"/>
      <c r="F43" s="6"/>
      <c r="G43" s="6"/>
    </row>
    <row r="44" spans="4:7" ht="13.2">
      <c r="D44" s="6"/>
      <c r="E44" s="6"/>
      <c r="F44" s="6"/>
      <c r="G44" s="6"/>
    </row>
    <row r="45" spans="4:7" ht="13.2">
      <c r="D45" s="6"/>
      <c r="E45" s="6"/>
      <c r="F45" s="6"/>
      <c r="G45" s="6"/>
    </row>
    <row r="46" spans="4:7" ht="13.2">
      <c r="D46" s="6"/>
      <c r="E46" s="6"/>
      <c r="F46" s="6"/>
      <c r="G46" s="6"/>
    </row>
    <row r="47" spans="4:7" ht="13.2">
      <c r="D47" s="6"/>
      <c r="E47" s="6"/>
      <c r="F47" s="6"/>
      <c r="G47" s="6"/>
    </row>
    <row r="48" spans="4:7" ht="13.2">
      <c r="E48" s="6"/>
      <c r="F48" s="6"/>
      <c r="G48" s="6"/>
    </row>
    <row r="49" spans="5:7" ht="13.2">
      <c r="E49" s="6"/>
      <c r="F49" s="6"/>
      <c r="G49" s="6"/>
    </row>
    <row r="50" spans="5:7" ht="13.2">
      <c r="E50" s="6"/>
      <c r="F50" s="6"/>
      <c r="G50" s="6"/>
    </row>
    <row r="51" spans="5:7" ht="13.2">
      <c r="E51" s="6"/>
      <c r="F51" s="6"/>
      <c r="G51" s="6"/>
    </row>
    <row r="52" spans="5:7" ht="13.2">
      <c r="E52" s="6"/>
      <c r="F52" s="6"/>
      <c r="G52" s="6"/>
    </row>
    <row r="53" spans="5:7" ht="13.2">
      <c r="E53" s="6"/>
      <c r="F53" s="6"/>
      <c r="G53" s="6"/>
    </row>
    <row r="54" spans="5:7" ht="13.2">
      <c r="E54" s="6"/>
      <c r="F54" s="6"/>
      <c r="G54" s="6"/>
    </row>
    <row r="55" spans="5:7" ht="13.2">
      <c r="E55" s="6"/>
      <c r="F55" s="6"/>
      <c r="G55" s="6"/>
    </row>
    <row r="56" spans="5:7" ht="13.2">
      <c r="E56" s="6"/>
      <c r="F56" s="6"/>
      <c r="G56" s="6"/>
    </row>
    <row r="57" spans="5:7" ht="13.2">
      <c r="E57" s="6"/>
      <c r="F57" s="6"/>
      <c r="G57" s="6"/>
    </row>
    <row r="58" spans="5:7" ht="13.2">
      <c r="E58" s="6"/>
      <c r="F58" s="6"/>
      <c r="G58" s="6"/>
    </row>
    <row r="59" spans="5:7" ht="13.2">
      <c r="E59" s="6"/>
      <c r="F59" s="6"/>
      <c r="G59" s="6"/>
    </row>
    <row r="60" spans="5:7" ht="13.2">
      <c r="E60" s="6"/>
      <c r="F60" s="6"/>
      <c r="G60" s="6"/>
    </row>
    <row r="61" spans="5:7" ht="13.2">
      <c r="E61" s="6"/>
      <c r="F61" s="6"/>
      <c r="G61" s="6"/>
    </row>
    <row r="62" spans="5:7" ht="13.2">
      <c r="E62" s="6"/>
      <c r="F62" s="6"/>
      <c r="G62" s="6"/>
    </row>
    <row r="63" spans="5:7" ht="13.2">
      <c r="E63" s="6"/>
      <c r="F63" s="6"/>
      <c r="G63" s="6"/>
    </row>
    <row r="64" spans="5:7" ht="13.2">
      <c r="E64" s="6"/>
      <c r="F64" s="6"/>
      <c r="G64" s="6"/>
    </row>
    <row r="65" spans="5:7" ht="13.2">
      <c r="E65" s="6"/>
      <c r="F65" s="6"/>
      <c r="G65" s="6"/>
    </row>
    <row r="66" spans="5:7" ht="13.2">
      <c r="E66" s="6"/>
      <c r="F66" s="6"/>
      <c r="G66" s="6"/>
    </row>
    <row r="67" spans="5:7" ht="13.2">
      <c r="E67" s="6"/>
      <c r="F67" s="6"/>
      <c r="G67" s="6"/>
    </row>
    <row r="68" spans="5:7" ht="13.2">
      <c r="E68" s="6"/>
      <c r="F68" s="6"/>
      <c r="G68" s="6"/>
    </row>
    <row r="69" spans="5:7" ht="13.2">
      <c r="E69" s="6"/>
      <c r="F69" s="6"/>
      <c r="G69" s="6"/>
    </row>
    <row r="70" spans="5:7" ht="13.2">
      <c r="E70" s="6"/>
      <c r="F70" s="6"/>
      <c r="G70" s="6"/>
    </row>
    <row r="71" spans="5:7" ht="13.2">
      <c r="E71" s="6"/>
      <c r="F71" s="6"/>
      <c r="G71" s="6"/>
    </row>
    <row r="72" spans="5:7" ht="13.2">
      <c r="E72" s="6"/>
      <c r="F72" s="6"/>
      <c r="G72" s="6"/>
    </row>
    <row r="73" spans="5:7" ht="13.2">
      <c r="E73" s="6"/>
      <c r="F73" s="6"/>
      <c r="G73" s="6"/>
    </row>
    <row r="74" spans="5:7" ht="13.2">
      <c r="E74" s="6"/>
      <c r="F74" s="6"/>
      <c r="G74" s="6"/>
    </row>
    <row r="75" spans="5:7" ht="13.2">
      <c r="E75" s="6"/>
      <c r="F75" s="6"/>
      <c r="G75" s="6"/>
    </row>
    <row r="76" spans="5:7" ht="13.2">
      <c r="E76" s="6"/>
      <c r="F76" s="6"/>
      <c r="G76" s="6"/>
    </row>
    <row r="77" spans="5:7" ht="13.2">
      <c r="E77" s="6"/>
      <c r="F77" s="6"/>
      <c r="G77" s="6"/>
    </row>
    <row r="78" spans="5:7" ht="13.2">
      <c r="E78" s="6"/>
      <c r="F78" s="6"/>
      <c r="G78" s="6"/>
    </row>
    <row r="79" spans="5:7" ht="13.2">
      <c r="E79" s="6"/>
      <c r="F79" s="6"/>
      <c r="G79" s="6"/>
    </row>
    <row r="80" spans="5:7" ht="13.2">
      <c r="E80" s="6"/>
      <c r="F80" s="6"/>
      <c r="G80" s="6"/>
    </row>
    <row r="81" spans="5:7" ht="13.2">
      <c r="E81" s="6"/>
      <c r="F81" s="6"/>
      <c r="G81" s="6"/>
    </row>
    <row r="82" spans="5:7" ht="13.2">
      <c r="E82" s="6"/>
      <c r="F82" s="6"/>
      <c r="G82" s="6"/>
    </row>
    <row r="83" spans="5:7" ht="13.2">
      <c r="E83" s="6"/>
      <c r="F83" s="6"/>
      <c r="G83" s="6"/>
    </row>
    <row r="84" spans="5:7" ht="13.2">
      <c r="E84" s="6"/>
      <c r="F84" s="6"/>
      <c r="G84" s="6"/>
    </row>
    <row r="85" spans="5:7" ht="13.2">
      <c r="E85" s="6"/>
      <c r="F85" s="6"/>
      <c r="G85" s="6"/>
    </row>
    <row r="86" spans="5:7" ht="13.2">
      <c r="E86" s="6"/>
      <c r="F86" s="6"/>
      <c r="G86" s="6"/>
    </row>
    <row r="87" spans="5:7" ht="13.2">
      <c r="E87" s="6"/>
      <c r="F87" s="6"/>
      <c r="G87" s="6"/>
    </row>
    <row r="88" spans="5:7" ht="13.2">
      <c r="E88" s="6"/>
      <c r="F88" s="6"/>
      <c r="G88" s="6"/>
    </row>
    <row r="89" spans="5:7" ht="13.2">
      <c r="E89" s="6"/>
      <c r="F89" s="6"/>
      <c r="G89" s="6"/>
    </row>
    <row r="90" spans="5:7" ht="13.2">
      <c r="E90" s="6"/>
      <c r="F90" s="6"/>
      <c r="G90" s="6"/>
    </row>
    <row r="91" spans="5:7" ht="13.2">
      <c r="E91" s="6"/>
      <c r="F91" s="6"/>
      <c r="G91" s="6"/>
    </row>
    <row r="92" spans="5:7" ht="13.2">
      <c r="E92" s="6"/>
      <c r="F92" s="6"/>
      <c r="G92" s="6"/>
    </row>
    <row r="93" spans="5:7" ht="13.2">
      <c r="E93" s="6"/>
      <c r="F93" s="6"/>
      <c r="G93" s="6"/>
    </row>
    <row r="94" spans="5:7" ht="13.2">
      <c r="E94" s="6"/>
      <c r="F94" s="6"/>
      <c r="G94" s="6"/>
    </row>
    <row r="95" spans="5:7" ht="13.2">
      <c r="E95" s="6"/>
      <c r="F95" s="6"/>
      <c r="G95" s="6"/>
    </row>
    <row r="96" spans="5:7" ht="13.2">
      <c r="E96" s="6"/>
      <c r="F96" s="6"/>
      <c r="G96" s="6"/>
    </row>
    <row r="97" spans="5:7" ht="13.2">
      <c r="E97" s="6"/>
      <c r="F97" s="6"/>
      <c r="G97" s="6"/>
    </row>
    <row r="98" spans="5:7" ht="13.2">
      <c r="E98" s="6"/>
      <c r="F98" s="6"/>
      <c r="G98" s="6"/>
    </row>
    <row r="99" spans="5:7" ht="13.2">
      <c r="E99" s="6"/>
      <c r="F99" s="6"/>
      <c r="G99" s="6"/>
    </row>
  </sheetData>
  <conditionalFormatting sqref="B4:B136">
    <cfRule type="cellIs" dxfId="11" priority="1" operator="equal">
      <formula>"Pago"</formula>
    </cfRule>
  </conditionalFormatting>
  <conditionalFormatting sqref="G1 I2 G4:G33">
    <cfRule type="cellIs" dxfId="10" priority="2" operator="equal">
      <formula>"Si"</formula>
    </cfRule>
  </conditionalFormatting>
  <conditionalFormatting sqref="Z3:AB20">
    <cfRule type="cellIs" dxfId="9" priority="3" operator="equal">
      <formula>"Terminado"</formula>
    </cfRule>
  </conditionalFormatting>
  <conditionalFormatting sqref="AC3:AC15">
    <cfRule type="cellIs" dxfId="8" priority="4" operator="equal">
      <formula>"OK"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E6"/>
  <sheetViews>
    <sheetView topLeftCell="B1" workbookViewId="0"/>
  </sheetViews>
  <sheetFormatPr defaultColWidth="12.6640625" defaultRowHeight="15.75" customHeight="1"/>
  <cols>
    <col min="1" max="1" width="12.6640625" hidden="1"/>
  </cols>
  <sheetData>
    <row r="1" spans="1:31" ht="22.8">
      <c r="A1" s="40"/>
      <c r="B1" s="48" t="s">
        <v>33</v>
      </c>
      <c r="C1" s="49"/>
      <c r="D1" s="49"/>
      <c r="E1" s="49"/>
      <c r="F1" s="49"/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31" ht="15" customHeight="1">
      <c r="A2" s="40"/>
      <c r="B2" s="51" t="s">
        <v>54</v>
      </c>
      <c r="C2" s="2"/>
      <c r="D2" s="2"/>
      <c r="E2" s="2"/>
      <c r="F2" s="63" t="str">
        <f>"Inscriptos: "&amp;COUNTA(C4:C104)</f>
        <v>Inscriptos: 0</v>
      </c>
      <c r="G2" s="2"/>
      <c r="H2" s="2"/>
      <c r="I2" s="54"/>
      <c r="J2" s="54"/>
      <c r="K2" s="54"/>
      <c r="L2" s="40"/>
      <c r="M2" s="2"/>
      <c r="N2" s="2"/>
      <c r="O2" s="2"/>
      <c r="P2" s="2"/>
      <c r="Q2" s="2"/>
      <c r="R2" s="2"/>
      <c r="S2" s="2"/>
      <c r="T2" s="54"/>
      <c r="U2" s="54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39.6">
      <c r="A3" s="40" t="s">
        <v>55</v>
      </c>
      <c r="B3" s="2" t="str">
        <f ca="1">IFERROR(__xludf.DUMMYFUNCTION("query(Titulos)"),"Dia y Hora")</f>
        <v>Dia y Hora</v>
      </c>
      <c r="C3" s="66" t="str">
        <f ca="1">IFERROR(__xludf.DUMMYFUNCTION("""COMPUTED_VALUE"""),"Nombre")</f>
        <v>Nombre</v>
      </c>
      <c r="D3" s="66" t="str">
        <f ca="1">IFERROR(__xludf.DUMMYFUNCTION("""COMPUTED_VALUE"""),"Apellido")</f>
        <v>Apellido</v>
      </c>
      <c r="E3" s="66" t="str">
        <f ca="1">IFERROR(__xludf.DUMMYFUNCTION("""COMPUTED_VALUE"""),"Ciudad")</f>
        <v>Ciudad</v>
      </c>
      <c r="F3" s="2" t="str">
        <f ca="1">IFERROR(__xludf.DUMMYFUNCTION("""COMPUTED_VALUE"""),"Pais")</f>
        <v>Pais</v>
      </c>
      <c r="G3" s="2" t="str">
        <f ca="1">IFERROR(__xludf.DUMMYFUNCTION("""COMPUTED_VALUE"""),"DNI")</f>
        <v>DNI</v>
      </c>
      <c r="H3" s="2" t="str">
        <f ca="1">IFERROR(__xludf.DUMMYFUNCTION("""COMPUTED_VALUE"""),"Nacimiento")</f>
        <v>Nacimiento</v>
      </c>
      <c r="I3" s="2" t="str">
        <f ca="1">IFERROR(__xludf.DUMMYFUNCTION("""COMPUTED_VALUE"""),"Celular de Contacto")</f>
        <v>Celular de Contacto</v>
      </c>
      <c r="J3" s="2" t="str">
        <f ca="1">IFERROR(__xludf.DUMMYFUNCTION("""COMPUTED_VALUE"""),"Celular de Emergencias")</f>
        <v>Celular de Emergencias</v>
      </c>
      <c r="K3" s="2" t="str">
        <f ca="1">IFERROR(__xludf.DUMMYFUNCTION("""COMPUTED_VALUE"""),"email")</f>
        <v>email</v>
      </c>
      <c r="L3" s="2" t="str">
        <f ca="1">IFERROR(__xludf.DUMMYFUNCTION("""COMPUTED_VALUE"""),"Sexo")</f>
        <v>Sexo</v>
      </c>
      <c r="M3" s="2" t="str">
        <f ca="1">IFERROR(__xludf.DUMMYFUNCTION("""COMPUTED_VALUE"""),"Club")</f>
        <v>Club</v>
      </c>
      <c r="N3" s="2" t="str">
        <f ca="1">IFERROR(__xludf.DUMMYFUNCTION("""COMPUTED_VALUE"""),"Categoría")</f>
        <v>Categoría</v>
      </c>
      <c r="O3" s="2" t="str">
        <f ca="1">IFERROR(__xludf.DUMMYFUNCTION("""COMPUTED_VALUE"""),"Clase")</f>
        <v>Clase</v>
      </c>
      <c r="P3" s="2" t="str">
        <f ca="1">IFERROR(__xludf.DUMMYFUNCTION("""COMPUTED_VALUE"""),"Proa Nº")</f>
        <v>Proa Nº</v>
      </c>
      <c r="Q3" s="2" t="str">
        <f ca="1">IFERROR(__xludf.DUMMYFUNCTION("""COMPUTED_VALUE"""),"Vela")</f>
        <v>Vela</v>
      </c>
      <c r="R3" s="2" t="str">
        <f ca="1">IFERROR(__xludf.DUMMYFUNCTION("""COMPUTED_VALUE"""),"Nombre del Barco")</f>
        <v>Nombre del Barco</v>
      </c>
      <c r="S3" s="2" t="str">
        <f ca="1">IFERROR(__xludf.DUMMYFUNCTION("""COMPUTED_VALUE"""),"Tripulante 1")</f>
        <v>Tripulante 1</v>
      </c>
      <c r="T3" s="2" t="str">
        <f ca="1">IFERROR(__xludf.DUMMYFUNCTION("""COMPUTED_VALUE"""),"Tripulante 2")</f>
        <v>Tripulante 2</v>
      </c>
      <c r="U3" s="2" t="str">
        <f ca="1">IFERROR(__xludf.DUMMYFUNCTION("""COMPUTED_VALUE"""),"Tripulante 3")</f>
        <v>Tripulante 3</v>
      </c>
      <c r="V3" s="2" t="str">
        <f ca="1">IFERROR(__xludf.DUMMYFUNCTION("""COMPUTED_VALUE"""),"Tripulante 4")</f>
        <v>Tripulante 4</v>
      </c>
      <c r="W3" s="2" t="str">
        <f ca="1">IFERROR(__xludf.DUMMYFUNCTION("""COMPUTED_VALUE"""),"Tripulante 5")</f>
        <v>Tripulante 5</v>
      </c>
      <c r="X3" s="2" t="str">
        <f ca="1">IFERROR(__xludf.DUMMYFUNCTION("""COMPUTED_VALUE"""),"Tripulante 6")</f>
        <v>Tripulante 6</v>
      </c>
      <c r="Y3" s="2" t="str">
        <f ca="1">IFERROR(__xludf.DUMMYFUNCTION("""COMPUTED_VALUE"""),"Obra Social/Nº Afiliado")</f>
        <v>Obra Social/Nº Afiliado</v>
      </c>
      <c r="Z3" s="2" t="str">
        <f ca="1">IFERROR(__xludf.DUMMYFUNCTION("""COMPUTED_VALUE"""),"Bajada YCO")</f>
        <v>Bajada YCO</v>
      </c>
      <c r="AA3" s="54" t="str">
        <f ca="1">IFERROR(__xludf.DUMMYFUNCTION("""COMPUTED_VALUE"""),"Términos y Condiciones")</f>
        <v>Términos y Condiciones</v>
      </c>
      <c r="AB3" s="2" t="str">
        <f ca="1">IFERROR(__xludf.DUMMYFUNCTION("""COMPUTED_VALUE"""),"Pago")</f>
        <v>Pago</v>
      </c>
      <c r="AC3" s="54" t="str">
        <f ca="1">IFERROR(__xludf.DUMMYFUNCTION("""COMPUTED_VALUE"""),"Importe")</f>
        <v>Importe</v>
      </c>
      <c r="AD3" s="2" t="str">
        <f ca="1">IFERROR(__xludf.DUMMYFUNCTION("""COMPUTED_VALUE"""),"RECIBO")</f>
        <v>RECIBO</v>
      </c>
      <c r="AE3" s="2"/>
    </row>
    <row r="4" spans="1:31" ht="13.2">
      <c r="B4" s="38" t="str">
        <f ca="1">IFERROR(__xludf.DUMMYFUNCTION("filter(Datos,Clases=A3)"),"#N/A")</f>
        <v>#N/A</v>
      </c>
    </row>
    <row r="6" spans="1:31" ht="13.2">
      <c r="A6" s="38"/>
    </row>
  </sheetData>
  <conditionalFormatting sqref="G1:G3 I2">
    <cfRule type="cellIs" dxfId="7" priority="1" operator="equal">
      <formula>"Si"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AG99"/>
  <sheetViews>
    <sheetView topLeftCell="B1" workbookViewId="0"/>
  </sheetViews>
  <sheetFormatPr defaultColWidth="12.6640625" defaultRowHeight="15.75" customHeight="1"/>
  <cols>
    <col min="1" max="1" width="12.6640625" hidden="1"/>
    <col min="3" max="3" width="11.33203125" customWidth="1"/>
    <col min="4" max="4" width="11.109375" customWidth="1"/>
    <col min="5" max="5" width="14" customWidth="1"/>
    <col min="6" max="6" width="6.21875" customWidth="1"/>
    <col min="7" max="7" width="5.109375" hidden="1" customWidth="1"/>
    <col min="8" max="8" width="5.44140625" hidden="1" customWidth="1"/>
    <col min="9" max="9" width="12.6640625" hidden="1"/>
    <col min="10" max="10" width="4.77734375" hidden="1" customWidth="1"/>
    <col min="11" max="11" width="19.88671875" hidden="1" customWidth="1"/>
    <col min="12" max="12" width="8.44140625" customWidth="1"/>
    <col min="13" max="13" width="19" customWidth="1"/>
    <col min="14" max="14" width="8.6640625" customWidth="1"/>
    <col min="15" max="15" width="12.6640625" hidden="1"/>
    <col min="16" max="16" width="7" hidden="1" customWidth="1"/>
    <col min="17" max="17" width="8.77734375" customWidth="1"/>
    <col min="19" max="19" width="16.77734375" customWidth="1"/>
    <col min="20" max="25" width="12.6640625" hidden="1"/>
    <col min="26" max="26" width="7.44140625" customWidth="1"/>
    <col min="27" max="27" width="12.6640625" hidden="1"/>
    <col min="28" max="28" width="10.33203125" customWidth="1"/>
    <col min="29" max="33" width="12.6640625" hidden="1"/>
  </cols>
  <sheetData>
    <row r="1" spans="1:30" ht="22.8">
      <c r="A1" s="40"/>
      <c r="B1" s="48" t="s">
        <v>33</v>
      </c>
      <c r="C1" s="49"/>
      <c r="D1" s="49"/>
      <c r="E1" s="49"/>
      <c r="F1" s="49"/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0" ht="15" customHeight="1">
      <c r="A2" s="40"/>
      <c r="B2" s="51" t="s">
        <v>56</v>
      </c>
      <c r="C2" s="2"/>
      <c r="D2" s="2"/>
      <c r="E2" s="2"/>
      <c r="F2" s="63" t="str">
        <f>"Inscriptos: "&amp;COUNTA(C4:C100)</f>
        <v>Inscriptos: 0</v>
      </c>
      <c r="G2" s="2"/>
      <c r="H2" s="2"/>
      <c r="I2" s="54"/>
      <c r="J2" s="54"/>
      <c r="K2" s="54"/>
      <c r="L2" s="2"/>
      <c r="M2" s="2"/>
      <c r="N2" s="2"/>
      <c r="O2" s="2"/>
      <c r="P2" s="2"/>
      <c r="Q2" s="2"/>
      <c r="R2" s="2"/>
      <c r="S2" s="54"/>
      <c r="T2" s="54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92.4">
      <c r="A3" s="40" t="s">
        <v>57</v>
      </c>
      <c r="B3" s="2" t="str">
        <f ca="1">IFERROR(__xludf.DUMMYFUNCTION("query(Titulos)"),"Dia y Hora")</f>
        <v>Dia y Hora</v>
      </c>
      <c r="C3" s="2" t="str">
        <f ca="1">IFERROR(__xludf.DUMMYFUNCTION("""COMPUTED_VALUE"""),"Nombre")</f>
        <v>Nombre</v>
      </c>
      <c r="D3" s="2" t="str">
        <f ca="1">IFERROR(__xludf.DUMMYFUNCTION("""COMPUTED_VALUE"""),"Apellido")</f>
        <v>Apellido</v>
      </c>
      <c r="E3" s="2" t="str">
        <f ca="1">IFERROR(__xludf.DUMMYFUNCTION("""COMPUTED_VALUE"""),"Ciudad")</f>
        <v>Ciudad</v>
      </c>
      <c r="F3" s="2" t="str">
        <f ca="1">IFERROR(__xludf.DUMMYFUNCTION("""COMPUTED_VALUE"""),"Pais")</f>
        <v>Pais</v>
      </c>
      <c r="G3" s="2" t="str">
        <f ca="1">IFERROR(__xludf.DUMMYFUNCTION("""COMPUTED_VALUE"""),"DNI")</f>
        <v>DNI</v>
      </c>
      <c r="H3" s="2" t="str">
        <f ca="1">IFERROR(__xludf.DUMMYFUNCTION("""COMPUTED_VALUE"""),"Nacimiento")</f>
        <v>Nacimiento</v>
      </c>
      <c r="I3" s="2" t="str">
        <f ca="1">IFERROR(__xludf.DUMMYFUNCTION("""COMPUTED_VALUE"""),"Celular de Contacto")</f>
        <v>Celular de Contacto</v>
      </c>
      <c r="J3" s="2" t="str">
        <f ca="1">IFERROR(__xludf.DUMMYFUNCTION("""COMPUTED_VALUE"""),"Celular de Emergencias")</f>
        <v>Celular de Emergencias</v>
      </c>
      <c r="K3" s="2" t="str">
        <f ca="1">IFERROR(__xludf.DUMMYFUNCTION("""COMPUTED_VALUE"""),"email")</f>
        <v>email</v>
      </c>
      <c r="L3" s="2" t="str">
        <f ca="1">IFERROR(__xludf.DUMMYFUNCTION("""COMPUTED_VALUE"""),"Sexo")</f>
        <v>Sexo</v>
      </c>
      <c r="M3" s="2" t="str">
        <f ca="1">IFERROR(__xludf.DUMMYFUNCTION("""COMPUTED_VALUE"""),"Club")</f>
        <v>Club</v>
      </c>
      <c r="N3" s="2" t="str">
        <f ca="1">IFERROR(__xludf.DUMMYFUNCTION("""COMPUTED_VALUE"""),"Categoría")</f>
        <v>Categoría</v>
      </c>
      <c r="O3" s="2" t="str">
        <f ca="1">IFERROR(__xludf.DUMMYFUNCTION("""COMPUTED_VALUE"""),"Clase")</f>
        <v>Clase</v>
      </c>
      <c r="P3" s="2" t="str">
        <f ca="1">IFERROR(__xludf.DUMMYFUNCTION("""COMPUTED_VALUE"""),"Proa Nº")</f>
        <v>Proa Nº</v>
      </c>
      <c r="Q3" s="54" t="str">
        <f ca="1">IFERROR(__xludf.DUMMYFUNCTION("""COMPUTED_VALUE"""),"Vela")</f>
        <v>Vela</v>
      </c>
      <c r="R3" s="2" t="str">
        <f ca="1">IFERROR(__xludf.DUMMYFUNCTION("""COMPUTED_VALUE"""),"Nombre del Barco")</f>
        <v>Nombre del Barco</v>
      </c>
      <c r="S3" s="2" t="str">
        <f ca="1">IFERROR(__xludf.DUMMYFUNCTION("""COMPUTED_VALUE"""),"Tripulante 1")</f>
        <v>Tripulante 1</v>
      </c>
      <c r="T3" s="2" t="str">
        <f ca="1">IFERROR(__xludf.DUMMYFUNCTION("""COMPUTED_VALUE"""),"Tripulante 2")</f>
        <v>Tripulante 2</v>
      </c>
      <c r="U3" s="2" t="str">
        <f ca="1">IFERROR(__xludf.DUMMYFUNCTION("""COMPUTED_VALUE"""),"Tripulante 3")</f>
        <v>Tripulante 3</v>
      </c>
      <c r="V3" s="2" t="str">
        <f ca="1">IFERROR(__xludf.DUMMYFUNCTION("""COMPUTED_VALUE"""),"Tripulante 4")</f>
        <v>Tripulante 4</v>
      </c>
      <c r="W3" s="2" t="str">
        <f ca="1">IFERROR(__xludf.DUMMYFUNCTION("""COMPUTED_VALUE"""),"Tripulante 5")</f>
        <v>Tripulante 5</v>
      </c>
      <c r="X3" s="2" t="str">
        <f ca="1">IFERROR(__xludf.DUMMYFUNCTION("""COMPUTED_VALUE"""),"Tripulante 6")</f>
        <v>Tripulante 6</v>
      </c>
      <c r="Y3" s="2" t="str">
        <f ca="1">IFERROR(__xludf.DUMMYFUNCTION("""COMPUTED_VALUE"""),"Obra Social/Nº Afiliado")</f>
        <v>Obra Social/Nº Afiliado</v>
      </c>
      <c r="Z3" s="54" t="str">
        <f ca="1">IFERROR(__xludf.DUMMYFUNCTION("""COMPUTED_VALUE"""),"Bajada YCO")</f>
        <v>Bajada YCO</v>
      </c>
      <c r="AA3" s="54" t="str">
        <f ca="1">IFERROR(__xludf.DUMMYFUNCTION("""COMPUTED_VALUE"""),"Términos y Condiciones")</f>
        <v>Términos y Condiciones</v>
      </c>
      <c r="AB3" s="54" t="str">
        <f ca="1">IFERROR(__xludf.DUMMYFUNCTION("""COMPUTED_VALUE"""),"Pago")</f>
        <v>Pago</v>
      </c>
      <c r="AC3" s="2" t="str">
        <f ca="1">IFERROR(__xludf.DUMMYFUNCTION("""COMPUTED_VALUE"""),"Importe")</f>
        <v>Importe</v>
      </c>
      <c r="AD3" s="2" t="str">
        <f ca="1">IFERROR(__xludf.DUMMYFUNCTION("""COMPUTED_VALUE"""),"RECIBO")</f>
        <v>RECIBO</v>
      </c>
    </row>
    <row r="4" spans="1:30" ht="13.2">
      <c r="B4" s="38" t="str">
        <f ca="1">IFERROR(__xludf.DUMMYFUNCTION("filter(Datos,Clases=A3)"),"#N/A")</f>
        <v>#N/A</v>
      </c>
      <c r="C4" s="36"/>
      <c r="D4" s="36"/>
      <c r="E4" s="36"/>
      <c r="F4" s="6"/>
      <c r="G4" s="6"/>
      <c r="Q4" s="6"/>
      <c r="Z4" s="6"/>
      <c r="AA4" s="6"/>
      <c r="AB4" s="6"/>
    </row>
    <row r="5" spans="1:30" ht="13.2">
      <c r="C5" s="36"/>
      <c r="D5" s="36"/>
      <c r="E5" s="36"/>
      <c r="F5" s="6"/>
      <c r="G5" s="6"/>
      <c r="Q5" s="6"/>
      <c r="Z5" s="6"/>
      <c r="AA5" s="6"/>
      <c r="AB5" s="6"/>
    </row>
    <row r="6" spans="1:30" ht="13.2">
      <c r="C6" s="36"/>
      <c r="D6" s="36"/>
      <c r="E6" s="36"/>
      <c r="F6" s="6"/>
      <c r="G6" s="6"/>
      <c r="Q6" s="6"/>
      <c r="Z6" s="6"/>
      <c r="AA6" s="6"/>
      <c r="AB6" s="6"/>
    </row>
    <row r="7" spans="1:30" ht="13.2">
      <c r="C7" s="36"/>
      <c r="D7" s="36"/>
      <c r="E7" s="36"/>
      <c r="F7" s="6"/>
      <c r="G7" s="6"/>
      <c r="Q7" s="6"/>
      <c r="Z7" s="6"/>
      <c r="AA7" s="6"/>
      <c r="AB7" s="6"/>
    </row>
    <row r="8" spans="1:30" ht="13.2">
      <c r="C8" s="36"/>
      <c r="D8" s="36"/>
      <c r="E8" s="36"/>
      <c r="F8" s="6"/>
      <c r="G8" s="6"/>
      <c r="Q8" s="6"/>
      <c r="Z8" s="6"/>
      <c r="AA8" s="6"/>
      <c r="AB8" s="6"/>
    </row>
    <row r="9" spans="1:30" ht="13.2">
      <c r="C9" s="36"/>
      <c r="D9" s="36"/>
      <c r="E9" s="36"/>
      <c r="F9" s="6"/>
      <c r="G9" s="6"/>
      <c r="Q9" s="6"/>
      <c r="Z9" s="6"/>
      <c r="AA9" s="6"/>
      <c r="AB9" s="6"/>
    </row>
    <row r="10" spans="1:30" ht="13.2">
      <c r="C10" s="36"/>
      <c r="D10" s="36"/>
      <c r="E10" s="36"/>
      <c r="F10" s="6"/>
      <c r="G10" s="6"/>
      <c r="Z10" s="6"/>
      <c r="AA10" s="6"/>
      <c r="AB10" s="6"/>
    </row>
    <row r="11" spans="1:30" ht="13.2">
      <c r="C11" s="36"/>
      <c r="D11" s="36"/>
      <c r="E11" s="36"/>
      <c r="F11" s="6"/>
      <c r="G11" s="6"/>
      <c r="Z11" s="6"/>
      <c r="AA11" s="6"/>
      <c r="AB11" s="6"/>
    </row>
    <row r="12" spans="1:30" ht="13.2">
      <c r="C12" s="36"/>
      <c r="D12" s="36"/>
      <c r="E12" s="36"/>
      <c r="F12" s="6"/>
      <c r="G12" s="6"/>
      <c r="Z12" s="6"/>
      <c r="AA12" s="6"/>
      <c r="AB12" s="6"/>
    </row>
    <row r="13" spans="1:30" ht="13.2">
      <c r="C13" s="36"/>
      <c r="D13" s="36"/>
      <c r="E13" s="36"/>
      <c r="F13" s="6"/>
      <c r="G13" s="6"/>
      <c r="Z13" s="6"/>
      <c r="AA13" s="6"/>
      <c r="AB13" s="6"/>
    </row>
    <row r="14" spans="1:30" ht="13.2">
      <c r="C14" s="36"/>
      <c r="D14" s="36"/>
      <c r="E14" s="36"/>
      <c r="F14" s="6"/>
      <c r="G14" s="6"/>
      <c r="Z14" s="6"/>
      <c r="AA14" s="6"/>
      <c r="AB14" s="6"/>
    </row>
    <row r="15" spans="1:30" ht="13.2">
      <c r="C15" s="36"/>
      <c r="D15" s="36"/>
      <c r="E15" s="36"/>
      <c r="F15" s="6"/>
      <c r="G15" s="6"/>
      <c r="Z15" s="6"/>
      <c r="AA15" s="6"/>
      <c r="AB15" s="6"/>
    </row>
    <row r="16" spans="1:30" ht="13.2">
      <c r="C16" s="36"/>
      <c r="D16" s="36"/>
      <c r="E16" s="36"/>
      <c r="F16" s="6"/>
      <c r="G16" s="6"/>
      <c r="Z16" s="6"/>
      <c r="AA16" s="6"/>
      <c r="AB16" s="6"/>
    </row>
    <row r="17" spans="4:7" ht="13.2">
      <c r="D17" s="6"/>
      <c r="E17" s="6"/>
      <c r="F17" s="6"/>
      <c r="G17" s="6"/>
    </row>
    <row r="18" spans="4:7" ht="13.2">
      <c r="D18" s="6"/>
      <c r="E18" s="6"/>
      <c r="F18" s="6"/>
      <c r="G18" s="6"/>
    </row>
    <row r="19" spans="4:7" ht="13.2">
      <c r="D19" s="6"/>
      <c r="E19" s="6"/>
      <c r="F19" s="6"/>
      <c r="G19" s="6"/>
    </row>
    <row r="20" spans="4:7" ht="13.2">
      <c r="D20" s="6"/>
      <c r="E20" s="6"/>
      <c r="F20" s="6"/>
      <c r="G20" s="6"/>
    </row>
    <row r="21" spans="4:7" ht="13.2">
      <c r="D21" s="6"/>
      <c r="E21" s="6"/>
      <c r="F21" s="6"/>
      <c r="G21" s="6"/>
    </row>
    <row r="22" spans="4:7" ht="13.2">
      <c r="D22" s="6"/>
      <c r="E22" s="6"/>
      <c r="F22" s="6"/>
      <c r="G22" s="6"/>
    </row>
    <row r="23" spans="4:7" ht="13.2">
      <c r="D23" s="6"/>
      <c r="E23" s="6"/>
      <c r="F23" s="6"/>
      <c r="G23" s="6"/>
    </row>
    <row r="24" spans="4:7" ht="13.2">
      <c r="D24" s="6"/>
      <c r="E24" s="6"/>
      <c r="F24" s="6"/>
      <c r="G24" s="6"/>
    </row>
    <row r="25" spans="4:7" ht="13.2">
      <c r="D25" s="6"/>
      <c r="E25" s="6"/>
      <c r="F25" s="6"/>
      <c r="G25" s="6"/>
    </row>
    <row r="26" spans="4:7" ht="13.2">
      <c r="D26" s="6"/>
      <c r="E26" s="6"/>
      <c r="F26" s="6"/>
      <c r="G26" s="6"/>
    </row>
    <row r="27" spans="4:7" ht="13.2">
      <c r="D27" s="6"/>
      <c r="E27" s="6"/>
      <c r="F27" s="6"/>
      <c r="G27" s="6"/>
    </row>
    <row r="28" spans="4:7" ht="13.2">
      <c r="D28" s="6"/>
      <c r="E28" s="6"/>
      <c r="F28" s="6"/>
      <c r="G28" s="6"/>
    </row>
    <row r="29" spans="4:7" ht="13.2">
      <c r="D29" s="6"/>
      <c r="E29" s="6"/>
      <c r="F29" s="6"/>
      <c r="G29" s="6"/>
    </row>
    <row r="30" spans="4:7" ht="13.2">
      <c r="D30" s="6"/>
      <c r="E30" s="6"/>
      <c r="F30" s="6"/>
      <c r="G30" s="6"/>
    </row>
    <row r="31" spans="4:7" ht="13.2">
      <c r="D31" s="6"/>
      <c r="E31" s="6"/>
      <c r="F31" s="6"/>
      <c r="G31" s="6"/>
    </row>
    <row r="32" spans="4:7" ht="13.2">
      <c r="D32" s="6"/>
      <c r="E32" s="6"/>
      <c r="F32" s="6"/>
      <c r="G32" s="6"/>
    </row>
    <row r="33" spans="4:7" ht="13.2">
      <c r="D33" s="6"/>
      <c r="E33" s="6"/>
      <c r="F33" s="6"/>
      <c r="G33" s="6"/>
    </row>
    <row r="34" spans="4:7" ht="13.2">
      <c r="D34" s="6"/>
      <c r="E34" s="6"/>
      <c r="F34" s="6"/>
      <c r="G34" s="6"/>
    </row>
    <row r="35" spans="4:7" ht="13.2">
      <c r="D35" s="6"/>
      <c r="E35" s="6"/>
      <c r="F35" s="6"/>
      <c r="G35" s="6"/>
    </row>
    <row r="36" spans="4:7" ht="13.2">
      <c r="D36" s="6"/>
      <c r="E36" s="6"/>
      <c r="F36" s="6"/>
      <c r="G36" s="6"/>
    </row>
    <row r="37" spans="4:7" ht="13.2">
      <c r="D37" s="6"/>
      <c r="E37" s="6"/>
      <c r="F37" s="6"/>
      <c r="G37" s="6"/>
    </row>
    <row r="38" spans="4:7" ht="13.2">
      <c r="D38" s="6"/>
      <c r="E38" s="6"/>
      <c r="F38" s="6"/>
      <c r="G38" s="6"/>
    </row>
    <row r="39" spans="4:7" ht="13.2">
      <c r="D39" s="6"/>
      <c r="E39" s="6"/>
      <c r="F39" s="6"/>
      <c r="G39" s="6"/>
    </row>
    <row r="40" spans="4:7" ht="13.2">
      <c r="D40" s="6"/>
      <c r="E40" s="6"/>
      <c r="F40" s="6"/>
      <c r="G40" s="6"/>
    </row>
    <row r="41" spans="4:7" ht="13.2">
      <c r="D41" s="6"/>
      <c r="E41" s="6"/>
      <c r="F41" s="6"/>
      <c r="G41" s="6"/>
    </row>
    <row r="42" spans="4:7" ht="13.2">
      <c r="D42" s="6"/>
      <c r="E42" s="6"/>
      <c r="F42" s="6"/>
      <c r="G42" s="6"/>
    </row>
    <row r="43" spans="4:7" ht="13.2">
      <c r="D43" s="6"/>
      <c r="E43" s="6"/>
      <c r="F43" s="6"/>
      <c r="G43" s="6"/>
    </row>
    <row r="44" spans="4:7" ht="13.2">
      <c r="D44" s="6"/>
      <c r="E44" s="6"/>
      <c r="F44" s="6"/>
      <c r="G44" s="6"/>
    </row>
    <row r="45" spans="4:7" ht="13.2">
      <c r="D45" s="6"/>
      <c r="E45" s="6"/>
      <c r="F45" s="6"/>
      <c r="G45" s="6"/>
    </row>
    <row r="46" spans="4:7" ht="13.2">
      <c r="D46" s="6"/>
      <c r="E46" s="6"/>
      <c r="F46" s="6"/>
      <c r="G46" s="6"/>
    </row>
    <row r="47" spans="4:7" ht="13.2">
      <c r="D47" s="6"/>
      <c r="E47" s="6"/>
      <c r="F47" s="6"/>
      <c r="G47" s="6"/>
    </row>
    <row r="48" spans="4:7" ht="13.2">
      <c r="E48" s="6"/>
      <c r="F48" s="6"/>
      <c r="G48" s="6"/>
    </row>
    <row r="49" spans="5:7" ht="13.2">
      <c r="E49" s="6"/>
      <c r="F49" s="6"/>
      <c r="G49" s="6"/>
    </row>
    <row r="50" spans="5:7" ht="13.2">
      <c r="E50" s="6"/>
      <c r="F50" s="6"/>
      <c r="G50" s="6"/>
    </row>
    <row r="51" spans="5:7" ht="13.2">
      <c r="E51" s="6"/>
      <c r="F51" s="6"/>
      <c r="G51" s="6"/>
    </row>
    <row r="52" spans="5:7" ht="13.2">
      <c r="E52" s="6"/>
      <c r="F52" s="6"/>
      <c r="G52" s="6"/>
    </row>
    <row r="53" spans="5:7" ht="13.2">
      <c r="E53" s="6"/>
      <c r="F53" s="6"/>
      <c r="G53" s="6"/>
    </row>
    <row r="54" spans="5:7" ht="13.2">
      <c r="E54" s="6"/>
      <c r="F54" s="6"/>
      <c r="G54" s="6"/>
    </row>
    <row r="55" spans="5:7" ht="13.2">
      <c r="E55" s="6"/>
      <c r="F55" s="6"/>
      <c r="G55" s="6"/>
    </row>
    <row r="56" spans="5:7" ht="13.2">
      <c r="E56" s="6"/>
      <c r="F56" s="6"/>
      <c r="G56" s="6"/>
    </row>
    <row r="57" spans="5:7" ht="13.2">
      <c r="E57" s="6"/>
      <c r="F57" s="6"/>
      <c r="G57" s="6"/>
    </row>
    <row r="58" spans="5:7" ht="13.2">
      <c r="E58" s="6"/>
      <c r="F58" s="6"/>
      <c r="G58" s="6"/>
    </row>
    <row r="59" spans="5:7" ht="13.2">
      <c r="E59" s="6"/>
      <c r="F59" s="6"/>
      <c r="G59" s="6"/>
    </row>
    <row r="60" spans="5:7" ht="13.2">
      <c r="E60" s="6"/>
      <c r="F60" s="6"/>
      <c r="G60" s="6"/>
    </row>
    <row r="61" spans="5:7" ht="13.2">
      <c r="E61" s="6"/>
      <c r="F61" s="6"/>
      <c r="G61" s="6"/>
    </row>
    <row r="62" spans="5:7" ht="13.2">
      <c r="E62" s="6"/>
      <c r="F62" s="6"/>
      <c r="G62" s="6"/>
    </row>
    <row r="63" spans="5:7" ht="13.2">
      <c r="E63" s="6"/>
      <c r="F63" s="6"/>
      <c r="G63" s="6"/>
    </row>
    <row r="64" spans="5:7" ht="13.2">
      <c r="E64" s="6"/>
      <c r="F64" s="6"/>
      <c r="G64" s="6"/>
    </row>
    <row r="65" spans="5:7" ht="13.2">
      <c r="E65" s="6"/>
      <c r="F65" s="6"/>
      <c r="G65" s="6"/>
    </row>
    <row r="66" spans="5:7" ht="13.2">
      <c r="E66" s="6"/>
      <c r="F66" s="6"/>
      <c r="G66" s="6"/>
    </row>
    <row r="67" spans="5:7" ht="13.2">
      <c r="E67" s="6"/>
      <c r="F67" s="6"/>
      <c r="G67" s="6"/>
    </row>
    <row r="68" spans="5:7" ht="13.2">
      <c r="E68" s="6"/>
      <c r="F68" s="6"/>
      <c r="G68" s="6"/>
    </row>
    <row r="69" spans="5:7" ht="13.2">
      <c r="E69" s="6"/>
      <c r="F69" s="6"/>
      <c r="G69" s="6"/>
    </row>
    <row r="70" spans="5:7" ht="13.2">
      <c r="E70" s="6"/>
      <c r="F70" s="6"/>
      <c r="G70" s="6"/>
    </row>
    <row r="71" spans="5:7" ht="13.2">
      <c r="E71" s="6"/>
      <c r="F71" s="6"/>
      <c r="G71" s="6"/>
    </row>
    <row r="72" spans="5:7" ht="13.2">
      <c r="E72" s="6"/>
      <c r="F72" s="6"/>
      <c r="G72" s="6"/>
    </row>
    <row r="73" spans="5:7" ht="13.2">
      <c r="E73" s="6"/>
      <c r="F73" s="6"/>
      <c r="G73" s="6"/>
    </row>
    <row r="74" spans="5:7" ht="13.2">
      <c r="E74" s="6"/>
      <c r="F74" s="6"/>
      <c r="G74" s="6"/>
    </row>
    <row r="75" spans="5:7" ht="13.2">
      <c r="E75" s="6"/>
      <c r="F75" s="6"/>
      <c r="G75" s="6"/>
    </row>
    <row r="76" spans="5:7" ht="13.2">
      <c r="E76" s="6"/>
      <c r="F76" s="6"/>
      <c r="G76" s="6"/>
    </row>
    <row r="77" spans="5:7" ht="13.2">
      <c r="E77" s="6"/>
      <c r="F77" s="6"/>
      <c r="G77" s="6"/>
    </row>
    <row r="78" spans="5:7" ht="13.2">
      <c r="E78" s="6"/>
      <c r="F78" s="6"/>
      <c r="G78" s="6"/>
    </row>
    <row r="79" spans="5:7" ht="13.2">
      <c r="E79" s="6"/>
      <c r="F79" s="6"/>
      <c r="G79" s="6"/>
    </row>
    <row r="80" spans="5:7" ht="13.2">
      <c r="E80" s="6"/>
      <c r="F80" s="6"/>
      <c r="G80" s="6"/>
    </row>
    <row r="81" spans="5:7" ht="13.2">
      <c r="E81" s="6"/>
      <c r="F81" s="6"/>
      <c r="G81" s="6"/>
    </row>
    <row r="82" spans="5:7" ht="13.2">
      <c r="E82" s="6"/>
      <c r="F82" s="6"/>
      <c r="G82" s="6"/>
    </row>
    <row r="83" spans="5:7" ht="13.2">
      <c r="E83" s="6"/>
      <c r="F83" s="6"/>
      <c r="G83" s="6"/>
    </row>
    <row r="84" spans="5:7" ht="13.2">
      <c r="E84" s="6"/>
      <c r="F84" s="6"/>
      <c r="G84" s="6"/>
    </row>
    <row r="85" spans="5:7" ht="13.2">
      <c r="E85" s="6"/>
      <c r="F85" s="6"/>
      <c r="G85" s="6"/>
    </row>
    <row r="86" spans="5:7" ht="13.2">
      <c r="E86" s="6"/>
      <c r="F86" s="6"/>
      <c r="G86" s="6"/>
    </row>
    <row r="87" spans="5:7" ht="13.2">
      <c r="E87" s="6"/>
      <c r="F87" s="6"/>
      <c r="G87" s="6"/>
    </row>
    <row r="88" spans="5:7" ht="13.2">
      <c r="E88" s="6"/>
      <c r="F88" s="6"/>
      <c r="G88" s="6"/>
    </row>
    <row r="89" spans="5:7" ht="13.2">
      <c r="E89" s="6"/>
      <c r="F89" s="6"/>
      <c r="G89" s="6"/>
    </row>
    <row r="90" spans="5:7" ht="13.2">
      <c r="E90" s="6"/>
      <c r="F90" s="6"/>
      <c r="G90" s="6"/>
    </row>
    <row r="91" spans="5:7" ht="13.2">
      <c r="E91" s="6"/>
      <c r="F91" s="6"/>
      <c r="G91" s="6"/>
    </row>
    <row r="92" spans="5:7" ht="13.2">
      <c r="E92" s="6"/>
      <c r="F92" s="6"/>
      <c r="G92" s="6"/>
    </row>
    <row r="93" spans="5:7" ht="13.2">
      <c r="E93" s="6"/>
      <c r="F93" s="6"/>
      <c r="G93" s="6"/>
    </row>
    <row r="94" spans="5:7" ht="13.2">
      <c r="E94" s="6"/>
      <c r="F94" s="6"/>
      <c r="G94" s="6"/>
    </row>
    <row r="95" spans="5:7" ht="13.2">
      <c r="E95" s="6"/>
      <c r="F95" s="6"/>
      <c r="G95" s="6"/>
    </row>
    <row r="96" spans="5:7" ht="13.2">
      <c r="E96" s="6"/>
      <c r="F96" s="6"/>
      <c r="G96" s="6"/>
    </row>
    <row r="97" spans="5:7" ht="13.2">
      <c r="E97" s="6"/>
      <c r="F97" s="6"/>
      <c r="G97" s="6"/>
    </row>
    <row r="98" spans="5:7" ht="13.2">
      <c r="E98" s="6"/>
      <c r="F98" s="6"/>
      <c r="G98" s="6"/>
    </row>
    <row r="99" spans="5:7" ht="13.2">
      <c r="E99" s="6"/>
      <c r="F99" s="6"/>
      <c r="G99" s="6"/>
    </row>
  </sheetData>
  <conditionalFormatting sqref="B4:B136">
    <cfRule type="cellIs" dxfId="6" priority="1" operator="equal">
      <formula>"Pago"</formula>
    </cfRule>
  </conditionalFormatting>
  <conditionalFormatting sqref="G1 I2 G4:G11">
    <cfRule type="cellIs" dxfId="5" priority="2" operator="equal">
      <formula>"Si"</formula>
    </cfRule>
  </conditionalFormatting>
  <conditionalFormatting sqref="AB4:AB19">
    <cfRule type="cellIs" dxfId="4" priority="3" operator="equal">
      <formula>"OK"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  <pageSetUpPr fitToPage="1"/>
  </sheetPr>
  <dimension ref="A1:AF10"/>
  <sheetViews>
    <sheetView topLeftCell="B1" workbookViewId="0"/>
  </sheetViews>
  <sheetFormatPr defaultColWidth="12.6640625" defaultRowHeight="15.75" customHeight="1"/>
  <cols>
    <col min="1" max="1" width="12.6640625" hidden="1"/>
    <col min="4" max="4" width="14.6640625" customWidth="1"/>
    <col min="6" max="6" width="6" customWidth="1"/>
    <col min="7" max="12" width="12.6640625" hidden="1"/>
    <col min="14" max="16" width="12.6640625" hidden="1"/>
    <col min="25" max="27" width="12.6640625" hidden="1"/>
    <col min="28" max="28" width="9" customWidth="1"/>
    <col min="29" max="32" width="12.6640625" hidden="1"/>
  </cols>
  <sheetData>
    <row r="1" spans="1:30" ht="15.75" customHeight="1">
      <c r="A1" s="38"/>
      <c r="B1" s="48" t="s">
        <v>33</v>
      </c>
      <c r="E1" s="49"/>
      <c r="F1" s="49"/>
      <c r="G1" s="49"/>
      <c r="H1" s="49"/>
      <c r="I1" s="49"/>
      <c r="J1" s="50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.75" customHeight="1">
      <c r="A2" s="38"/>
      <c r="B2" s="51" t="s">
        <v>58</v>
      </c>
      <c r="C2" s="52"/>
      <c r="D2" s="52"/>
      <c r="E2" s="2"/>
      <c r="F2" s="53" t="str">
        <f>"Inscriptos: "&amp;COUNTA(C4:C100)</f>
        <v>Inscriptos: 0</v>
      </c>
      <c r="G2" s="2"/>
      <c r="H2" s="2"/>
      <c r="I2" s="54"/>
      <c r="J2" s="54"/>
      <c r="K2" s="54"/>
      <c r="L2" s="2"/>
      <c r="M2" s="2"/>
      <c r="N2" s="2"/>
      <c r="O2" s="2"/>
      <c r="P2" s="2"/>
      <c r="Q2" s="2"/>
      <c r="R2" s="2"/>
      <c r="S2" s="54"/>
      <c r="T2" s="54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39.6">
      <c r="A3" s="38" t="s">
        <v>59</v>
      </c>
      <c r="B3" s="2" t="str">
        <f ca="1">IFERROR(__xludf.DUMMYFUNCTION("query(Titulos)"),"Dia y Hora")</f>
        <v>Dia y Hora</v>
      </c>
      <c r="C3" s="66" t="str">
        <f ca="1">IFERROR(__xludf.DUMMYFUNCTION("""COMPUTED_VALUE"""),"Nombre")</f>
        <v>Nombre</v>
      </c>
      <c r="D3" s="66" t="str">
        <f ca="1">IFERROR(__xludf.DUMMYFUNCTION("""COMPUTED_VALUE"""),"Apellido")</f>
        <v>Apellido</v>
      </c>
      <c r="E3" s="66" t="str">
        <f ca="1">IFERROR(__xludf.DUMMYFUNCTION("""COMPUTED_VALUE"""),"Ciudad")</f>
        <v>Ciudad</v>
      </c>
      <c r="F3" s="2" t="str">
        <f ca="1">IFERROR(__xludf.DUMMYFUNCTION("""COMPUTED_VALUE"""),"Pais")</f>
        <v>Pais</v>
      </c>
      <c r="G3" s="2" t="str">
        <f ca="1">IFERROR(__xludf.DUMMYFUNCTION("""COMPUTED_VALUE"""),"DNI")</f>
        <v>DNI</v>
      </c>
      <c r="H3" s="2" t="str">
        <f ca="1">IFERROR(__xludf.DUMMYFUNCTION("""COMPUTED_VALUE"""),"Nacimiento")</f>
        <v>Nacimiento</v>
      </c>
      <c r="I3" s="54" t="str">
        <f ca="1">IFERROR(__xludf.DUMMYFUNCTION("""COMPUTED_VALUE"""),"Celular de Contacto")</f>
        <v>Celular de Contacto</v>
      </c>
      <c r="J3" s="54" t="str">
        <f ca="1">IFERROR(__xludf.DUMMYFUNCTION("""COMPUTED_VALUE"""),"Celular de Emergencias")</f>
        <v>Celular de Emergencias</v>
      </c>
      <c r="K3" s="54" t="str">
        <f ca="1">IFERROR(__xludf.DUMMYFUNCTION("""COMPUTED_VALUE"""),"email")</f>
        <v>email</v>
      </c>
      <c r="L3" s="2" t="str">
        <f ca="1">IFERROR(__xludf.DUMMYFUNCTION("""COMPUTED_VALUE"""),"Sexo")</f>
        <v>Sexo</v>
      </c>
      <c r="M3" s="66" t="str">
        <f ca="1">IFERROR(__xludf.DUMMYFUNCTION("""COMPUTED_VALUE"""),"Club")</f>
        <v>Club</v>
      </c>
      <c r="N3" s="66" t="str">
        <f ca="1">IFERROR(__xludf.DUMMYFUNCTION("""COMPUTED_VALUE"""),"Categoría")</f>
        <v>Categoría</v>
      </c>
      <c r="O3" s="66" t="str">
        <f ca="1">IFERROR(__xludf.DUMMYFUNCTION("""COMPUTED_VALUE"""),"Clase")</f>
        <v>Clase</v>
      </c>
      <c r="P3" s="66" t="str">
        <f ca="1">IFERROR(__xludf.DUMMYFUNCTION("""COMPUTED_VALUE"""),"Proa Nº")</f>
        <v>Proa Nº</v>
      </c>
      <c r="Q3" s="66" t="str">
        <f ca="1">IFERROR(__xludf.DUMMYFUNCTION("""COMPUTED_VALUE"""),"Vela")</f>
        <v>Vela</v>
      </c>
      <c r="R3" s="66" t="str">
        <f ca="1">IFERROR(__xludf.DUMMYFUNCTION("""COMPUTED_VALUE"""),"Nombre del Barco")</f>
        <v>Nombre del Barco</v>
      </c>
      <c r="S3" s="66" t="str">
        <f ca="1">IFERROR(__xludf.DUMMYFUNCTION("""COMPUTED_VALUE"""),"Tripulante 1")</f>
        <v>Tripulante 1</v>
      </c>
      <c r="T3" s="54" t="str">
        <f ca="1">IFERROR(__xludf.DUMMYFUNCTION("""COMPUTED_VALUE"""),"Tripulante 2")</f>
        <v>Tripulante 2</v>
      </c>
      <c r="U3" s="2" t="str">
        <f ca="1">IFERROR(__xludf.DUMMYFUNCTION("""COMPUTED_VALUE"""),"Tripulante 3")</f>
        <v>Tripulante 3</v>
      </c>
      <c r="V3" s="2" t="str">
        <f ca="1">IFERROR(__xludf.DUMMYFUNCTION("""COMPUTED_VALUE"""),"Tripulante 4")</f>
        <v>Tripulante 4</v>
      </c>
      <c r="W3" s="2" t="str">
        <f ca="1">IFERROR(__xludf.DUMMYFUNCTION("""COMPUTED_VALUE"""),"Tripulante 5")</f>
        <v>Tripulante 5</v>
      </c>
      <c r="X3" s="2" t="str">
        <f ca="1">IFERROR(__xludf.DUMMYFUNCTION("""COMPUTED_VALUE"""),"Tripulante 6")</f>
        <v>Tripulante 6</v>
      </c>
      <c r="Y3" s="2" t="str">
        <f ca="1">IFERROR(__xludf.DUMMYFUNCTION("""COMPUTED_VALUE"""),"Obra Social/Nº Afiliado")</f>
        <v>Obra Social/Nº Afiliado</v>
      </c>
      <c r="Z3" s="2" t="str">
        <f ca="1">IFERROR(__xludf.DUMMYFUNCTION("""COMPUTED_VALUE"""),"Bajada YCO")</f>
        <v>Bajada YCO</v>
      </c>
      <c r="AA3" s="2" t="str">
        <f ca="1">IFERROR(__xludf.DUMMYFUNCTION("""COMPUTED_VALUE"""),"Términos y Condiciones")</f>
        <v>Términos y Condiciones</v>
      </c>
      <c r="AB3" s="2" t="str">
        <f ca="1">IFERROR(__xludf.DUMMYFUNCTION("""COMPUTED_VALUE"""),"Pago")</f>
        <v>Pago</v>
      </c>
      <c r="AC3" s="2" t="str">
        <f ca="1">IFERROR(__xludf.DUMMYFUNCTION("""COMPUTED_VALUE"""),"Importe")</f>
        <v>Importe</v>
      </c>
      <c r="AD3" s="2" t="str">
        <f ca="1">IFERROR(__xludf.DUMMYFUNCTION("""COMPUTED_VALUE"""),"RECIBO")</f>
        <v>RECIBO</v>
      </c>
    </row>
    <row r="4" spans="1:30" ht="13.2">
      <c r="B4" s="93" t="str">
        <f ca="1">IFERROR(__xludf.DUMMYFUNCTION("filter(Datos,Clases=A3)"),"#N/A")</f>
        <v>#N/A</v>
      </c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</row>
    <row r="5" spans="1:30" ht="13.2"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</row>
    <row r="6" spans="1:30" ht="13.2"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</row>
    <row r="7" spans="1:30" ht="13.2"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</row>
    <row r="8" spans="1:30" ht="13.2"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30" ht="13.2"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</row>
    <row r="10" spans="1:30" ht="13.2"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</row>
  </sheetData>
  <conditionalFormatting sqref="I1">
    <cfRule type="cellIs" dxfId="3" priority="1" operator="equal">
      <formula>"Si"</formula>
    </cfRule>
  </conditionalFormatting>
  <printOptions horizontalCentered="1" gridLines="1"/>
  <pageMargins left="0.25" right="0.25" top="0.75" bottom="0.75" header="0" footer="0"/>
  <pageSetup paperSize="5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G121"/>
  <sheetViews>
    <sheetView workbookViewId="0"/>
  </sheetViews>
  <sheetFormatPr defaultColWidth="12.6640625" defaultRowHeight="15.75" customHeight="1"/>
  <cols>
    <col min="2" max="2" width="15" customWidth="1"/>
    <col min="3" max="3" width="10.77734375" customWidth="1"/>
    <col min="4" max="4" width="12.109375" customWidth="1"/>
    <col min="5" max="5" width="19.88671875" customWidth="1"/>
    <col min="6" max="6" width="5.21875" customWidth="1"/>
    <col min="7" max="7" width="9.33203125" hidden="1" customWidth="1"/>
    <col min="8" max="8" width="4.33203125" hidden="1" customWidth="1"/>
    <col min="9" max="9" width="9" hidden="1" customWidth="1"/>
    <col min="10" max="10" width="6.109375" hidden="1" customWidth="1"/>
    <col min="11" max="11" width="5.21875" hidden="1" customWidth="1"/>
    <col min="12" max="12" width="8.44140625" customWidth="1"/>
    <col min="13" max="13" width="9.77734375" customWidth="1"/>
    <col min="14" max="14" width="11.33203125" customWidth="1"/>
    <col min="15" max="15" width="16.33203125" customWidth="1"/>
    <col min="16" max="16" width="7" hidden="1" customWidth="1"/>
    <col min="17" max="17" width="10.6640625" customWidth="1"/>
    <col min="18" max="18" width="10.109375" customWidth="1"/>
    <col min="19" max="24" width="10.33203125" hidden="1" customWidth="1"/>
    <col min="25" max="25" width="10.21875" hidden="1" customWidth="1"/>
    <col min="26" max="26" width="7" customWidth="1"/>
    <col min="27" max="27" width="11" hidden="1" customWidth="1"/>
    <col min="28" max="28" width="9.6640625" customWidth="1"/>
    <col min="29" max="29" width="11.109375" hidden="1" customWidth="1"/>
    <col min="30" max="30" width="10.6640625" hidden="1" customWidth="1"/>
    <col min="31" max="32" width="12.6640625" hidden="1"/>
    <col min="33" max="33" width="15.88671875" customWidth="1"/>
  </cols>
  <sheetData>
    <row r="1" spans="1:33" ht="22.8">
      <c r="A1" s="40"/>
      <c r="B1" s="48" t="s">
        <v>33</v>
      </c>
      <c r="C1" s="49"/>
      <c r="D1" s="49"/>
      <c r="E1" s="49"/>
      <c r="F1" s="49"/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3" ht="15" customHeight="1">
      <c r="A2" s="40"/>
      <c r="B2" s="51" t="s">
        <v>60</v>
      </c>
      <c r="C2" s="2"/>
      <c r="D2" s="2"/>
      <c r="E2" s="2"/>
      <c r="F2" s="63" t="str">
        <f>"Inscriptos: "&amp;COUNTA(C4:C100)</f>
        <v>Inscriptos: 0</v>
      </c>
      <c r="G2" s="2"/>
      <c r="H2" s="2"/>
      <c r="I2" s="54"/>
      <c r="J2" s="54"/>
      <c r="K2" s="54"/>
      <c r="L2" s="40"/>
      <c r="M2" s="2"/>
      <c r="N2" s="2"/>
      <c r="O2" s="2"/>
      <c r="P2" s="2"/>
      <c r="Q2" s="2"/>
      <c r="R2" s="2"/>
      <c r="S2" s="54"/>
      <c r="T2" s="54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3" ht="66">
      <c r="A3" s="40" t="s">
        <v>61</v>
      </c>
      <c r="B3" s="2" t="str">
        <f ca="1">IFERROR(__xludf.DUMMYFUNCTION("query(Titulos)"),"Dia y Hora")</f>
        <v>Dia y Hora</v>
      </c>
      <c r="C3" s="2" t="str">
        <f ca="1">IFERROR(__xludf.DUMMYFUNCTION("""COMPUTED_VALUE"""),"Nombre")</f>
        <v>Nombre</v>
      </c>
      <c r="D3" s="2" t="str">
        <f ca="1">IFERROR(__xludf.DUMMYFUNCTION("""COMPUTED_VALUE"""),"Apellido")</f>
        <v>Apellido</v>
      </c>
      <c r="E3" s="2" t="str">
        <f ca="1">IFERROR(__xludf.DUMMYFUNCTION("""COMPUTED_VALUE"""),"Ciudad")</f>
        <v>Ciudad</v>
      </c>
      <c r="F3" s="2" t="str">
        <f ca="1">IFERROR(__xludf.DUMMYFUNCTION("""COMPUTED_VALUE"""),"Pais")</f>
        <v>Pais</v>
      </c>
      <c r="G3" s="2" t="str">
        <f ca="1">IFERROR(__xludf.DUMMYFUNCTION("""COMPUTED_VALUE"""),"DNI")</f>
        <v>DNI</v>
      </c>
      <c r="H3" s="2" t="str">
        <f ca="1">IFERROR(__xludf.DUMMYFUNCTION("""COMPUTED_VALUE"""),"Nacimiento")</f>
        <v>Nacimiento</v>
      </c>
      <c r="I3" s="2" t="str">
        <f ca="1">IFERROR(__xludf.DUMMYFUNCTION("""COMPUTED_VALUE"""),"Celular de Contacto")</f>
        <v>Celular de Contacto</v>
      </c>
      <c r="J3" s="2" t="str">
        <f ca="1">IFERROR(__xludf.DUMMYFUNCTION("""COMPUTED_VALUE"""),"Celular de Emergencias")</f>
        <v>Celular de Emergencias</v>
      </c>
      <c r="K3" s="2" t="str">
        <f ca="1">IFERROR(__xludf.DUMMYFUNCTION("""COMPUTED_VALUE"""),"email")</f>
        <v>email</v>
      </c>
      <c r="L3" s="2" t="str">
        <f ca="1">IFERROR(__xludf.DUMMYFUNCTION("""COMPUTED_VALUE"""),"Sexo")</f>
        <v>Sexo</v>
      </c>
      <c r="M3" s="2" t="str">
        <f ca="1">IFERROR(__xludf.DUMMYFUNCTION("""COMPUTED_VALUE"""),"Club")</f>
        <v>Club</v>
      </c>
      <c r="N3" s="2" t="str">
        <f ca="1">IFERROR(__xludf.DUMMYFUNCTION("""COMPUTED_VALUE"""),"Categoría")</f>
        <v>Categoría</v>
      </c>
      <c r="O3" s="2" t="str">
        <f ca="1">IFERROR(__xludf.DUMMYFUNCTION("""COMPUTED_VALUE"""),"Clase")</f>
        <v>Clase</v>
      </c>
      <c r="P3" s="2" t="str">
        <f ca="1">IFERROR(__xludf.DUMMYFUNCTION("""COMPUTED_VALUE"""),"Proa Nº")</f>
        <v>Proa Nº</v>
      </c>
      <c r="Q3" s="95" t="str">
        <f ca="1">IFERROR(__xludf.DUMMYFUNCTION("""COMPUTED_VALUE"""),"Vela")</f>
        <v>Vela</v>
      </c>
      <c r="R3" s="2" t="str">
        <f ca="1">IFERROR(__xludf.DUMMYFUNCTION("""COMPUTED_VALUE"""),"Nombre del Barco")</f>
        <v>Nombre del Barco</v>
      </c>
      <c r="S3" s="2" t="str">
        <f ca="1">IFERROR(__xludf.DUMMYFUNCTION("""COMPUTED_VALUE"""),"Tripulante 1")</f>
        <v>Tripulante 1</v>
      </c>
      <c r="T3" s="2" t="str">
        <f ca="1">IFERROR(__xludf.DUMMYFUNCTION("""COMPUTED_VALUE"""),"Tripulante 2")</f>
        <v>Tripulante 2</v>
      </c>
      <c r="U3" s="2" t="str">
        <f ca="1">IFERROR(__xludf.DUMMYFUNCTION("""COMPUTED_VALUE"""),"Tripulante 3")</f>
        <v>Tripulante 3</v>
      </c>
      <c r="V3" s="2" t="str">
        <f ca="1">IFERROR(__xludf.DUMMYFUNCTION("""COMPUTED_VALUE"""),"Tripulante 4")</f>
        <v>Tripulante 4</v>
      </c>
      <c r="W3" s="2" t="str">
        <f ca="1">IFERROR(__xludf.DUMMYFUNCTION("""COMPUTED_VALUE"""),"Tripulante 5")</f>
        <v>Tripulante 5</v>
      </c>
      <c r="X3" s="2" t="str">
        <f ca="1">IFERROR(__xludf.DUMMYFUNCTION("""COMPUTED_VALUE"""),"Tripulante 6")</f>
        <v>Tripulante 6</v>
      </c>
      <c r="Y3" s="2" t="str">
        <f ca="1">IFERROR(__xludf.DUMMYFUNCTION("""COMPUTED_VALUE"""),"Obra Social/Nº Afiliado")</f>
        <v>Obra Social/Nº Afiliado</v>
      </c>
      <c r="Z3" s="54" t="str">
        <f ca="1">IFERROR(__xludf.DUMMYFUNCTION("""COMPUTED_VALUE"""),"Bajada YCO")</f>
        <v>Bajada YCO</v>
      </c>
      <c r="AA3" s="54" t="str">
        <f ca="1">IFERROR(__xludf.DUMMYFUNCTION("""COMPUTED_VALUE"""),"Términos y Condiciones")</f>
        <v>Términos y Condiciones</v>
      </c>
      <c r="AB3" s="54" t="str">
        <f ca="1">IFERROR(__xludf.DUMMYFUNCTION("""COMPUTED_VALUE"""),"Pago")</f>
        <v>Pago</v>
      </c>
      <c r="AC3" s="2" t="str">
        <f ca="1">IFERROR(__xludf.DUMMYFUNCTION("""COMPUTED_VALUE"""),"Importe")</f>
        <v>Importe</v>
      </c>
      <c r="AD3" s="2" t="str">
        <f ca="1">IFERROR(__xludf.DUMMYFUNCTION("""COMPUTED_VALUE"""),"RECIBO")</f>
        <v>RECIBO</v>
      </c>
      <c r="AG3" s="2" t="s">
        <v>62</v>
      </c>
    </row>
    <row r="4" spans="1:33" ht="13.2">
      <c r="B4" s="96"/>
      <c r="C4" s="36"/>
      <c r="D4" s="36"/>
      <c r="E4" s="36"/>
      <c r="F4" s="6"/>
      <c r="G4" s="6"/>
      <c r="Q4" s="97"/>
      <c r="Z4" s="6"/>
      <c r="AA4" s="6"/>
      <c r="AB4" s="6"/>
    </row>
    <row r="5" spans="1:33" ht="13.2">
      <c r="B5" s="96"/>
      <c r="C5" s="36"/>
      <c r="D5" s="36"/>
      <c r="E5" s="36"/>
      <c r="F5" s="6"/>
      <c r="G5" s="6"/>
      <c r="Q5" s="97"/>
      <c r="Z5" s="6"/>
      <c r="AA5" s="6"/>
      <c r="AB5" s="6"/>
    </row>
    <row r="6" spans="1:33" ht="13.2">
      <c r="B6" s="96"/>
      <c r="C6" s="36"/>
      <c r="D6" s="36"/>
      <c r="E6" s="36"/>
      <c r="F6" s="6"/>
      <c r="G6" s="6"/>
      <c r="Q6" s="97"/>
      <c r="Z6" s="6"/>
      <c r="AA6" s="6"/>
      <c r="AB6" s="6"/>
    </row>
    <row r="7" spans="1:33" ht="13.2">
      <c r="B7" s="96"/>
      <c r="C7" s="36"/>
      <c r="D7" s="36"/>
      <c r="E7" s="36"/>
      <c r="F7" s="6"/>
      <c r="G7" s="6"/>
      <c r="Q7" s="97"/>
      <c r="Z7" s="6"/>
      <c r="AA7" s="6"/>
      <c r="AB7" s="6"/>
    </row>
    <row r="8" spans="1:33" ht="13.2">
      <c r="B8" s="96"/>
      <c r="C8" s="36"/>
      <c r="D8" s="36"/>
      <c r="E8" s="36"/>
      <c r="F8" s="6"/>
      <c r="G8" s="6"/>
      <c r="Q8" s="97"/>
      <c r="Z8" s="6"/>
      <c r="AA8" s="6"/>
      <c r="AB8" s="6"/>
    </row>
    <row r="9" spans="1:33" ht="13.2">
      <c r="B9" s="96"/>
      <c r="C9" s="36"/>
      <c r="D9" s="36"/>
      <c r="E9" s="36"/>
      <c r="F9" s="6"/>
      <c r="G9" s="6"/>
      <c r="Q9" s="97"/>
      <c r="Z9" s="6"/>
      <c r="AA9" s="6"/>
      <c r="AB9" s="6"/>
    </row>
    <row r="10" spans="1:33" ht="13.2">
      <c r="B10" s="96"/>
      <c r="C10" s="36"/>
      <c r="D10" s="36"/>
      <c r="E10" s="36"/>
      <c r="F10" s="6"/>
      <c r="G10" s="6"/>
      <c r="Q10" s="97"/>
      <c r="Z10" s="6"/>
      <c r="AA10" s="6"/>
      <c r="AB10" s="6"/>
    </row>
    <row r="11" spans="1:33" ht="13.2">
      <c r="B11" s="96"/>
      <c r="C11" s="36"/>
      <c r="D11" s="36"/>
      <c r="E11" s="36"/>
      <c r="F11" s="6"/>
      <c r="G11" s="6"/>
      <c r="Q11" s="97"/>
      <c r="Z11" s="6"/>
      <c r="AA11" s="6"/>
      <c r="AB11" s="6"/>
    </row>
    <row r="12" spans="1:33" ht="13.2">
      <c r="B12" s="96"/>
      <c r="C12" s="36"/>
      <c r="D12" s="36"/>
      <c r="E12" s="36"/>
      <c r="F12" s="6"/>
      <c r="G12" s="6"/>
      <c r="Q12" s="97"/>
      <c r="Z12" s="6"/>
      <c r="AA12" s="6"/>
      <c r="AB12" s="6"/>
    </row>
    <row r="13" spans="1:33" ht="13.2">
      <c r="B13" s="96"/>
      <c r="C13" s="36"/>
      <c r="D13" s="36"/>
      <c r="E13" s="36"/>
      <c r="F13" s="6"/>
      <c r="G13" s="6"/>
      <c r="Q13" s="97"/>
      <c r="Z13" s="6"/>
      <c r="AA13" s="6"/>
      <c r="AB13" s="6"/>
    </row>
    <row r="14" spans="1:33" ht="13.2">
      <c r="B14" s="96"/>
      <c r="C14" s="36"/>
      <c r="D14" s="36"/>
      <c r="E14" s="36"/>
      <c r="F14" s="6"/>
      <c r="G14" s="6"/>
      <c r="Q14" s="97"/>
      <c r="Z14" s="6"/>
      <c r="AA14" s="6"/>
      <c r="AB14" s="6"/>
    </row>
    <row r="15" spans="1:33" ht="13.2">
      <c r="B15" s="96"/>
      <c r="C15" s="36"/>
      <c r="D15" s="36"/>
      <c r="E15" s="36"/>
      <c r="F15" s="6"/>
      <c r="G15" s="6"/>
      <c r="Q15" s="97"/>
      <c r="Z15" s="6"/>
      <c r="AA15" s="6"/>
      <c r="AB15" s="6"/>
    </row>
    <row r="16" spans="1:33" ht="13.2">
      <c r="B16" s="96"/>
      <c r="C16" s="36"/>
      <c r="D16" s="36"/>
      <c r="E16" s="36"/>
      <c r="F16" s="6"/>
      <c r="G16" s="6"/>
      <c r="Q16" s="97"/>
      <c r="Z16" s="6"/>
      <c r="AA16" s="6"/>
      <c r="AB16" s="6"/>
    </row>
    <row r="17" spans="2:28" ht="13.2">
      <c r="B17" s="96"/>
      <c r="C17" s="36"/>
      <c r="D17" s="36"/>
      <c r="E17" s="36"/>
      <c r="F17" s="6"/>
      <c r="G17" s="6"/>
      <c r="Q17" s="97"/>
      <c r="Z17" s="6"/>
      <c r="AA17" s="6"/>
      <c r="AB17" s="6"/>
    </row>
    <row r="18" spans="2:28" ht="13.2">
      <c r="B18" s="96"/>
      <c r="C18" s="36"/>
      <c r="D18" s="36"/>
      <c r="E18" s="36"/>
      <c r="F18" s="6"/>
      <c r="G18" s="6"/>
      <c r="Q18" s="97"/>
      <c r="Z18" s="6"/>
      <c r="AA18" s="6"/>
      <c r="AB18" s="6"/>
    </row>
    <row r="19" spans="2:28" ht="13.2">
      <c r="B19" s="96"/>
      <c r="C19" s="36"/>
      <c r="D19" s="36"/>
      <c r="E19" s="36"/>
      <c r="F19" s="6"/>
      <c r="G19" s="6"/>
      <c r="Q19" s="97"/>
      <c r="Z19" s="6"/>
      <c r="AA19" s="6"/>
      <c r="AB19" s="6"/>
    </row>
    <row r="20" spans="2:28" ht="13.2">
      <c r="B20" s="96"/>
      <c r="C20" s="36"/>
      <c r="D20" s="36"/>
      <c r="E20" s="36"/>
      <c r="F20" s="6"/>
      <c r="G20" s="6"/>
      <c r="Q20" s="97"/>
      <c r="Z20" s="6"/>
      <c r="AA20" s="6"/>
      <c r="AB20" s="6"/>
    </row>
    <row r="21" spans="2:28" ht="13.2">
      <c r="B21" s="96"/>
      <c r="C21" s="36"/>
      <c r="D21" s="36"/>
      <c r="E21" s="36"/>
      <c r="F21" s="6"/>
      <c r="G21" s="6"/>
      <c r="Q21" s="97"/>
      <c r="Z21" s="6"/>
      <c r="AA21" s="6"/>
      <c r="AB21" s="6"/>
    </row>
    <row r="22" spans="2:28" ht="13.2">
      <c r="B22" s="96"/>
      <c r="C22" s="36"/>
      <c r="D22" s="36"/>
      <c r="E22" s="36"/>
      <c r="F22" s="6"/>
      <c r="G22" s="6"/>
      <c r="Q22" s="97"/>
      <c r="Z22" s="6"/>
      <c r="AA22" s="6"/>
      <c r="AB22" s="6"/>
    </row>
    <row r="23" spans="2:28" ht="13.2">
      <c r="B23" s="96"/>
      <c r="C23" s="36"/>
      <c r="D23" s="36"/>
      <c r="E23" s="36"/>
      <c r="F23" s="6"/>
      <c r="G23" s="6"/>
      <c r="Q23" s="97"/>
      <c r="Z23" s="6"/>
      <c r="AA23" s="6"/>
      <c r="AB23" s="6"/>
    </row>
    <row r="24" spans="2:28" ht="13.2">
      <c r="B24" s="96"/>
      <c r="C24" s="36"/>
      <c r="D24" s="36"/>
      <c r="E24" s="36"/>
      <c r="F24" s="6"/>
      <c r="G24" s="6"/>
      <c r="Q24" s="97"/>
      <c r="Z24" s="6"/>
      <c r="AA24" s="6"/>
      <c r="AB24" s="6"/>
    </row>
    <row r="25" spans="2:28" ht="13.2">
      <c r="B25" s="96"/>
      <c r="C25" s="36"/>
      <c r="D25" s="36"/>
      <c r="E25" s="36"/>
      <c r="F25" s="6"/>
      <c r="G25" s="6"/>
      <c r="Q25" s="97"/>
      <c r="Z25" s="6"/>
      <c r="AA25" s="6"/>
      <c r="AB25" s="6"/>
    </row>
    <row r="26" spans="2:28" ht="13.2">
      <c r="B26" s="96"/>
      <c r="C26" s="36"/>
      <c r="D26" s="36"/>
      <c r="E26" s="36"/>
      <c r="F26" s="6"/>
      <c r="G26" s="6"/>
      <c r="Q26" s="97"/>
      <c r="Z26" s="6"/>
      <c r="AA26" s="6"/>
      <c r="AB26" s="6"/>
    </row>
    <row r="27" spans="2:28" ht="13.2">
      <c r="B27" s="96"/>
      <c r="C27" s="36"/>
      <c r="D27" s="36"/>
      <c r="E27" s="36"/>
      <c r="F27" s="6"/>
      <c r="G27" s="6"/>
      <c r="Q27" s="97"/>
      <c r="Z27" s="6"/>
      <c r="AA27" s="6"/>
      <c r="AB27" s="6"/>
    </row>
    <row r="28" spans="2:28" ht="13.2">
      <c r="B28" s="96"/>
      <c r="C28" s="36"/>
      <c r="D28" s="36"/>
      <c r="E28" s="36"/>
      <c r="F28" s="6"/>
      <c r="G28" s="6"/>
      <c r="Q28" s="97"/>
      <c r="Z28" s="6"/>
      <c r="AA28" s="6"/>
      <c r="AB28" s="6"/>
    </row>
    <row r="29" spans="2:28" ht="13.2">
      <c r="B29" s="96"/>
      <c r="C29" s="36"/>
      <c r="D29" s="36"/>
      <c r="E29" s="36"/>
      <c r="F29" s="6"/>
      <c r="G29" s="6"/>
      <c r="Q29" s="97"/>
      <c r="Z29" s="6"/>
      <c r="AA29" s="6"/>
      <c r="AB29" s="6"/>
    </row>
    <row r="30" spans="2:28" ht="13.2">
      <c r="B30" s="96"/>
      <c r="C30" s="36"/>
      <c r="D30" s="36"/>
      <c r="E30" s="36"/>
      <c r="F30" s="6"/>
      <c r="G30" s="6"/>
      <c r="Q30" s="97"/>
      <c r="Z30" s="6"/>
      <c r="AA30" s="6"/>
      <c r="AB30" s="6"/>
    </row>
    <row r="31" spans="2:28" ht="13.2">
      <c r="B31" s="96"/>
      <c r="C31" s="36"/>
      <c r="D31" s="36"/>
      <c r="E31" s="36"/>
      <c r="F31" s="6"/>
      <c r="G31" s="6"/>
      <c r="Q31" s="97"/>
      <c r="Z31" s="6"/>
      <c r="AA31" s="6"/>
      <c r="AB31" s="6"/>
    </row>
    <row r="32" spans="2:28" ht="13.2">
      <c r="B32" s="96"/>
      <c r="C32" s="36"/>
      <c r="D32" s="36"/>
      <c r="E32" s="36"/>
      <c r="F32" s="6"/>
      <c r="G32" s="6"/>
      <c r="Q32" s="97"/>
      <c r="Z32" s="6"/>
      <c r="AA32" s="6"/>
      <c r="AB32" s="6"/>
    </row>
    <row r="33" spans="2:28" ht="13.2">
      <c r="B33" s="96"/>
      <c r="C33" s="36"/>
      <c r="D33" s="36"/>
      <c r="E33" s="36"/>
      <c r="F33" s="6"/>
      <c r="G33" s="6"/>
      <c r="Q33" s="97"/>
      <c r="Z33" s="6"/>
      <c r="AA33" s="6"/>
      <c r="AB33" s="6"/>
    </row>
    <row r="34" spans="2:28" ht="13.2">
      <c r="B34" s="96"/>
      <c r="C34" s="36"/>
      <c r="D34" s="36"/>
      <c r="E34" s="36"/>
      <c r="F34" s="6"/>
      <c r="G34" s="6"/>
      <c r="Q34" s="97"/>
      <c r="Z34" s="6"/>
      <c r="AA34" s="6"/>
      <c r="AB34" s="6"/>
    </row>
    <row r="35" spans="2:28" ht="13.2">
      <c r="B35" s="96"/>
      <c r="C35" s="36"/>
      <c r="D35" s="36"/>
      <c r="E35" s="36"/>
      <c r="F35" s="6"/>
      <c r="G35" s="6"/>
      <c r="Q35" s="97"/>
      <c r="Z35" s="6"/>
      <c r="AA35" s="6"/>
      <c r="AB35" s="6"/>
    </row>
    <row r="36" spans="2:28" ht="13.2">
      <c r="B36" s="96"/>
      <c r="C36" s="36"/>
      <c r="D36" s="36"/>
      <c r="E36" s="36"/>
      <c r="F36" s="6"/>
      <c r="G36" s="6"/>
      <c r="Q36" s="97"/>
      <c r="Z36" s="6"/>
      <c r="AA36" s="6"/>
      <c r="AB36" s="6"/>
    </row>
    <row r="37" spans="2:28" ht="13.2">
      <c r="B37" s="96"/>
      <c r="C37" s="36"/>
      <c r="D37" s="36"/>
      <c r="E37" s="36"/>
      <c r="F37" s="6"/>
      <c r="G37" s="6"/>
      <c r="Q37" s="97"/>
      <c r="Z37" s="6"/>
      <c r="AA37" s="6"/>
      <c r="AB37" s="6"/>
    </row>
    <row r="38" spans="2:28" ht="13.2">
      <c r="B38" s="96"/>
      <c r="C38" s="36"/>
      <c r="D38" s="36"/>
      <c r="E38" s="36"/>
      <c r="F38" s="6"/>
      <c r="G38" s="6"/>
      <c r="Q38" s="97"/>
      <c r="Z38" s="6"/>
      <c r="AA38" s="6"/>
      <c r="AB38" s="6"/>
    </row>
    <row r="39" spans="2:28" ht="13.2">
      <c r="B39" s="96"/>
      <c r="C39" s="36"/>
      <c r="D39" s="36"/>
      <c r="E39" s="36"/>
      <c r="F39" s="6"/>
      <c r="G39" s="6"/>
      <c r="Q39" s="97"/>
      <c r="Z39" s="6"/>
      <c r="AA39" s="6"/>
      <c r="AB39" s="6"/>
    </row>
    <row r="40" spans="2:28" ht="13.2">
      <c r="B40" s="96"/>
      <c r="C40" s="36"/>
      <c r="D40" s="36"/>
      <c r="E40" s="36"/>
      <c r="F40" s="6"/>
      <c r="G40" s="6"/>
      <c r="Q40" s="97"/>
      <c r="Z40" s="6"/>
      <c r="AA40" s="6"/>
      <c r="AB40" s="6"/>
    </row>
    <row r="41" spans="2:28" ht="13.2">
      <c r="B41" s="96"/>
      <c r="C41" s="36"/>
      <c r="D41" s="36"/>
      <c r="E41" s="36"/>
      <c r="F41" s="6"/>
      <c r="G41" s="6"/>
      <c r="Q41" s="97"/>
      <c r="Z41" s="6"/>
      <c r="AA41" s="6"/>
      <c r="AB41" s="6"/>
    </row>
    <row r="42" spans="2:28" ht="13.2">
      <c r="B42" s="96"/>
      <c r="C42" s="36"/>
      <c r="D42" s="36"/>
      <c r="E42" s="36"/>
      <c r="F42" s="6"/>
      <c r="G42" s="6"/>
      <c r="Q42" s="97"/>
      <c r="Z42" s="6"/>
      <c r="AA42" s="6"/>
      <c r="AB42" s="6"/>
    </row>
    <row r="43" spans="2:28" ht="13.2">
      <c r="B43" s="96"/>
      <c r="C43" s="36"/>
      <c r="D43" s="36"/>
      <c r="E43" s="36"/>
      <c r="F43" s="6"/>
      <c r="G43" s="6"/>
      <c r="Q43" s="97"/>
      <c r="Z43" s="6"/>
      <c r="AA43" s="6"/>
      <c r="AB43" s="6"/>
    </row>
    <row r="44" spans="2:28" ht="13.2">
      <c r="B44" s="96"/>
      <c r="C44" s="36"/>
      <c r="D44" s="36"/>
      <c r="E44" s="36"/>
      <c r="F44" s="6"/>
      <c r="G44" s="6"/>
      <c r="Q44" s="97"/>
      <c r="Z44" s="6"/>
      <c r="AA44" s="6"/>
      <c r="AB44" s="6"/>
    </row>
    <row r="45" spans="2:28" ht="13.2">
      <c r="B45" s="96"/>
      <c r="C45" s="36"/>
      <c r="D45" s="36"/>
      <c r="E45" s="36"/>
      <c r="F45" s="6"/>
      <c r="G45" s="6"/>
      <c r="Q45" s="97"/>
      <c r="Z45" s="6"/>
      <c r="AA45" s="6"/>
      <c r="AB45" s="6"/>
    </row>
    <row r="46" spans="2:28" ht="13.2">
      <c r="B46" s="96"/>
      <c r="C46" s="36"/>
      <c r="D46" s="36"/>
      <c r="E46" s="36"/>
      <c r="F46" s="6"/>
      <c r="G46" s="6"/>
      <c r="Q46" s="97"/>
      <c r="Z46" s="6"/>
      <c r="AA46" s="6"/>
      <c r="AB46" s="6"/>
    </row>
    <row r="47" spans="2:28" ht="13.2">
      <c r="B47" s="96"/>
      <c r="C47" s="36"/>
      <c r="D47" s="36"/>
      <c r="E47" s="36"/>
      <c r="F47" s="6"/>
      <c r="G47" s="6"/>
      <c r="Q47" s="97"/>
      <c r="Z47" s="6"/>
      <c r="AA47" s="6"/>
      <c r="AB47" s="6"/>
    </row>
    <row r="48" spans="2:28" ht="13.2">
      <c r="E48" s="6"/>
      <c r="F48" s="6"/>
      <c r="G48" s="6"/>
      <c r="Q48" s="97"/>
      <c r="Z48" s="6"/>
      <c r="AA48" s="6"/>
      <c r="AB48" s="6"/>
    </row>
    <row r="49" spans="5:28" ht="13.2">
      <c r="E49" s="6"/>
      <c r="F49" s="6"/>
      <c r="G49" s="6"/>
      <c r="Q49" s="97"/>
      <c r="Z49" s="6"/>
      <c r="AA49" s="6"/>
      <c r="AB49" s="6"/>
    </row>
    <row r="50" spans="5:28" ht="13.2">
      <c r="E50" s="6"/>
      <c r="F50" s="6"/>
      <c r="G50" s="6"/>
      <c r="Z50" s="6"/>
      <c r="AA50" s="6"/>
      <c r="AB50" s="6"/>
    </row>
    <row r="51" spans="5:28" ht="13.2">
      <c r="E51" s="6"/>
      <c r="F51" s="6"/>
      <c r="G51" s="6"/>
      <c r="Z51" s="6"/>
      <c r="AA51" s="6"/>
      <c r="AB51" s="6"/>
    </row>
    <row r="52" spans="5:28" ht="13.2">
      <c r="E52" s="6"/>
      <c r="F52" s="6"/>
      <c r="G52" s="6"/>
      <c r="Z52" s="6"/>
      <c r="AA52" s="6"/>
      <c r="AB52" s="6"/>
    </row>
    <row r="53" spans="5:28" ht="13.2">
      <c r="E53" s="6"/>
      <c r="F53" s="6"/>
      <c r="G53" s="6"/>
      <c r="Z53" s="6"/>
      <c r="AA53" s="6"/>
      <c r="AB53" s="6"/>
    </row>
    <row r="54" spans="5:28" ht="13.2">
      <c r="E54" s="6"/>
      <c r="F54" s="6"/>
      <c r="G54" s="6"/>
      <c r="Z54" s="6"/>
      <c r="AA54" s="6"/>
      <c r="AB54" s="6"/>
    </row>
    <row r="55" spans="5:28" ht="13.2">
      <c r="E55" s="6"/>
      <c r="F55" s="6"/>
      <c r="G55" s="6"/>
      <c r="Z55" s="6"/>
      <c r="AA55" s="6"/>
      <c r="AB55" s="6"/>
    </row>
    <row r="56" spans="5:28" ht="13.2">
      <c r="E56" s="6"/>
      <c r="F56" s="6"/>
      <c r="G56" s="6"/>
      <c r="Z56" s="6"/>
      <c r="AA56" s="6"/>
      <c r="AB56" s="6"/>
    </row>
    <row r="57" spans="5:28" ht="13.2">
      <c r="E57" s="6"/>
      <c r="F57" s="6"/>
      <c r="G57" s="6"/>
      <c r="Z57" s="6"/>
      <c r="AA57" s="6"/>
      <c r="AB57" s="6"/>
    </row>
    <row r="58" spans="5:28" ht="13.2">
      <c r="E58" s="6"/>
      <c r="F58" s="6"/>
      <c r="G58" s="6"/>
      <c r="Z58" s="6"/>
      <c r="AA58" s="6"/>
      <c r="AB58" s="6"/>
    </row>
    <row r="59" spans="5:28" ht="13.2">
      <c r="E59" s="6"/>
      <c r="F59" s="6"/>
      <c r="G59" s="6"/>
      <c r="Z59" s="6"/>
      <c r="AA59" s="6"/>
      <c r="AB59" s="6"/>
    </row>
    <row r="60" spans="5:28" ht="13.2">
      <c r="E60" s="6"/>
      <c r="F60" s="6"/>
      <c r="G60" s="6"/>
      <c r="Z60" s="6"/>
      <c r="AA60" s="6"/>
      <c r="AB60" s="6"/>
    </row>
    <row r="61" spans="5:28" ht="13.2">
      <c r="E61" s="6"/>
      <c r="F61" s="6"/>
      <c r="G61" s="6"/>
      <c r="Z61" s="6"/>
      <c r="AA61" s="6"/>
      <c r="AB61" s="6"/>
    </row>
    <row r="62" spans="5:28" ht="13.2">
      <c r="E62" s="6"/>
      <c r="F62" s="6"/>
      <c r="G62" s="6"/>
      <c r="Z62" s="6"/>
      <c r="AA62" s="6"/>
      <c r="AB62" s="6"/>
    </row>
    <row r="63" spans="5:28" ht="13.2">
      <c r="E63" s="6"/>
      <c r="F63" s="6"/>
      <c r="G63" s="6"/>
      <c r="Z63" s="6"/>
      <c r="AA63" s="6"/>
      <c r="AB63" s="6"/>
    </row>
    <row r="64" spans="5:28" ht="13.2">
      <c r="E64" s="6"/>
      <c r="F64" s="6"/>
      <c r="G64" s="6"/>
      <c r="Z64" s="6"/>
      <c r="AA64" s="6"/>
      <c r="AB64" s="6"/>
    </row>
    <row r="65" spans="5:28" ht="13.2">
      <c r="E65" s="6"/>
      <c r="F65" s="6"/>
      <c r="G65" s="6"/>
      <c r="Z65" s="6"/>
      <c r="AA65" s="6"/>
      <c r="AB65" s="6"/>
    </row>
    <row r="66" spans="5:28" ht="13.2">
      <c r="E66" s="6"/>
      <c r="F66" s="6"/>
      <c r="G66" s="6"/>
      <c r="Z66" s="6"/>
      <c r="AA66" s="6"/>
      <c r="AB66" s="6"/>
    </row>
    <row r="67" spans="5:28" ht="13.2">
      <c r="E67" s="6"/>
      <c r="F67" s="6"/>
      <c r="G67" s="6"/>
      <c r="Z67" s="6"/>
      <c r="AA67" s="6"/>
      <c r="AB67" s="6"/>
    </row>
    <row r="68" spans="5:28" ht="13.2">
      <c r="E68" s="6"/>
      <c r="F68" s="6"/>
      <c r="G68" s="6"/>
      <c r="Z68" s="6"/>
      <c r="AA68" s="6"/>
      <c r="AB68" s="6"/>
    </row>
    <row r="69" spans="5:28" ht="13.2">
      <c r="E69" s="6"/>
      <c r="F69" s="6"/>
      <c r="G69" s="6"/>
      <c r="Z69" s="6"/>
      <c r="AA69" s="6"/>
      <c r="AB69" s="6"/>
    </row>
    <row r="70" spans="5:28" ht="13.2">
      <c r="E70" s="6"/>
      <c r="F70" s="6"/>
      <c r="G70" s="6"/>
      <c r="Z70" s="6"/>
      <c r="AA70" s="6"/>
      <c r="AB70" s="6"/>
    </row>
    <row r="71" spans="5:28" ht="13.2">
      <c r="E71" s="6"/>
      <c r="F71" s="6"/>
      <c r="G71" s="6"/>
      <c r="Z71" s="6"/>
      <c r="AA71" s="6"/>
      <c r="AB71" s="6"/>
    </row>
    <row r="72" spans="5:28" ht="13.2">
      <c r="E72" s="6"/>
      <c r="F72" s="6"/>
      <c r="G72" s="6"/>
      <c r="Z72" s="6"/>
      <c r="AA72" s="6"/>
      <c r="AB72" s="6"/>
    </row>
    <row r="73" spans="5:28" ht="13.2">
      <c r="E73" s="6"/>
      <c r="F73" s="6"/>
      <c r="G73" s="6"/>
      <c r="Z73" s="6"/>
      <c r="AA73" s="6"/>
      <c r="AB73" s="6"/>
    </row>
    <row r="74" spans="5:28" ht="13.2">
      <c r="E74" s="6"/>
      <c r="F74" s="6"/>
      <c r="G74" s="6"/>
      <c r="Z74" s="6"/>
      <c r="AA74" s="6"/>
      <c r="AB74" s="6"/>
    </row>
    <row r="75" spans="5:28" ht="13.2">
      <c r="E75" s="6"/>
      <c r="F75" s="6"/>
      <c r="G75" s="6"/>
      <c r="Z75" s="6"/>
      <c r="AA75" s="6"/>
      <c r="AB75" s="6"/>
    </row>
    <row r="76" spans="5:28" ht="13.2">
      <c r="E76" s="6"/>
      <c r="F76" s="6"/>
      <c r="G76" s="6"/>
      <c r="Z76" s="6"/>
      <c r="AA76" s="6"/>
      <c r="AB76" s="6"/>
    </row>
    <row r="77" spans="5:28" ht="13.2">
      <c r="E77" s="6"/>
      <c r="F77" s="6"/>
      <c r="G77" s="6"/>
      <c r="Z77" s="6"/>
      <c r="AA77" s="6"/>
      <c r="AB77" s="6"/>
    </row>
    <row r="78" spans="5:28" ht="13.2">
      <c r="E78" s="6"/>
      <c r="F78" s="6"/>
      <c r="G78" s="6"/>
      <c r="Z78" s="6"/>
      <c r="AA78" s="6"/>
      <c r="AB78" s="6"/>
    </row>
    <row r="79" spans="5:28" ht="13.2">
      <c r="E79" s="6"/>
      <c r="F79" s="6"/>
      <c r="G79" s="6"/>
      <c r="Z79" s="6"/>
      <c r="AA79" s="6"/>
      <c r="AB79" s="6"/>
    </row>
    <row r="80" spans="5:28" ht="13.2">
      <c r="E80" s="6"/>
      <c r="F80" s="6"/>
      <c r="G80" s="6"/>
      <c r="Z80" s="6"/>
      <c r="AA80" s="6"/>
      <c r="AB80" s="6"/>
    </row>
    <row r="81" spans="5:28" ht="13.2">
      <c r="E81" s="6"/>
      <c r="F81" s="6"/>
      <c r="G81" s="6"/>
      <c r="Z81" s="6"/>
      <c r="AA81" s="6"/>
      <c r="AB81" s="6"/>
    </row>
    <row r="82" spans="5:28" ht="13.2">
      <c r="E82" s="6"/>
      <c r="F82" s="6"/>
      <c r="G82" s="6"/>
      <c r="Z82" s="6"/>
      <c r="AA82" s="6"/>
      <c r="AB82" s="6"/>
    </row>
    <row r="83" spans="5:28" ht="13.2">
      <c r="E83" s="6"/>
      <c r="F83" s="6"/>
      <c r="G83" s="6"/>
      <c r="Z83" s="6"/>
      <c r="AA83" s="6"/>
      <c r="AB83" s="6"/>
    </row>
    <row r="84" spans="5:28" ht="13.2">
      <c r="E84" s="6"/>
      <c r="F84" s="6"/>
      <c r="G84" s="6"/>
      <c r="Z84" s="6"/>
      <c r="AA84" s="6"/>
      <c r="AB84" s="6"/>
    </row>
    <row r="85" spans="5:28" ht="13.2">
      <c r="E85" s="6"/>
      <c r="F85" s="6"/>
      <c r="G85" s="6"/>
      <c r="Z85" s="6"/>
      <c r="AA85" s="6"/>
      <c r="AB85" s="6"/>
    </row>
    <row r="86" spans="5:28" ht="13.2">
      <c r="E86" s="6"/>
      <c r="F86" s="6"/>
      <c r="G86" s="6"/>
      <c r="Z86" s="6"/>
      <c r="AA86" s="6"/>
      <c r="AB86" s="6"/>
    </row>
    <row r="87" spans="5:28" ht="13.2">
      <c r="E87" s="6"/>
      <c r="F87" s="6"/>
      <c r="G87" s="6"/>
      <c r="Z87" s="6"/>
      <c r="AA87" s="6"/>
      <c r="AB87" s="6"/>
    </row>
    <row r="88" spans="5:28" ht="13.2">
      <c r="E88" s="6"/>
      <c r="F88" s="6"/>
      <c r="G88" s="6"/>
      <c r="Z88" s="6"/>
      <c r="AA88" s="6"/>
      <c r="AB88" s="6"/>
    </row>
    <row r="89" spans="5:28" ht="13.2">
      <c r="E89" s="6"/>
      <c r="F89" s="6"/>
      <c r="G89" s="6"/>
      <c r="Z89" s="6"/>
      <c r="AA89" s="6"/>
      <c r="AB89" s="6"/>
    </row>
    <row r="90" spans="5:28" ht="13.2">
      <c r="E90" s="6"/>
      <c r="F90" s="6"/>
      <c r="G90" s="6"/>
      <c r="Z90" s="6"/>
      <c r="AA90" s="6"/>
      <c r="AB90" s="6"/>
    </row>
    <row r="91" spans="5:28" ht="13.2">
      <c r="E91" s="6"/>
      <c r="F91" s="6"/>
      <c r="G91" s="6"/>
      <c r="Z91" s="6"/>
      <c r="AA91" s="6"/>
      <c r="AB91" s="6"/>
    </row>
    <row r="92" spans="5:28" ht="13.2">
      <c r="E92" s="6"/>
      <c r="F92" s="6"/>
      <c r="G92" s="6"/>
      <c r="Z92" s="6"/>
      <c r="AA92" s="6"/>
      <c r="AB92" s="6"/>
    </row>
    <row r="93" spans="5:28" ht="13.2">
      <c r="E93" s="6"/>
      <c r="F93" s="6"/>
      <c r="G93" s="6"/>
      <c r="Z93" s="6"/>
      <c r="AA93" s="6"/>
      <c r="AB93" s="6"/>
    </row>
    <row r="94" spans="5:28" ht="13.2">
      <c r="E94" s="6"/>
      <c r="F94" s="6"/>
      <c r="G94" s="6"/>
      <c r="Z94" s="6"/>
      <c r="AA94" s="6"/>
      <c r="AB94" s="6"/>
    </row>
    <row r="95" spans="5:28" ht="13.2">
      <c r="E95" s="6"/>
      <c r="F95" s="6"/>
      <c r="G95" s="6"/>
      <c r="Z95" s="6"/>
      <c r="AA95" s="6"/>
      <c r="AB95" s="6"/>
    </row>
    <row r="96" spans="5:28" ht="13.2">
      <c r="E96" s="6"/>
      <c r="F96" s="6"/>
      <c r="G96" s="6"/>
      <c r="Z96" s="6"/>
      <c r="AA96" s="6"/>
      <c r="AB96" s="6"/>
    </row>
    <row r="97" spans="5:28" ht="13.2">
      <c r="E97" s="6"/>
      <c r="F97" s="6"/>
      <c r="G97" s="6"/>
      <c r="Z97" s="6"/>
      <c r="AA97" s="6"/>
      <c r="AB97" s="6"/>
    </row>
    <row r="98" spans="5:28" ht="13.2">
      <c r="E98" s="6"/>
      <c r="F98" s="6"/>
      <c r="G98" s="6"/>
      <c r="Z98" s="6"/>
      <c r="AA98" s="6"/>
      <c r="AB98" s="6"/>
    </row>
    <row r="99" spans="5:28" ht="13.2">
      <c r="E99" s="6"/>
      <c r="F99" s="6"/>
      <c r="G99" s="6"/>
      <c r="Z99" s="6"/>
      <c r="AA99" s="6"/>
      <c r="AB99" s="6"/>
    </row>
    <row r="100" spans="5:28" ht="13.2">
      <c r="Z100" s="6"/>
      <c r="AA100" s="6"/>
      <c r="AB100" s="6"/>
    </row>
    <row r="101" spans="5:28" ht="13.2">
      <c r="Z101" s="6"/>
      <c r="AA101" s="6"/>
      <c r="AB101" s="6"/>
    </row>
    <row r="102" spans="5:28" ht="13.2">
      <c r="Z102" s="6"/>
      <c r="AA102" s="6"/>
      <c r="AB102" s="6"/>
    </row>
    <row r="103" spans="5:28" ht="13.2">
      <c r="Z103" s="6"/>
      <c r="AA103" s="6"/>
      <c r="AB103" s="6"/>
    </row>
    <row r="104" spans="5:28" ht="13.2">
      <c r="Z104" s="6"/>
      <c r="AA104" s="6"/>
      <c r="AB104" s="6"/>
    </row>
    <row r="105" spans="5:28" ht="13.2">
      <c r="Z105" s="6"/>
      <c r="AA105" s="6"/>
      <c r="AB105" s="6"/>
    </row>
    <row r="106" spans="5:28" ht="13.2">
      <c r="Z106" s="6"/>
      <c r="AA106" s="6"/>
      <c r="AB106" s="6"/>
    </row>
    <row r="107" spans="5:28" ht="13.2">
      <c r="Z107" s="6"/>
      <c r="AA107" s="6"/>
      <c r="AB107" s="6"/>
    </row>
    <row r="108" spans="5:28" ht="13.2">
      <c r="Z108" s="6"/>
      <c r="AA108" s="6"/>
      <c r="AB108" s="6"/>
    </row>
    <row r="109" spans="5:28" ht="13.2">
      <c r="Z109" s="6"/>
      <c r="AA109" s="6"/>
      <c r="AB109" s="6"/>
    </row>
    <row r="110" spans="5:28" ht="13.2">
      <c r="Z110" s="6"/>
      <c r="AA110" s="6"/>
      <c r="AB110" s="6"/>
    </row>
    <row r="111" spans="5:28" ht="13.2">
      <c r="Z111" s="6"/>
      <c r="AA111" s="6"/>
      <c r="AB111" s="6"/>
    </row>
    <row r="112" spans="5:28" ht="13.2">
      <c r="Z112" s="6"/>
      <c r="AA112" s="6"/>
      <c r="AB112" s="6"/>
    </row>
    <row r="113" spans="26:28" ht="13.2">
      <c r="Z113" s="6"/>
      <c r="AA113" s="6"/>
      <c r="AB113" s="6"/>
    </row>
    <row r="114" spans="26:28" ht="13.2">
      <c r="Z114" s="6"/>
      <c r="AA114" s="6"/>
      <c r="AB114" s="6"/>
    </row>
    <row r="115" spans="26:28" ht="13.2">
      <c r="Z115" s="6"/>
      <c r="AA115" s="6"/>
      <c r="AB115" s="6"/>
    </row>
    <row r="116" spans="26:28" ht="13.2">
      <c r="Z116" s="6"/>
      <c r="AA116" s="6"/>
      <c r="AB116" s="6"/>
    </row>
    <row r="117" spans="26:28" ht="13.2">
      <c r="Z117" s="6"/>
      <c r="AA117" s="6"/>
      <c r="AB117" s="6"/>
    </row>
    <row r="118" spans="26:28" ht="13.2">
      <c r="Z118" s="6"/>
      <c r="AA118" s="6"/>
      <c r="AB118" s="6"/>
    </row>
    <row r="119" spans="26:28" ht="13.2">
      <c r="Z119" s="6"/>
      <c r="AA119" s="6"/>
      <c r="AB119" s="6"/>
    </row>
    <row r="120" spans="26:28" ht="13.2">
      <c r="Z120" s="6"/>
      <c r="AA120" s="6"/>
      <c r="AB120" s="6"/>
    </row>
    <row r="121" spans="26:28" ht="13.2">
      <c r="Z121" s="6"/>
      <c r="AA121" s="6"/>
      <c r="AB121" s="6"/>
    </row>
  </sheetData>
  <conditionalFormatting sqref="B4:B136">
    <cfRule type="cellIs" dxfId="2" priority="1" operator="equal">
      <formula>"Pago"</formula>
    </cfRule>
  </conditionalFormatting>
  <conditionalFormatting sqref="G1:G65 I2 E4:F65">
    <cfRule type="cellIs" dxfId="1" priority="2" operator="equal">
      <formula>"Si"</formula>
    </cfRule>
  </conditionalFormatting>
  <conditionalFormatting sqref="AB4:AB66">
    <cfRule type="cellIs" dxfId="0" priority="3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H53"/>
  <sheetViews>
    <sheetView showGridLines="0" workbookViewId="0">
      <selection activeCell="L1" sqref="L1"/>
    </sheetView>
  </sheetViews>
  <sheetFormatPr defaultColWidth="12.6640625" defaultRowHeight="15.75" customHeight="1"/>
  <cols>
    <col min="1" max="1" width="33.88671875" customWidth="1"/>
    <col min="2" max="2" width="7.44140625" customWidth="1"/>
    <col min="3" max="3" width="8.44140625" customWidth="1"/>
    <col min="4" max="4" width="29.44140625" customWidth="1"/>
    <col min="5" max="5" width="9.21875" customWidth="1"/>
    <col min="6" max="6" width="7" customWidth="1"/>
    <col min="7" max="7" width="17.21875" customWidth="1"/>
    <col min="8" max="8" width="21.33203125" customWidth="1"/>
    <col min="9" max="13" width="12.44140625" customWidth="1"/>
  </cols>
  <sheetData>
    <row r="1" spans="1:8" ht="26.4">
      <c r="A1" s="56" t="s">
        <v>122</v>
      </c>
      <c r="B1" s="55" t="s">
        <v>5</v>
      </c>
      <c r="C1" s="55" t="s">
        <v>11</v>
      </c>
      <c r="D1" s="56" t="s">
        <v>12</v>
      </c>
      <c r="E1" s="56" t="s">
        <v>13</v>
      </c>
      <c r="F1" s="56" t="s">
        <v>16</v>
      </c>
      <c r="G1" s="56" t="s">
        <v>17</v>
      </c>
      <c r="H1" s="56" t="s">
        <v>233</v>
      </c>
    </row>
    <row r="2" spans="1:8" ht="26.4">
      <c r="A2" s="58" t="s">
        <v>240</v>
      </c>
      <c r="B2" s="59" t="s">
        <v>63</v>
      </c>
      <c r="C2" s="59" t="s">
        <v>185</v>
      </c>
      <c r="D2" s="58" t="s">
        <v>186</v>
      </c>
      <c r="E2" s="58"/>
      <c r="F2" s="58">
        <v>8</v>
      </c>
      <c r="G2" s="58" t="s">
        <v>187</v>
      </c>
      <c r="H2" s="58" t="s">
        <v>188</v>
      </c>
    </row>
    <row r="3" spans="1:8" ht="26.4">
      <c r="A3" s="58" t="s">
        <v>241</v>
      </c>
      <c r="B3" s="59" t="s">
        <v>63</v>
      </c>
      <c r="C3" s="59" t="s">
        <v>185</v>
      </c>
      <c r="D3" s="58" t="s">
        <v>189</v>
      </c>
      <c r="E3" s="58" t="s">
        <v>110</v>
      </c>
      <c r="F3" s="58">
        <v>300</v>
      </c>
      <c r="G3" s="58" t="s">
        <v>190</v>
      </c>
      <c r="H3" s="59" t="s">
        <v>191</v>
      </c>
    </row>
    <row r="4" spans="1:8" ht="26.4">
      <c r="A4" s="58" t="s">
        <v>242</v>
      </c>
      <c r="B4" s="59" t="s">
        <v>63</v>
      </c>
      <c r="C4" s="59" t="s">
        <v>192</v>
      </c>
      <c r="D4" s="58" t="s">
        <v>193</v>
      </c>
      <c r="E4" s="58"/>
      <c r="F4" s="58" t="s">
        <v>194</v>
      </c>
      <c r="G4" s="58" t="s">
        <v>195</v>
      </c>
      <c r="H4" s="58" t="s">
        <v>196</v>
      </c>
    </row>
    <row r="5" spans="1:8" ht="26.4">
      <c r="A5" s="58" t="s">
        <v>243</v>
      </c>
      <c r="B5" s="59" t="s">
        <v>63</v>
      </c>
      <c r="C5" s="59" t="s">
        <v>185</v>
      </c>
      <c r="D5" s="58" t="s">
        <v>197</v>
      </c>
      <c r="E5" s="58" t="s">
        <v>114</v>
      </c>
      <c r="F5" s="58">
        <v>269</v>
      </c>
      <c r="G5" s="58" t="s">
        <v>198</v>
      </c>
      <c r="H5" s="58" t="s">
        <v>199</v>
      </c>
    </row>
    <row r="6" spans="1:8" ht="26.4">
      <c r="A6" s="58" t="s">
        <v>234</v>
      </c>
      <c r="B6" s="59" t="s">
        <v>63</v>
      </c>
      <c r="C6" s="59" t="s">
        <v>185</v>
      </c>
      <c r="D6" s="58" t="s">
        <v>200</v>
      </c>
      <c r="E6" s="58" t="s">
        <v>110</v>
      </c>
      <c r="F6" s="58">
        <v>56</v>
      </c>
      <c r="G6" s="58" t="s">
        <v>201</v>
      </c>
      <c r="H6" s="58" t="s">
        <v>202</v>
      </c>
    </row>
    <row r="7" spans="1:8" ht="26.4">
      <c r="A7" s="58" t="s">
        <v>235</v>
      </c>
      <c r="B7" s="59" t="s">
        <v>63</v>
      </c>
      <c r="C7" s="59" t="s">
        <v>185</v>
      </c>
      <c r="D7" s="58" t="s">
        <v>203</v>
      </c>
      <c r="E7" s="58"/>
      <c r="F7" s="58">
        <v>707</v>
      </c>
      <c r="G7" s="58" t="s">
        <v>204</v>
      </c>
      <c r="H7" s="58" t="s">
        <v>205</v>
      </c>
    </row>
    <row r="8" spans="1:8" ht="26.4">
      <c r="A8" s="58" t="s">
        <v>244</v>
      </c>
      <c r="B8" s="59" t="s">
        <v>63</v>
      </c>
      <c r="C8" s="59" t="s">
        <v>185</v>
      </c>
      <c r="D8" s="58" t="s">
        <v>206</v>
      </c>
      <c r="E8" s="58" t="s">
        <v>114</v>
      </c>
      <c r="F8" s="58">
        <v>6</v>
      </c>
      <c r="G8" s="58" t="s">
        <v>207</v>
      </c>
      <c r="H8" s="58" t="s">
        <v>208</v>
      </c>
    </row>
    <row r="9" spans="1:8" ht="26.4">
      <c r="A9" s="58" t="s">
        <v>236</v>
      </c>
      <c r="B9" s="59" t="s">
        <v>63</v>
      </c>
      <c r="C9" s="59" t="s">
        <v>185</v>
      </c>
      <c r="D9" s="58" t="s">
        <v>121</v>
      </c>
      <c r="E9" s="58" t="s">
        <v>110</v>
      </c>
      <c r="F9" s="58">
        <v>1017</v>
      </c>
      <c r="G9" s="58" t="s">
        <v>209</v>
      </c>
      <c r="H9" s="58" t="s">
        <v>210</v>
      </c>
    </row>
    <row r="10" spans="1:8" ht="26.4">
      <c r="A10" s="58" t="s">
        <v>237</v>
      </c>
      <c r="B10" s="59" t="s">
        <v>63</v>
      </c>
      <c r="C10" s="59" t="s">
        <v>185</v>
      </c>
      <c r="D10" s="58" t="s">
        <v>206</v>
      </c>
      <c r="E10" s="59" t="s">
        <v>110</v>
      </c>
      <c r="F10" s="59">
        <v>352</v>
      </c>
      <c r="G10" s="58" t="s">
        <v>211</v>
      </c>
      <c r="H10" s="59" t="s">
        <v>212</v>
      </c>
    </row>
    <row r="11" spans="1:8" ht="26.4">
      <c r="A11" s="58" t="s">
        <v>245</v>
      </c>
      <c r="B11" s="59" t="s">
        <v>63</v>
      </c>
      <c r="C11" s="59" t="s">
        <v>185</v>
      </c>
      <c r="D11" s="58" t="s">
        <v>213</v>
      </c>
      <c r="E11" s="59"/>
      <c r="F11" s="59">
        <v>40</v>
      </c>
      <c r="G11" s="58" t="s">
        <v>214</v>
      </c>
      <c r="H11" s="58" t="s">
        <v>215</v>
      </c>
    </row>
    <row r="12" spans="1:8" ht="26.4">
      <c r="A12" s="58" t="s">
        <v>246</v>
      </c>
      <c r="B12" s="59" t="s">
        <v>63</v>
      </c>
      <c r="C12" s="59" t="s">
        <v>185</v>
      </c>
      <c r="D12" s="58" t="s">
        <v>193</v>
      </c>
      <c r="E12" s="59" t="s">
        <v>216</v>
      </c>
      <c r="F12" s="59">
        <v>2430</v>
      </c>
      <c r="G12" s="58" t="s">
        <v>217</v>
      </c>
      <c r="H12" s="59" t="s">
        <v>218</v>
      </c>
    </row>
    <row r="13" spans="1:8" ht="26.4">
      <c r="A13" s="58" t="s">
        <v>238</v>
      </c>
      <c r="B13" s="61" t="s">
        <v>63</v>
      </c>
      <c r="C13" s="61" t="s">
        <v>185</v>
      </c>
      <c r="D13" s="61" t="s">
        <v>219</v>
      </c>
      <c r="E13" s="61" t="s">
        <v>110</v>
      </c>
      <c r="F13" s="61">
        <v>3716</v>
      </c>
      <c r="G13" s="61" t="s">
        <v>220</v>
      </c>
      <c r="H13" s="61" t="s">
        <v>221</v>
      </c>
    </row>
    <row r="14" spans="1:8" ht="26.4">
      <c r="A14" s="58" t="s">
        <v>247</v>
      </c>
      <c r="B14" s="61" t="s">
        <v>63</v>
      </c>
      <c r="C14" s="61" t="s">
        <v>185</v>
      </c>
      <c r="D14" s="61" t="s">
        <v>222</v>
      </c>
      <c r="E14" s="61"/>
      <c r="F14" s="61">
        <v>762</v>
      </c>
      <c r="G14" s="61" t="s">
        <v>223</v>
      </c>
      <c r="H14" s="61" t="s">
        <v>224</v>
      </c>
    </row>
    <row r="15" spans="1:8" ht="26.4">
      <c r="A15" s="58" t="s">
        <v>248</v>
      </c>
      <c r="B15" s="61" t="s">
        <v>63</v>
      </c>
      <c r="C15" s="61" t="s">
        <v>185</v>
      </c>
      <c r="D15" s="61" t="s">
        <v>225</v>
      </c>
      <c r="E15" s="61"/>
      <c r="F15" s="61">
        <v>777</v>
      </c>
      <c r="G15" s="61" t="s">
        <v>226</v>
      </c>
      <c r="H15" s="61" t="s">
        <v>227</v>
      </c>
    </row>
    <row r="16" spans="1:8" ht="26.4">
      <c r="A16" s="58" t="s">
        <v>239</v>
      </c>
      <c r="B16" s="61" t="s">
        <v>63</v>
      </c>
      <c r="C16" s="61" t="s">
        <v>185</v>
      </c>
      <c r="D16" s="61" t="s">
        <v>189</v>
      </c>
      <c r="E16" s="61" t="s">
        <v>114</v>
      </c>
      <c r="F16" s="61">
        <v>2022</v>
      </c>
      <c r="G16" s="61" t="s">
        <v>228</v>
      </c>
      <c r="H16" s="61" t="s">
        <v>229</v>
      </c>
    </row>
    <row r="17" spans="1:8" ht="26.4">
      <c r="A17" s="58" t="s">
        <v>249</v>
      </c>
      <c r="B17" s="61" t="s">
        <v>63</v>
      </c>
      <c r="C17" s="61" t="s">
        <v>185</v>
      </c>
      <c r="D17" s="61" t="s">
        <v>230</v>
      </c>
      <c r="E17" s="61"/>
      <c r="F17" s="61"/>
      <c r="G17" s="61" t="s">
        <v>231</v>
      </c>
      <c r="H17" s="61" t="s">
        <v>232</v>
      </c>
    </row>
    <row r="18" spans="1:8" ht="13.2">
      <c r="A18" s="61"/>
      <c r="B18" s="61"/>
      <c r="C18" s="61"/>
      <c r="D18" s="61"/>
      <c r="E18" s="61"/>
      <c r="F18" s="61"/>
      <c r="G18" s="61"/>
      <c r="H18" s="61"/>
    </row>
    <row r="19" spans="1:8" ht="13.2"/>
    <row r="20" spans="1:8" ht="13.2"/>
    <row r="21" spans="1:8" ht="13.2"/>
    <row r="22" spans="1:8" ht="13.2"/>
    <row r="23" spans="1:8" ht="13.2"/>
    <row r="24" spans="1:8" ht="13.2"/>
    <row r="25" spans="1:8" ht="13.2"/>
    <row r="26" spans="1:8" ht="13.2"/>
    <row r="27" spans="1:8" ht="13.2"/>
    <row r="28" spans="1:8" ht="13.2"/>
    <row r="29" spans="1:8" ht="13.2"/>
    <row r="30" spans="1:8" ht="13.2"/>
    <row r="31" spans="1:8" ht="13.2"/>
    <row r="32" spans="1:8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</sheetData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24"/>
  <sheetViews>
    <sheetView topLeftCell="B1" workbookViewId="0"/>
  </sheetViews>
  <sheetFormatPr defaultColWidth="12.6640625" defaultRowHeight="15.75" customHeight="1"/>
  <cols>
    <col min="1" max="1" width="4.21875" hidden="1" customWidth="1"/>
    <col min="2" max="2" width="14.33203125" customWidth="1"/>
    <col min="3" max="3" width="10.21875" customWidth="1"/>
    <col min="4" max="4" width="12.109375" customWidth="1"/>
    <col min="5" max="5" width="9.77734375" customWidth="1"/>
    <col min="6" max="6" width="4.33203125" hidden="1" customWidth="1"/>
    <col min="7" max="7" width="10.44140625" hidden="1" customWidth="1"/>
    <col min="8" max="8" width="11" hidden="1" customWidth="1"/>
    <col min="9" max="9" width="12.88671875" hidden="1" customWidth="1"/>
    <col min="10" max="11" width="12.6640625" hidden="1"/>
    <col min="12" max="12" width="8.44140625" hidden="1" customWidth="1"/>
    <col min="13" max="13" width="10.21875" customWidth="1"/>
    <col min="14" max="14" width="13.33203125" customWidth="1"/>
    <col min="15" max="15" width="5.44140625" hidden="1" customWidth="1"/>
    <col min="16" max="16" width="7" hidden="1" customWidth="1"/>
    <col min="17" max="17" width="10.33203125" customWidth="1"/>
    <col min="18" max="18" width="14.6640625" customWidth="1"/>
    <col min="19" max="19" width="19.33203125" customWidth="1"/>
    <col min="20" max="24" width="10.33203125" hidden="1" customWidth="1"/>
    <col min="25" max="25" width="12.44140625" hidden="1" customWidth="1"/>
    <col min="26" max="26" width="6.77734375" customWidth="1"/>
    <col min="27" max="27" width="11" hidden="1" customWidth="1"/>
    <col min="28" max="28" width="9.6640625" customWidth="1"/>
    <col min="29" max="29" width="11.109375" hidden="1" customWidth="1"/>
    <col min="30" max="30" width="10.6640625" hidden="1" customWidth="1"/>
    <col min="31" max="31" width="12.6640625" hidden="1"/>
  </cols>
  <sheetData>
    <row r="1" spans="1:33" ht="22.8">
      <c r="A1" s="40"/>
      <c r="B1" s="48" t="s">
        <v>33</v>
      </c>
      <c r="C1" s="49"/>
      <c r="D1" s="49"/>
      <c r="E1" s="49"/>
      <c r="F1" s="49"/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3" ht="15" customHeight="1">
      <c r="A2" s="40"/>
      <c r="B2" s="51" t="s">
        <v>34</v>
      </c>
      <c r="C2" s="2"/>
      <c r="D2" s="2"/>
      <c r="E2" s="2"/>
      <c r="F2" s="63" t="str">
        <f ca="1">"Inscriptos: "&amp;COUNTA(C4:C100)</f>
        <v>Inscriptos: 10</v>
      </c>
      <c r="G2" s="2"/>
      <c r="H2" s="2"/>
      <c r="I2" s="54"/>
      <c r="J2" s="54"/>
      <c r="K2" s="54"/>
      <c r="L2" s="2"/>
      <c r="M2" s="40"/>
      <c r="N2" s="53" t="str">
        <f ca="1">"Inscriptos: "&amp;COUNTA(K4:K100)</f>
        <v>Inscriptos: 10</v>
      </c>
      <c r="O2" s="2"/>
      <c r="P2" s="2"/>
      <c r="Q2" s="2"/>
      <c r="R2" s="2"/>
      <c r="S2" s="54"/>
      <c r="T2" s="54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3" ht="31.5" customHeight="1">
      <c r="A3" s="40" t="s">
        <v>35</v>
      </c>
      <c r="B3" s="2" t="str">
        <f ca="1">IFERROR(__xludf.DUMMYFUNCTION("query(Titulos)"),"Dia y Hora")</f>
        <v>Dia y Hora</v>
      </c>
      <c r="C3" s="2" t="str">
        <f ca="1">IFERROR(__xludf.DUMMYFUNCTION("""COMPUTED_VALUE"""),"Nombre")</f>
        <v>Nombre</v>
      </c>
      <c r="D3" s="2" t="str">
        <f ca="1">IFERROR(__xludf.DUMMYFUNCTION("""COMPUTED_VALUE"""),"Apellido")</f>
        <v>Apellido</v>
      </c>
      <c r="E3" s="2" t="str">
        <f ca="1">IFERROR(__xludf.DUMMYFUNCTION("""COMPUTED_VALUE"""),"Ciudad")</f>
        <v>Ciudad</v>
      </c>
      <c r="F3" s="2" t="str">
        <f ca="1">IFERROR(__xludf.DUMMYFUNCTION("""COMPUTED_VALUE"""),"Pais")</f>
        <v>Pais</v>
      </c>
      <c r="G3" s="2" t="str">
        <f ca="1">IFERROR(__xludf.DUMMYFUNCTION("""COMPUTED_VALUE"""),"DNI")</f>
        <v>DNI</v>
      </c>
      <c r="H3" s="2" t="str">
        <f ca="1">IFERROR(__xludf.DUMMYFUNCTION("""COMPUTED_VALUE"""),"Nacimiento")</f>
        <v>Nacimiento</v>
      </c>
      <c r="I3" s="2" t="str">
        <f ca="1">IFERROR(__xludf.DUMMYFUNCTION("""COMPUTED_VALUE"""),"Celular de Contacto")</f>
        <v>Celular de Contacto</v>
      </c>
      <c r="J3" s="2" t="str">
        <f ca="1">IFERROR(__xludf.DUMMYFUNCTION("""COMPUTED_VALUE"""),"Celular de Emergencias")</f>
        <v>Celular de Emergencias</v>
      </c>
      <c r="K3" s="2" t="str">
        <f ca="1">IFERROR(__xludf.DUMMYFUNCTION("""COMPUTED_VALUE"""),"email")</f>
        <v>email</v>
      </c>
      <c r="L3" s="2" t="str">
        <f ca="1">IFERROR(__xludf.DUMMYFUNCTION("""COMPUTED_VALUE"""),"Sexo")</f>
        <v>Sexo</v>
      </c>
      <c r="M3" s="2" t="str">
        <f ca="1">IFERROR(__xludf.DUMMYFUNCTION("""COMPUTED_VALUE"""),"Club")</f>
        <v>Club</v>
      </c>
      <c r="N3" s="2" t="str">
        <f ca="1">IFERROR(__xludf.DUMMYFUNCTION("""COMPUTED_VALUE"""),"Categoría")</f>
        <v>Categoría</v>
      </c>
      <c r="O3" s="2" t="str">
        <f ca="1">IFERROR(__xludf.DUMMYFUNCTION("""COMPUTED_VALUE"""),"Clase")</f>
        <v>Clase</v>
      </c>
      <c r="P3" s="2" t="str">
        <f ca="1">IFERROR(__xludf.DUMMYFUNCTION("""COMPUTED_VALUE"""),"Proa Nº")</f>
        <v>Proa Nº</v>
      </c>
      <c r="Q3" s="2" t="str">
        <f ca="1">IFERROR(__xludf.DUMMYFUNCTION("""COMPUTED_VALUE"""),"Vela")</f>
        <v>Vela</v>
      </c>
      <c r="R3" s="2" t="str">
        <f ca="1">IFERROR(__xludf.DUMMYFUNCTION("""COMPUTED_VALUE"""),"Nombre del Barco")</f>
        <v>Nombre del Barco</v>
      </c>
      <c r="S3" s="2" t="str">
        <f ca="1">IFERROR(__xludf.DUMMYFUNCTION("""COMPUTED_VALUE"""),"Tripulante 1")</f>
        <v>Tripulante 1</v>
      </c>
      <c r="T3" s="2" t="str">
        <f ca="1">IFERROR(__xludf.DUMMYFUNCTION("""COMPUTED_VALUE"""),"Tripulante 2")</f>
        <v>Tripulante 2</v>
      </c>
      <c r="U3" s="2" t="str">
        <f ca="1">IFERROR(__xludf.DUMMYFUNCTION("""COMPUTED_VALUE"""),"Tripulante 3")</f>
        <v>Tripulante 3</v>
      </c>
      <c r="V3" s="2" t="str">
        <f ca="1">IFERROR(__xludf.DUMMYFUNCTION("""COMPUTED_VALUE"""),"Tripulante 4")</f>
        <v>Tripulante 4</v>
      </c>
      <c r="W3" s="2" t="str">
        <f ca="1">IFERROR(__xludf.DUMMYFUNCTION("""COMPUTED_VALUE"""),"Tripulante 5")</f>
        <v>Tripulante 5</v>
      </c>
      <c r="X3" s="2" t="str">
        <f ca="1">IFERROR(__xludf.DUMMYFUNCTION("""COMPUTED_VALUE"""),"Tripulante 6")</f>
        <v>Tripulante 6</v>
      </c>
      <c r="Y3" s="2" t="str">
        <f ca="1">IFERROR(__xludf.DUMMYFUNCTION("""COMPUTED_VALUE"""),"Obra Social/Nº Afiliado")</f>
        <v>Obra Social/Nº Afiliado</v>
      </c>
      <c r="Z3" s="54" t="str">
        <f ca="1">IFERROR(__xludf.DUMMYFUNCTION("""COMPUTED_VALUE"""),"Bajada YCO")</f>
        <v>Bajada YCO</v>
      </c>
      <c r="AA3" s="2" t="str">
        <f ca="1">IFERROR(__xludf.DUMMYFUNCTION("""COMPUTED_VALUE"""),"Términos y Condiciones")</f>
        <v>Términos y Condiciones</v>
      </c>
      <c r="AB3" s="54" t="str">
        <f ca="1">IFERROR(__xludf.DUMMYFUNCTION("""COMPUTED_VALUE"""),"Pago")</f>
        <v>Pago</v>
      </c>
      <c r="AC3" s="54" t="str">
        <f ca="1">IFERROR(__xludf.DUMMYFUNCTION("""COMPUTED_VALUE"""),"Importe")</f>
        <v>Importe</v>
      </c>
      <c r="AD3" s="2" t="str">
        <f ca="1">IFERROR(__xludf.DUMMYFUNCTION("""COMPUTED_VALUE"""),"RECIBO")</f>
        <v>RECIBO</v>
      </c>
    </row>
    <row r="4" spans="1:33" ht="39.6">
      <c r="B4" s="60">
        <f ca="1">IFERROR(__xludf.DUMMYFUNCTION("filter(Datos,Clases=A3)"),45539.8082600347)</f>
        <v>45539.808260034697</v>
      </c>
      <c r="C4" s="58" t="str">
        <f ca="1">IFERROR(__xludf.DUMMYFUNCTION("""COMPUTED_VALUE"""),"Andres")</f>
        <v>Andres</v>
      </c>
      <c r="D4" s="58" t="str">
        <f ca="1">IFERROR(__xludf.DUMMYFUNCTION("""COMPUTED_VALUE"""),"Marcone")</f>
        <v>Marcone</v>
      </c>
      <c r="E4" s="58" t="str">
        <f ca="1">IFERROR(__xludf.DUMMYFUNCTION("""COMPUTED_VALUE"""),"CABA")</f>
        <v>CABA</v>
      </c>
      <c r="F4" s="59" t="str">
        <f ca="1">IFERROR(__xludf.DUMMYFUNCTION("""COMPUTED_VALUE"""),"ARG")</f>
        <v>ARG</v>
      </c>
      <c r="G4" s="59">
        <f ca="1">IFERROR(__xludf.DUMMYFUNCTION("""COMPUTED_VALUE"""),26938199)</f>
        <v>26938199</v>
      </c>
      <c r="H4" s="62">
        <f ca="1">IFERROR(__xludf.DUMMYFUNCTION("""COMPUTED_VALUE"""),28816)</f>
        <v>28816</v>
      </c>
      <c r="I4" s="61">
        <f ca="1">IFERROR(__xludf.DUMMYFUNCTION("""COMPUTED_VALUE"""),50974625)</f>
        <v>50974625</v>
      </c>
      <c r="J4" s="61">
        <f ca="1">IFERROR(__xludf.DUMMYFUNCTION("""COMPUTED_VALUE"""),24621595)</f>
        <v>24621595</v>
      </c>
      <c r="K4" s="61" t="str">
        <f ca="1">IFERROR(__xludf.DUMMYFUNCTION("""COMPUTED_VALUE"""),"marconeandres@hotmail.com")</f>
        <v>marconeandres@hotmail.com</v>
      </c>
      <c r="L4" s="61" t="str">
        <f ca="1">IFERROR(__xludf.DUMMYFUNCTION("""COMPUTED_VALUE"""),"Masculino")</f>
        <v>Masculino</v>
      </c>
      <c r="M4" s="61" t="str">
        <f ca="1">IFERROR(__xludf.DUMMYFUNCTION("""COMPUTED_VALUE"""),"YCA-CNO")</f>
        <v>YCA-CNO</v>
      </c>
      <c r="N4" s="61" t="str">
        <f ca="1">IFERROR(__xludf.DUMMYFUNCTION("""COMPUTED_VALUE"""),"Snipe")</f>
        <v>Snipe</v>
      </c>
      <c r="O4" s="61" t="str">
        <f ca="1">IFERROR(__xludf.DUMMYFUNCTION("""COMPUTED_VALUE"""),"SNIPE")</f>
        <v>SNIPE</v>
      </c>
      <c r="P4" s="61"/>
      <c r="Q4" s="61">
        <f ca="1">IFERROR(__xludf.DUMMYFUNCTION("""COMPUTED_VALUE"""),31421)</f>
        <v>31421</v>
      </c>
      <c r="R4" s="61"/>
      <c r="S4" s="61" t="str">
        <f ca="1">IFERROR(__xludf.DUMMYFUNCTION("""COMPUTED_VALUE"""),"Lucas Luzzi")</f>
        <v>Lucas Luzzi</v>
      </c>
      <c r="T4" s="61"/>
      <c r="U4" s="61"/>
      <c r="V4" s="61"/>
      <c r="W4" s="61"/>
      <c r="X4" s="61"/>
      <c r="Y4" s="61"/>
      <c r="Z4" s="59" t="str">
        <f ca="1">IFERROR(__xludf.DUMMYFUNCTION("""COMPUTED_VALUE"""),"No")</f>
        <v>No</v>
      </c>
      <c r="AA4" s="61" t="str">
        <f ca="1">IFERROR(__xludf.DUMMYFUNCTION("""COMPUTED_VALUE"""),"Acepto")</f>
        <v>Acepto</v>
      </c>
      <c r="AB4" s="59" t="str">
        <f ca="1">IFERROR(__xludf.DUMMYFUNCTION("""COMPUTED_VALUE"""),"Terminado")</f>
        <v>Terminado</v>
      </c>
      <c r="AC4" s="59">
        <f ca="1">IFERROR(__xludf.DUMMYFUNCTION("""COMPUTED_VALUE"""),60000)</f>
        <v>60000</v>
      </c>
      <c r="AD4" s="38">
        <f ca="1">IFERROR(__xludf.DUMMYFUNCTION("""COMPUTED_VALUE"""),205445)</f>
        <v>205445</v>
      </c>
      <c r="AE4" s="38" t="str">
        <f ca="1">IFERROR(__xludf.DUMMYFUNCTION("""COMPUTED_VALUE"""),"TRF 04-09")</f>
        <v>TRF 04-09</v>
      </c>
      <c r="AF4" s="38"/>
      <c r="AG4" s="38"/>
    </row>
    <row r="5" spans="1:33" ht="26.4">
      <c r="B5" s="60">
        <f ca="1">IFERROR(__xludf.DUMMYFUNCTION("""COMPUTED_VALUE"""),45535.5110211574)</f>
        <v>45535.511021157399</v>
      </c>
      <c r="C5" s="58" t="str">
        <f ca="1">IFERROR(__xludf.DUMMYFUNCTION("""COMPUTED_VALUE"""),"Julio")</f>
        <v>Julio</v>
      </c>
      <c r="D5" s="58" t="str">
        <f ca="1">IFERROR(__xludf.DUMMYFUNCTION("""COMPUTED_VALUE"""),"Alsogaray")</f>
        <v>Alsogaray</v>
      </c>
      <c r="E5" s="58" t="str">
        <f ca="1">IFERROR(__xludf.DUMMYFUNCTION("""COMPUTED_VALUE"""),"San pedro")</f>
        <v>San pedro</v>
      </c>
      <c r="F5" s="59" t="str">
        <f ca="1">IFERROR(__xludf.DUMMYFUNCTION("""COMPUTED_VALUE"""),"ARG")</f>
        <v>ARG</v>
      </c>
      <c r="G5" s="59">
        <f ca="1">IFERROR(__xludf.DUMMYFUNCTION("""COMPUTED_VALUE"""),44365865)</f>
        <v>44365865</v>
      </c>
      <c r="H5" s="62">
        <f ca="1">IFERROR(__xludf.DUMMYFUNCTION("""COMPUTED_VALUE"""),29322)</f>
        <v>29322</v>
      </c>
      <c r="I5" s="61">
        <f ca="1">IFERROR(__xludf.DUMMYFUNCTION("""COMPUTED_VALUE"""),3329547476)</f>
        <v>3329547476</v>
      </c>
      <c r="J5" s="61">
        <f ca="1">IFERROR(__xludf.DUMMYFUNCTION("""COMPUTED_VALUE"""),3329547476)</f>
        <v>3329547476</v>
      </c>
      <c r="K5" s="61" t="str">
        <f ca="1">IFERROR(__xludf.DUMMYFUNCTION("""COMPUTED_VALUE"""),"malenasciarra@gmail.com")</f>
        <v>malenasciarra@gmail.com</v>
      </c>
      <c r="L5" s="61" t="str">
        <f ca="1">IFERROR(__xludf.DUMMYFUNCTION("""COMPUTED_VALUE"""),"Femenino")</f>
        <v>Femenino</v>
      </c>
      <c r="M5" s="61" t="str">
        <f ca="1">IFERROR(__xludf.DUMMYFUNCTION("""COMPUTED_VALUE"""),"CNSP")</f>
        <v>CNSP</v>
      </c>
      <c r="N5" s="61" t="str">
        <f ca="1">IFERROR(__xludf.DUMMYFUNCTION("""COMPUTED_VALUE"""),"Mixto")</f>
        <v>Mixto</v>
      </c>
      <c r="O5" s="61" t="str">
        <f ca="1">IFERROR(__xludf.DUMMYFUNCTION("""COMPUTED_VALUE"""),"SNIPE")</f>
        <v>SNIPE</v>
      </c>
      <c r="P5" s="61"/>
      <c r="Q5" s="61">
        <f ca="1">IFERROR(__xludf.DUMMYFUNCTION("""COMPUTED_VALUE"""),31792)</f>
        <v>31792</v>
      </c>
      <c r="R5" s="61" t="str">
        <f ca="1">IFERROR(__xludf.DUMMYFUNCTION("""COMPUTED_VALUE"""),"Pesadilla")</f>
        <v>Pesadilla</v>
      </c>
      <c r="S5" s="61" t="str">
        <f ca="1">IFERROR(__xludf.DUMMYFUNCTION("""COMPUTED_VALUE"""),"Malena Sciarra")</f>
        <v>Malena Sciarra</v>
      </c>
      <c r="T5" s="61"/>
      <c r="U5" s="61"/>
      <c r="V5" s="61"/>
      <c r="W5" s="61"/>
      <c r="X5" s="61"/>
      <c r="Y5" s="61" t="str">
        <f ca="1">IFERROR(__xludf.DUMMYFUNCTION("""COMPUTED_VALUE"""),".")</f>
        <v>.</v>
      </c>
      <c r="Z5" s="59" t="str">
        <f ca="1">IFERROR(__xludf.DUMMYFUNCTION("""COMPUTED_VALUE"""),"Si")</f>
        <v>Si</v>
      </c>
      <c r="AA5" s="61" t="str">
        <f ca="1">IFERROR(__xludf.DUMMYFUNCTION("""COMPUTED_VALUE"""),"Acepto")</f>
        <v>Acepto</v>
      </c>
      <c r="AB5" s="59" t="str">
        <f ca="1">IFERROR(__xludf.DUMMYFUNCTION("""COMPUTED_VALUE"""),"Terminado")</f>
        <v>Terminado</v>
      </c>
      <c r="AC5" s="59">
        <f ca="1">IFERROR(__xludf.DUMMYFUNCTION("""COMPUTED_VALUE"""),51000)</f>
        <v>51000</v>
      </c>
      <c r="AD5" s="38">
        <f ca="1">IFERROR(__xludf.DUMMYFUNCTION("""COMPUTED_VALUE"""),205160)</f>
        <v>205160</v>
      </c>
      <c r="AE5" s="38" t="str">
        <f ca="1">IFERROR(__xludf.DUMMYFUNCTION("""COMPUTED_VALUE"""),"Tarj 31-08")</f>
        <v>Tarj 31-08</v>
      </c>
      <c r="AF5" s="38"/>
      <c r="AG5" s="38"/>
    </row>
    <row r="6" spans="1:33" ht="39.6">
      <c r="B6" s="60">
        <f ca="1">IFERROR(__xludf.DUMMYFUNCTION("""COMPUTED_VALUE"""),45526.5186511574)</f>
        <v>45526.518651157399</v>
      </c>
      <c r="C6" s="58" t="str">
        <f ca="1">IFERROR(__xludf.DUMMYFUNCTION("""COMPUTED_VALUE"""),"franco")</f>
        <v>franco</v>
      </c>
      <c r="D6" s="58" t="str">
        <f ca="1">IFERROR(__xludf.DUMMYFUNCTION("""COMPUTED_VALUE"""),"braccini")</f>
        <v>braccini</v>
      </c>
      <c r="E6" s="58" t="str">
        <f ca="1">IFERROR(__xludf.DUMMYFUNCTION("""COMPUTED_VALUE"""),"bahia blanca")</f>
        <v>bahia blanca</v>
      </c>
      <c r="F6" s="59" t="str">
        <f ca="1">IFERROR(__xludf.DUMMYFUNCTION("""COMPUTED_VALUE"""),"ARG")</f>
        <v>ARG</v>
      </c>
      <c r="G6" s="59">
        <f ca="1">IFERROR(__xludf.DUMMYFUNCTION("""COMPUTED_VALUE"""),39877404)</f>
        <v>39877404</v>
      </c>
      <c r="H6" s="62">
        <f ca="1">IFERROR(__xludf.DUMMYFUNCTION("""COMPUTED_VALUE"""),35321)</f>
        <v>35321</v>
      </c>
      <c r="I6" s="61">
        <f ca="1">IFERROR(__xludf.DUMMYFUNCTION("""COMPUTED_VALUE"""),2914708823)</f>
        <v>2914708823</v>
      </c>
      <c r="J6" s="61"/>
      <c r="K6" s="61" t="str">
        <f ca="1">IFERROR(__xludf.DUMMYFUNCTION("""COMPUTED_VALUE"""),"franco-braccini@hotmail.com")</f>
        <v>franco-braccini@hotmail.com</v>
      </c>
      <c r="L6" s="61" t="str">
        <f ca="1">IFERROR(__xludf.DUMMYFUNCTION("""COMPUTED_VALUE"""),"Masculino")</f>
        <v>Masculino</v>
      </c>
      <c r="M6" s="61" t="str">
        <f ca="1">IFERROR(__xludf.DUMMYFUNCTION("""COMPUTED_VALUE"""),"YCPB - YCA")</f>
        <v>YCPB - YCA</v>
      </c>
      <c r="N6" s="61"/>
      <c r="O6" s="61" t="str">
        <f ca="1">IFERROR(__xludf.DUMMYFUNCTION("""COMPUTED_VALUE"""),"SNIPE")</f>
        <v>SNIPE</v>
      </c>
      <c r="P6" s="61"/>
      <c r="Q6" s="61">
        <f ca="1">IFERROR(__xludf.DUMMYFUNCTION("""COMPUTED_VALUE"""),31395)</f>
        <v>31395</v>
      </c>
      <c r="R6" s="61" t="str">
        <f ca="1">IFERROR(__xludf.DUMMYFUNCTION("""COMPUTED_VALUE"""),"Rigging BBa")</f>
        <v>Rigging BBa</v>
      </c>
      <c r="S6" s="61" t="str">
        <f ca="1">IFERROR(__xludf.DUMMYFUNCTION("""COMPUTED_VALUE"""),"Alejandro Pilotti")</f>
        <v>Alejandro Pilotti</v>
      </c>
      <c r="T6" s="61"/>
      <c r="U6" s="61"/>
      <c r="V6" s="61"/>
      <c r="W6" s="61"/>
      <c r="X6" s="61"/>
      <c r="Y6" s="61"/>
      <c r="Z6" s="59" t="str">
        <f ca="1">IFERROR(__xludf.DUMMYFUNCTION("""COMPUTED_VALUE"""),"Si")</f>
        <v>Si</v>
      </c>
      <c r="AA6" s="61" t="str">
        <f ca="1">IFERROR(__xludf.DUMMYFUNCTION("""COMPUTED_VALUE"""),"Acepto")</f>
        <v>Acepto</v>
      </c>
      <c r="AB6" s="59" t="str">
        <f ca="1">IFERROR(__xludf.DUMMYFUNCTION("""COMPUTED_VALUE"""),"Terminado")</f>
        <v>Terminado</v>
      </c>
      <c r="AC6" s="59">
        <f ca="1">IFERROR(__xludf.DUMMYFUNCTION("""COMPUTED_VALUE"""),59500)</f>
        <v>59500</v>
      </c>
      <c r="AD6" s="38">
        <f ca="1">IFERROR(__xludf.DUMMYFUNCTION("""COMPUTED_VALUE"""),205039)</f>
        <v>205039</v>
      </c>
      <c r="AE6" s="38" t="str">
        <f ca="1">IFERROR(__xludf.DUMMYFUNCTION("""COMPUTED_VALUE"""),"TRF 22-08")</f>
        <v>TRF 22-08</v>
      </c>
      <c r="AF6" s="38"/>
      <c r="AG6" s="38"/>
    </row>
    <row r="7" spans="1:33" ht="39.6">
      <c r="B7" s="60">
        <f ca="1">IFERROR(__xludf.DUMMYFUNCTION("""COMPUTED_VALUE"""),45531.7474724305)</f>
        <v>45531.747472430499</v>
      </c>
      <c r="C7" s="58" t="str">
        <f ca="1">IFERROR(__xludf.DUMMYFUNCTION("""COMPUTED_VALUE"""),"Carlos ")</f>
        <v xml:space="preserve">Carlos </v>
      </c>
      <c r="D7" s="58" t="str">
        <f ca="1">IFERROR(__xludf.DUMMYFUNCTION("""COMPUTED_VALUE"""),"Castrillo")</f>
        <v>Castrillo</v>
      </c>
      <c r="E7" s="58" t="str">
        <f ca="1">IFERROR(__xludf.DUMMYFUNCTION("""COMPUTED_VALUE"""),"Caba")</f>
        <v>Caba</v>
      </c>
      <c r="F7" s="59" t="str">
        <f ca="1">IFERROR(__xludf.DUMMYFUNCTION("""COMPUTED_VALUE"""),"ARG")</f>
        <v>ARG</v>
      </c>
      <c r="G7" s="59">
        <f ca="1">IFERROR(__xludf.DUMMYFUNCTION("""COMPUTED_VALUE"""),16977775)</f>
        <v>16977775</v>
      </c>
      <c r="H7" s="62">
        <f ca="1">IFERROR(__xludf.DUMMYFUNCTION("""COMPUTED_VALUE"""),23377)</f>
        <v>23377</v>
      </c>
      <c r="I7" s="61">
        <f ca="1">IFERROR(__xludf.DUMMYFUNCTION("""COMPUTED_VALUE"""),1141859147)</f>
        <v>1141859147</v>
      </c>
      <c r="J7" s="61">
        <f ca="1">IFERROR(__xludf.DUMMYFUNCTION("""COMPUTED_VALUE"""),1145288592)</f>
        <v>1145288592</v>
      </c>
      <c r="K7" s="61" t="str">
        <f ca="1">IFERROR(__xludf.DUMMYFUNCTION("""COMPUTED_VALUE"""),"Carlos.castrillo@castrillo.com.ar")</f>
        <v>Carlos.castrillo@castrillo.com.ar</v>
      </c>
      <c r="L7" s="61" t="str">
        <f ca="1">IFERROR(__xludf.DUMMYFUNCTION("""COMPUTED_VALUE"""),"Masculino")</f>
        <v>Masculino</v>
      </c>
      <c r="M7" s="61" t="str">
        <f ca="1">IFERROR(__xludf.DUMMYFUNCTION("""COMPUTED_VALUE"""),"YCA CUBA")</f>
        <v>YCA CUBA</v>
      </c>
      <c r="N7" s="61"/>
      <c r="O7" s="61" t="str">
        <f ca="1">IFERROR(__xludf.DUMMYFUNCTION("""COMPUTED_VALUE"""),"SNIPE")</f>
        <v>SNIPE</v>
      </c>
      <c r="P7" s="61"/>
      <c r="Q7" s="61">
        <f ca="1">IFERROR(__xludf.DUMMYFUNCTION("""COMPUTED_VALUE"""),31402)</f>
        <v>31402</v>
      </c>
      <c r="R7" s="61" t="str">
        <f ca="1">IFERROR(__xludf.DUMMYFUNCTION("""COMPUTED_VALUE"""),"Guadalupe")</f>
        <v>Guadalupe</v>
      </c>
      <c r="S7" s="61" t="str">
        <f ca="1">IFERROR(__xludf.DUMMYFUNCTION("""COMPUTED_VALUE"""),"Martin Gruenberg")</f>
        <v>Martin Gruenberg</v>
      </c>
      <c r="T7" s="61"/>
      <c r="U7" s="61"/>
      <c r="V7" s="61"/>
      <c r="W7" s="61"/>
      <c r="X7" s="61"/>
      <c r="Y7" s="61"/>
      <c r="Z7" s="59" t="str">
        <f ca="1">IFERROR(__xludf.DUMMYFUNCTION("""COMPUTED_VALUE"""),"Si")</f>
        <v>Si</v>
      </c>
      <c r="AA7" s="61" t="str">
        <f ca="1">IFERROR(__xludf.DUMMYFUNCTION("""COMPUTED_VALUE"""),"Acepto")</f>
        <v>Acepto</v>
      </c>
      <c r="AB7" s="59" t="str">
        <f ca="1">IFERROR(__xludf.DUMMYFUNCTION("""COMPUTED_VALUE"""),"Terminado")</f>
        <v>Terminado</v>
      </c>
      <c r="AC7" s="59">
        <f ca="1">IFERROR(__xludf.DUMMYFUNCTION("""COMPUTED_VALUE"""),60000)</f>
        <v>60000</v>
      </c>
      <c r="AD7" s="38">
        <f ca="1">IFERROR(__xludf.DUMMYFUNCTION("""COMPUTED_VALUE"""),205059)</f>
        <v>205059</v>
      </c>
      <c r="AE7" s="38" t="str">
        <f ca="1">IFERROR(__xludf.DUMMYFUNCTION("""COMPUTED_VALUE"""),"TRF 27-08")</f>
        <v>TRF 27-08</v>
      </c>
      <c r="AF7" s="38"/>
      <c r="AG7" s="38"/>
    </row>
    <row r="8" spans="1:33" ht="26.4">
      <c r="B8" s="60">
        <f ca="1">IFERROR(__xludf.DUMMYFUNCTION("""COMPUTED_VALUE"""),45533.38527478)</f>
        <v>45533.385274779997</v>
      </c>
      <c r="C8" s="58" t="str">
        <f ca="1">IFERROR(__xludf.DUMMYFUNCTION("""COMPUTED_VALUE"""),"Nicolás ")</f>
        <v xml:space="preserve">Nicolás </v>
      </c>
      <c r="D8" s="58" t="str">
        <f ca="1">IFERROR(__xludf.DUMMYFUNCTION("""COMPUTED_VALUE"""),"Garcia")</f>
        <v>Garcia</v>
      </c>
      <c r="E8" s="58" t="str">
        <f ca="1">IFERROR(__xludf.DUMMYFUNCTION("""COMPUTED_VALUE"""),"Bahia Blanca")</f>
        <v>Bahia Blanca</v>
      </c>
      <c r="F8" s="59" t="str">
        <f ca="1">IFERROR(__xludf.DUMMYFUNCTION("""COMPUTED_VALUE"""),"ARG")</f>
        <v>ARG</v>
      </c>
      <c r="G8" s="59">
        <f ca="1">IFERROR(__xludf.DUMMYFUNCTION("""COMPUTED_VALUE"""),26958355)</f>
        <v>26958355</v>
      </c>
      <c r="H8" s="62">
        <f ca="1">IFERROR(__xludf.DUMMYFUNCTION("""COMPUTED_VALUE"""),28769)</f>
        <v>28769</v>
      </c>
      <c r="I8" s="61">
        <f ca="1">IFERROR(__xludf.DUMMYFUNCTION("""COMPUTED_VALUE"""),26958355)</f>
        <v>26958355</v>
      </c>
      <c r="J8" s="61" t="str">
        <f ca="1">IFERROR(__xludf.DUMMYFUNCTION("""COMPUTED_VALUE"""),"+54 9 291 414 3068")</f>
        <v>+54 9 291 414 3068</v>
      </c>
      <c r="K8" s="61" t="str">
        <f ca="1">IFERROR(__xludf.DUMMYFUNCTION("""COMPUTED_VALUE"""),"ngarcia@eco-petrol.com.ar")</f>
        <v>ngarcia@eco-petrol.com.ar</v>
      </c>
      <c r="L8" s="61" t="str">
        <f ca="1">IFERROR(__xludf.DUMMYFUNCTION("""COMPUTED_VALUE"""),"Masculino")</f>
        <v>Masculino</v>
      </c>
      <c r="M8" s="61" t="str">
        <f ca="1">IFERROR(__xludf.DUMMYFUNCTION("""COMPUTED_VALUE"""),"YCO")</f>
        <v>YCO</v>
      </c>
      <c r="N8" s="61" t="str">
        <f ca="1">IFERROR(__xludf.DUMMYFUNCTION("""COMPUTED_VALUE"""),"Mixto")</f>
        <v>Mixto</v>
      </c>
      <c r="O8" s="61" t="str">
        <f ca="1">IFERROR(__xludf.DUMMYFUNCTION("""COMPUTED_VALUE"""),"SNIPE")</f>
        <v>SNIPE</v>
      </c>
      <c r="P8" s="61"/>
      <c r="Q8" s="61">
        <f ca="1">IFERROR(__xludf.DUMMYFUNCTION("""COMPUTED_VALUE"""),31808)</f>
        <v>31808</v>
      </c>
      <c r="R8" s="61"/>
      <c r="S8" s="61" t="str">
        <f ca="1">IFERROR(__xludf.DUMMYFUNCTION("""COMPUTED_VALUE"""),"Mariela Salerno")</f>
        <v>Mariela Salerno</v>
      </c>
      <c r="T8" s="61"/>
      <c r="U8" s="61"/>
      <c r="V8" s="61"/>
      <c r="W8" s="61"/>
      <c r="X8" s="61"/>
      <c r="Y8" s="61"/>
      <c r="Z8" s="59" t="str">
        <f ca="1">IFERROR(__xludf.DUMMYFUNCTION("""COMPUTED_VALUE"""),"Si")</f>
        <v>Si</v>
      </c>
      <c r="AA8" s="61" t="str">
        <f ca="1">IFERROR(__xludf.DUMMYFUNCTION("""COMPUTED_VALUE"""),"Acepto")</f>
        <v>Acepto</v>
      </c>
      <c r="AB8" s="59" t="str">
        <f ca="1">IFERROR(__xludf.DUMMYFUNCTION("""COMPUTED_VALUE"""),"Terminado")</f>
        <v>Terminado</v>
      </c>
      <c r="AC8" s="59">
        <f ca="1">IFERROR(__xludf.DUMMYFUNCTION("""COMPUTED_VALUE"""),60000)</f>
        <v>60000</v>
      </c>
      <c r="AD8" s="38">
        <f ca="1">IFERROR(__xludf.DUMMYFUNCTION("""COMPUTED_VALUE"""),205120)</f>
        <v>205120</v>
      </c>
      <c r="AE8" s="38" t="str">
        <f ca="1">IFERROR(__xludf.DUMMYFUNCTION("""COMPUTED_VALUE"""),"Tarj.31-08")</f>
        <v>Tarj.31-08</v>
      </c>
      <c r="AF8" s="38"/>
      <c r="AG8" s="38"/>
    </row>
    <row r="9" spans="1:33" ht="26.4">
      <c r="B9" s="60">
        <f ca="1">IFERROR(__xludf.DUMMYFUNCTION("""COMPUTED_VALUE"""),45534.7288179282)</f>
        <v>45534.728817928197</v>
      </c>
      <c r="C9" s="58" t="str">
        <f ca="1">IFERROR(__xludf.DUMMYFUNCTION("""COMPUTED_VALUE"""),"Luciano")</f>
        <v>Luciano</v>
      </c>
      <c r="D9" s="58" t="str">
        <f ca="1">IFERROR(__xludf.DUMMYFUNCTION("""COMPUTED_VALUE"""),"Pesci")</f>
        <v>Pesci</v>
      </c>
      <c r="E9" s="58" t="str">
        <f ca="1">IFERROR(__xludf.DUMMYFUNCTION("""COMPUTED_VALUE"""),"Cordoba")</f>
        <v>Cordoba</v>
      </c>
      <c r="F9" s="59" t="str">
        <f ca="1">IFERROR(__xludf.DUMMYFUNCTION("""COMPUTED_VALUE"""),"ARG")</f>
        <v>ARG</v>
      </c>
      <c r="G9" s="59">
        <f ca="1">IFERROR(__xludf.DUMMYFUNCTION("""COMPUTED_VALUE"""),36234715)</f>
        <v>36234715</v>
      </c>
      <c r="H9" s="62">
        <f ca="1">IFERROR(__xludf.DUMMYFUNCTION("""COMPUTED_VALUE"""),33694)</f>
        <v>33694</v>
      </c>
      <c r="I9" s="61">
        <f ca="1">IFERROR(__xludf.DUMMYFUNCTION("""COMPUTED_VALUE"""),3541621149)</f>
        <v>3541621149</v>
      </c>
      <c r="J9" s="61">
        <f ca="1">IFERROR(__xludf.DUMMYFUNCTION("""COMPUTED_VALUE"""),1140431213)</f>
        <v>1140431213</v>
      </c>
      <c r="K9" s="61" t="str">
        <f ca="1">IFERROR(__xludf.DUMMYFUNCTION("""COMPUTED_VALUE"""),"Pesci.luciano@gmail.com")</f>
        <v>Pesci.luciano@gmail.com</v>
      </c>
      <c r="L9" s="61" t="str">
        <f ca="1">IFERROR(__xludf.DUMMYFUNCTION("""COMPUTED_VALUE"""),"Masculino")</f>
        <v>Masculino</v>
      </c>
      <c r="M9" s="61" t="str">
        <f ca="1">IFERROR(__xludf.DUMMYFUNCTION("""COMPUTED_VALUE"""),"Cnc")</f>
        <v>Cnc</v>
      </c>
      <c r="N9" s="61" t="str">
        <f ca="1">IFERROR(__xludf.DUMMYFUNCTION("""COMPUTED_VALUE"""),"Mixto")</f>
        <v>Mixto</v>
      </c>
      <c r="O9" s="61" t="str">
        <f ca="1">IFERROR(__xludf.DUMMYFUNCTION("""COMPUTED_VALUE"""),"SNIPE")</f>
        <v>SNIPE</v>
      </c>
      <c r="P9" s="61"/>
      <c r="Q9" s="61">
        <f ca="1">IFERROR(__xludf.DUMMYFUNCTION("""COMPUTED_VALUE"""),30599)</f>
        <v>30599</v>
      </c>
      <c r="R9" s="61"/>
      <c r="S9" s="61" t="str">
        <f ca="1">IFERROR(__xludf.DUMMYFUNCTION("""COMPUTED_VALUE"""),"Florencia Galimberti")</f>
        <v>Florencia Galimberti</v>
      </c>
      <c r="T9" s="61"/>
      <c r="U9" s="61"/>
      <c r="V9" s="61"/>
      <c r="W9" s="61"/>
      <c r="X9" s="61"/>
      <c r="Y9" s="61" t="str">
        <f ca="1">IFERROR(__xludf.DUMMYFUNCTION("""COMPUTED_VALUE"""),"Omint")</f>
        <v>Omint</v>
      </c>
      <c r="Z9" s="59" t="str">
        <f ca="1">IFERROR(__xludf.DUMMYFUNCTION("""COMPUTED_VALUE"""),"Si")</f>
        <v>Si</v>
      </c>
      <c r="AA9" s="61" t="str">
        <f ca="1">IFERROR(__xludf.DUMMYFUNCTION("""COMPUTED_VALUE"""),"Acepto")</f>
        <v>Acepto</v>
      </c>
      <c r="AB9" s="59" t="str">
        <f ca="1">IFERROR(__xludf.DUMMYFUNCTION("""COMPUTED_VALUE"""),"Terminado")</f>
        <v>Terminado</v>
      </c>
      <c r="AC9" s="59">
        <f ca="1">IFERROR(__xludf.DUMMYFUNCTION("""COMPUTED_VALUE"""),51000)</f>
        <v>51000</v>
      </c>
      <c r="AD9" s="38">
        <f ca="1">IFERROR(__xludf.DUMMYFUNCTION("""COMPUTED_VALUE"""),205364)</f>
        <v>205364</v>
      </c>
      <c r="AE9" s="38" t="str">
        <f ca="1">IFERROR(__xludf.DUMMYFUNCTION("""COMPUTED_VALUE"""),"TRF 31-08")</f>
        <v>TRF 31-08</v>
      </c>
      <c r="AF9" s="38"/>
      <c r="AG9" s="38"/>
    </row>
    <row r="10" spans="1:33" ht="66">
      <c r="B10" s="60">
        <f ca="1">IFERROR(__xludf.DUMMYFUNCTION("""COMPUTED_VALUE"""),45535.474573206)</f>
        <v>45535.474573205996</v>
      </c>
      <c r="C10" s="58" t="str">
        <f ca="1">IFERROR(__xludf.DUMMYFUNCTION("""COMPUTED_VALUE"""),"Ignacio ")</f>
        <v xml:space="preserve">Ignacio </v>
      </c>
      <c r="D10" s="58" t="str">
        <f ca="1">IFERROR(__xludf.DUMMYFUNCTION("""COMPUTED_VALUE"""),"Rodriguez")</f>
        <v>Rodriguez</v>
      </c>
      <c r="E10" s="58" t="str">
        <f ca="1">IFERROR(__xludf.DUMMYFUNCTION("""COMPUTED_VALUE"""),"Montevideo")</f>
        <v>Montevideo</v>
      </c>
      <c r="F10" s="59" t="str">
        <f ca="1">IFERROR(__xludf.DUMMYFUNCTION("""COMPUTED_VALUE"""),"URU")</f>
        <v>URU</v>
      </c>
      <c r="G10" s="59">
        <f ca="1">IFERROR(__xludf.DUMMYFUNCTION("""COMPUTED_VALUE"""),49507645)</f>
        <v>49507645</v>
      </c>
      <c r="H10" s="62">
        <f ca="1">IFERROR(__xludf.DUMMYFUNCTION("""COMPUTED_VALUE"""),35476)</f>
        <v>35476</v>
      </c>
      <c r="I10" s="61" t="str">
        <f ca="1">IFERROR(__xludf.DUMMYFUNCTION("""COMPUTED_VALUE"""),"0059899127317")</f>
        <v>0059899127317</v>
      </c>
      <c r="J10" s="61" t="str">
        <f ca="1">IFERROR(__xludf.DUMMYFUNCTION("""COMPUTED_VALUE"""),"0059899668494")</f>
        <v>0059899668494</v>
      </c>
      <c r="K10" s="61" t="str">
        <f ca="1">IFERROR(__xludf.DUMMYFUNCTION("""COMPUTED_VALUE"""),"daniel@guayaqui.com.uy")</f>
        <v>daniel@guayaqui.com.uy</v>
      </c>
      <c r="L10" s="61" t="str">
        <f ca="1">IFERROR(__xludf.DUMMYFUNCTION("""COMPUTED_VALUE"""),"Masculino")</f>
        <v>Masculino</v>
      </c>
      <c r="M10" s="61" t="str">
        <f ca="1">IFERROR(__xludf.DUMMYFUNCTION("""COMPUTED_VALUE"""),"YCU")</f>
        <v>YCU</v>
      </c>
      <c r="N10" s="61" t="str">
        <f ca="1">IFERROR(__xludf.DUMMYFUNCTION("""COMPUTED_VALUE"""),"snipe mixto")</f>
        <v>snipe mixto</v>
      </c>
      <c r="O10" s="61" t="str">
        <f ca="1">IFERROR(__xludf.DUMMYFUNCTION("""COMPUTED_VALUE"""),"SNIPE")</f>
        <v>SNIPE</v>
      </c>
      <c r="P10" s="61"/>
      <c r="Q10" s="61" t="str">
        <f ca="1">IFERROR(__xludf.DUMMYFUNCTION("""COMPUTED_VALUE"""),"URU 29785")</f>
        <v>URU 29785</v>
      </c>
      <c r="R10" s="61"/>
      <c r="S10" s="61" t="str">
        <f ca="1">IFERROR(__xludf.DUMMYFUNCTION("""COMPUTED_VALUE"""),"Carolina Rodriguez")</f>
        <v>Carolina Rodriguez</v>
      </c>
      <c r="T10" s="61"/>
      <c r="U10" s="61"/>
      <c r="V10" s="61"/>
      <c r="W10" s="61"/>
      <c r="X10" s="61"/>
      <c r="Y10" s="61" t="str">
        <f ca="1">IFERROR(__xludf.DUMMYFUNCTION("""COMPUTED_VALUE"""),"Medicina Personalizada Uruguay 49507645/49508417 ")</f>
        <v xml:space="preserve">Medicina Personalizada Uruguay 49507645/49508417 </v>
      </c>
      <c r="Z10" s="59" t="str">
        <f ca="1">IFERROR(__xludf.DUMMYFUNCTION("""COMPUTED_VALUE"""),"Si")</f>
        <v>Si</v>
      </c>
      <c r="AA10" s="61" t="str">
        <f ca="1">IFERROR(__xludf.DUMMYFUNCTION("""COMPUTED_VALUE"""),"Acepto")</f>
        <v>Acepto</v>
      </c>
      <c r="AB10" s="59" t="str">
        <f ca="1">IFERROR(__xludf.DUMMYFUNCTION("""COMPUTED_VALUE"""),"Pendiente")</f>
        <v>Pendiente</v>
      </c>
      <c r="AC10" s="59"/>
      <c r="AD10" s="38"/>
      <c r="AE10" s="38"/>
      <c r="AF10" s="38"/>
      <c r="AG10" s="38"/>
    </row>
    <row r="11" spans="1:33" ht="39.6">
      <c r="B11" s="60">
        <f ca="1">IFERROR(__xludf.DUMMYFUNCTION("""COMPUTED_VALUE"""),45534.7465164814)</f>
        <v>45534.746516481398</v>
      </c>
      <c r="C11" s="58" t="str">
        <f ca="1">IFERROR(__xludf.DUMMYFUNCTION("""COMPUTED_VALUE"""),"Gabriel ")</f>
        <v xml:space="preserve">Gabriel </v>
      </c>
      <c r="D11" s="58" t="str">
        <f ca="1">IFERROR(__xludf.DUMMYFUNCTION("""COMPUTED_VALUE"""),"Schebor ")</f>
        <v xml:space="preserve">Schebor </v>
      </c>
      <c r="E11" s="58" t="str">
        <f ca="1">IFERROR(__xludf.DUMMYFUNCTION("""COMPUTED_VALUE"""),"Beccar, san Isidro ")</f>
        <v xml:space="preserve">Beccar, san Isidro </v>
      </c>
      <c r="F11" s="59" t="str">
        <f ca="1">IFERROR(__xludf.DUMMYFUNCTION("""COMPUTED_VALUE"""),"ARG")</f>
        <v>ARG</v>
      </c>
      <c r="G11" s="59">
        <f ca="1">IFERROR(__xludf.DUMMYFUNCTION("""COMPUTED_VALUE"""),17543579)</f>
        <v>17543579</v>
      </c>
      <c r="H11" s="62">
        <f ca="1">IFERROR(__xludf.DUMMYFUNCTION("""COMPUTED_VALUE"""),23995)</f>
        <v>23995</v>
      </c>
      <c r="I11" s="61">
        <f ca="1">IFERROR(__xludf.DUMMYFUNCTION("""COMPUTED_VALUE"""),1150615721)</f>
        <v>1150615721</v>
      </c>
      <c r="J11" s="61">
        <f ca="1">IFERROR(__xludf.DUMMYFUNCTION("""COMPUTED_VALUE"""),1163606183)</f>
        <v>1163606183</v>
      </c>
      <c r="K11" s="61" t="str">
        <f ca="1">IFERROR(__xludf.DUMMYFUNCTION("""COMPUTED_VALUE"""),"Gabrielschebor@gmail.com")</f>
        <v>Gabrielschebor@gmail.com</v>
      </c>
      <c r="L11" s="61" t="str">
        <f ca="1">IFERROR(__xludf.DUMMYFUNCTION("""COMPUTED_VALUE"""),"Masculino")</f>
        <v>Masculino</v>
      </c>
      <c r="M11" s="61" t="str">
        <f ca="1">IFERROR(__xludf.DUMMYFUNCTION("""COMPUTED_VALUE"""),"Azopardo ")</f>
        <v xml:space="preserve">Azopardo </v>
      </c>
      <c r="N11" s="61" t="str">
        <f ca="1">IFERROR(__xludf.DUMMYFUNCTION("""COMPUTED_VALUE"""),"Senior mixto")</f>
        <v>Senior mixto</v>
      </c>
      <c r="O11" s="61" t="str">
        <f ca="1">IFERROR(__xludf.DUMMYFUNCTION("""COMPUTED_VALUE"""),"SNIPE")</f>
        <v>SNIPE</v>
      </c>
      <c r="P11" s="61"/>
      <c r="Q11" s="61">
        <f ca="1">IFERROR(__xludf.DUMMYFUNCTION("""COMPUTED_VALUE"""),30635)</f>
        <v>30635</v>
      </c>
      <c r="R11" s="61" t="str">
        <f ca="1">IFERROR(__xludf.DUMMYFUNCTION("""COMPUTED_VALUE"""),"Pour ung plaisir ")</f>
        <v xml:space="preserve">Pour ung plaisir </v>
      </c>
      <c r="S11" s="61" t="str">
        <f ca="1">IFERROR(__xludf.DUMMYFUNCTION("""COMPUTED_VALUE"""),"Josefina Casella")</f>
        <v>Josefina Casella</v>
      </c>
      <c r="T11" s="61"/>
      <c r="U11" s="61"/>
      <c r="V11" s="61"/>
      <c r="W11" s="61"/>
      <c r="X11" s="61"/>
      <c r="Y11" s="61" t="str">
        <f ca="1">IFERROR(__xludf.DUMMYFUNCTION("""COMPUTED_VALUE"""),"IOMA 117543579200")</f>
        <v>IOMA 117543579200</v>
      </c>
      <c r="Z11" s="59" t="str">
        <f ca="1">IFERROR(__xludf.DUMMYFUNCTION("""COMPUTED_VALUE"""),"No")</f>
        <v>No</v>
      </c>
      <c r="AA11" s="61" t="str">
        <f ca="1">IFERROR(__xludf.DUMMYFUNCTION("""COMPUTED_VALUE"""),"Acepto")</f>
        <v>Acepto</v>
      </c>
      <c r="AB11" s="59" t="str">
        <f ca="1">IFERROR(__xludf.DUMMYFUNCTION("""COMPUTED_VALUE"""),"Terminado")</f>
        <v>Terminado</v>
      </c>
      <c r="AC11" s="59">
        <f ca="1">IFERROR(__xludf.DUMMYFUNCTION("""COMPUTED_VALUE"""),60000)</f>
        <v>60000</v>
      </c>
      <c r="AD11" s="38">
        <f ca="1">IFERROR(__xludf.DUMMYFUNCTION("""COMPUTED_VALUE"""),205127)</f>
        <v>205127</v>
      </c>
      <c r="AE11" s="38" t="str">
        <f ca="1">IFERROR(__xludf.DUMMYFUNCTION("""COMPUTED_VALUE"""),"TRF 30-08")</f>
        <v>TRF 30-08</v>
      </c>
      <c r="AF11" s="38"/>
      <c r="AG11" s="38"/>
    </row>
    <row r="12" spans="1:33" ht="26.4">
      <c r="B12" s="64">
        <f ca="1">IFERROR(__xludf.DUMMYFUNCTION("""COMPUTED_VALUE"""),45536.7656592824)</f>
        <v>45536.765659282399</v>
      </c>
      <c r="C12" s="58" t="str">
        <f ca="1">IFERROR(__xludf.DUMMYFUNCTION("""COMPUTED_VALUE"""),"Alejandro")</f>
        <v>Alejandro</v>
      </c>
      <c r="D12" s="58" t="str">
        <f ca="1">IFERROR(__xludf.DUMMYFUNCTION("""COMPUTED_VALUE"""),"Triggiano")</f>
        <v>Triggiano</v>
      </c>
      <c r="E12" s="58" t="str">
        <f ca="1">IFERROR(__xludf.DUMMYFUNCTION("""COMPUTED_VALUE"""),"Salta")</f>
        <v>Salta</v>
      </c>
      <c r="F12" s="58" t="str">
        <f ca="1">IFERROR(__xludf.DUMMYFUNCTION("""COMPUTED_VALUE"""),"ARG")</f>
        <v>ARG</v>
      </c>
      <c r="G12" s="59">
        <f ca="1">IFERROR(__xludf.DUMMYFUNCTION("""COMPUTED_VALUE"""),23079394)</f>
        <v>23079394</v>
      </c>
      <c r="H12" s="62">
        <f ca="1">IFERROR(__xludf.DUMMYFUNCTION("""COMPUTED_VALUE"""),26704)</f>
        <v>26704</v>
      </c>
      <c r="I12" s="61">
        <f ca="1">IFERROR(__xludf.DUMMYFUNCTION("""COMPUTED_VALUE"""),3875220900)</f>
        <v>3875220900</v>
      </c>
      <c r="J12" s="61">
        <f ca="1">IFERROR(__xludf.DUMMYFUNCTION("""COMPUTED_VALUE"""),3874121431)</f>
        <v>3874121431</v>
      </c>
      <c r="K12" s="61" t="str">
        <f ca="1">IFERROR(__xludf.DUMMYFUNCTION("""COMPUTED_VALUE"""),"aletriggiano@icloud.com")</f>
        <v>aletriggiano@icloud.com</v>
      </c>
      <c r="L12" s="61" t="str">
        <f ca="1">IFERROR(__xludf.DUMMYFUNCTION("""COMPUTED_VALUE"""),"Masculino")</f>
        <v>Masculino</v>
      </c>
      <c r="M12" s="61" t="str">
        <f ca="1">IFERROR(__xludf.DUMMYFUNCTION("""COMPUTED_VALUE"""),"CRG")</f>
        <v>CRG</v>
      </c>
      <c r="N12" s="61" t="str">
        <f ca="1">IFERROR(__xludf.DUMMYFUNCTION("""COMPUTED_VALUE"""),"Master (ILCA)")</f>
        <v>Master (ILCA)</v>
      </c>
      <c r="O12" s="61" t="str">
        <f ca="1">IFERROR(__xludf.DUMMYFUNCTION("""COMPUTED_VALUE"""),"SNIPE")</f>
        <v>SNIPE</v>
      </c>
      <c r="P12" s="61"/>
      <c r="Q12" s="61">
        <f ca="1">IFERROR(__xludf.DUMMYFUNCTION("""COMPUTED_VALUE"""),31710)</f>
        <v>31710</v>
      </c>
      <c r="R12" s="61" t="str">
        <f ca="1">IFERROR(__xludf.DUMMYFUNCTION("""COMPUTED_VALUE"""),"Scirocco")</f>
        <v>Scirocco</v>
      </c>
      <c r="S12" s="61" t="str">
        <f ca="1">IFERROR(__xludf.DUMMYFUNCTION("""COMPUTED_VALUE"""),"Safar Exeni Mariana")</f>
        <v>Safar Exeni Mariana</v>
      </c>
      <c r="T12" s="61"/>
      <c r="U12" s="61"/>
      <c r="V12" s="61"/>
      <c r="W12" s="61"/>
      <c r="X12" s="61"/>
      <c r="Y12" s="61"/>
      <c r="Z12" s="59" t="str">
        <f ca="1">IFERROR(__xludf.DUMMYFUNCTION("""COMPUTED_VALUE"""),"Si")</f>
        <v>Si</v>
      </c>
      <c r="AA12" s="61" t="str">
        <f ca="1">IFERROR(__xludf.DUMMYFUNCTION("""COMPUTED_VALUE"""),"Acepto")</f>
        <v>Acepto</v>
      </c>
      <c r="AB12" s="59" t="str">
        <f ca="1">IFERROR(__xludf.DUMMYFUNCTION("""COMPUTED_VALUE"""),"Terminado")</f>
        <v>Terminado</v>
      </c>
      <c r="AC12" s="59">
        <f ca="1">IFERROR(__xludf.DUMMYFUNCTION("""COMPUTED_VALUE"""),60000)</f>
        <v>60000</v>
      </c>
      <c r="AD12" s="38">
        <f ca="1">IFERROR(__xludf.DUMMYFUNCTION("""COMPUTED_VALUE"""),205387)</f>
        <v>205387</v>
      </c>
      <c r="AE12" s="38" t="str">
        <f ca="1">IFERROR(__xludf.DUMMYFUNCTION("""COMPUTED_VALUE"""),"TRF 02-09")</f>
        <v>TRF 02-09</v>
      </c>
      <c r="AF12" s="38"/>
      <c r="AG12" s="38"/>
    </row>
    <row r="13" spans="1:33" ht="39.6">
      <c r="B13" s="60">
        <f ca="1">IFERROR(__xludf.DUMMYFUNCTION("""COMPUTED_VALUE"""),45541.8837303587)</f>
        <v>45541.883730358699</v>
      </c>
      <c r="C13" s="58" t="str">
        <f ca="1">IFERROR(__xludf.DUMMYFUNCTION("""COMPUTED_VALUE"""),"Augusto")</f>
        <v>Augusto</v>
      </c>
      <c r="D13" s="58" t="str">
        <f ca="1">IFERROR(__xludf.DUMMYFUNCTION("""COMPUTED_VALUE"""),"Amato")</f>
        <v>Amato</v>
      </c>
      <c r="E13" s="58" t="str">
        <f ca="1">IFERROR(__xludf.DUMMYFUNCTION("""COMPUTED_VALUE"""),"Olivos")</f>
        <v>Olivos</v>
      </c>
      <c r="F13" s="59" t="str">
        <f ca="1">IFERROR(__xludf.DUMMYFUNCTION("""COMPUTED_VALUE"""),"ARG")</f>
        <v>ARG</v>
      </c>
      <c r="G13" s="59">
        <f ca="1">IFERROR(__xludf.DUMMYFUNCTION("""COMPUTED_VALUE"""),22847701)</f>
        <v>22847701</v>
      </c>
      <c r="H13" s="62">
        <f ca="1">IFERROR(__xludf.DUMMYFUNCTION("""COMPUTED_VALUE"""),26492)</f>
        <v>26492</v>
      </c>
      <c r="I13" s="61">
        <f ca="1">IFERROR(__xludf.DUMMYFUNCTION("""COMPUTED_VALUE"""),1135726575)</f>
        <v>1135726575</v>
      </c>
      <c r="J13" s="61"/>
      <c r="K13" s="61" t="str">
        <f ca="1">IFERROR(__xludf.DUMMYFUNCTION("""COMPUTED_VALUE"""),"augusto_amato@hotmail.com")</f>
        <v>augusto_amato@hotmail.com</v>
      </c>
      <c r="L13" s="61" t="str">
        <f ca="1">IFERROR(__xludf.DUMMYFUNCTION("""COMPUTED_VALUE"""),"Masculino")</f>
        <v>Masculino</v>
      </c>
      <c r="M13" s="61" t="str">
        <f ca="1">IFERROR(__xludf.DUMMYFUNCTION("""COMPUTED_VALUE"""),"CNO")</f>
        <v>CNO</v>
      </c>
      <c r="N13" s="61"/>
      <c r="O13" s="61" t="str">
        <f ca="1">IFERROR(__xludf.DUMMYFUNCTION("""COMPUTED_VALUE"""),"SNIPE")</f>
        <v>SNIPE</v>
      </c>
      <c r="P13" s="61"/>
      <c r="Q13" s="61" t="str">
        <f ca="1">IFERROR(__xludf.DUMMYFUNCTION("""COMPUTED_VALUE"""),"ARG 31752")</f>
        <v>ARG 31752</v>
      </c>
      <c r="R13" s="61" t="str">
        <f ca="1">IFERROR(__xludf.DUMMYFUNCTION("""COMPUTED_VALUE"""),"Lightning McQueen")</f>
        <v>Lightning McQueen</v>
      </c>
      <c r="S13" s="61" t="str">
        <f ca="1">IFERROR(__xludf.DUMMYFUNCTION("""COMPUTED_VALUE"""),"Constanza Alvarez")</f>
        <v>Constanza Alvarez</v>
      </c>
      <c r="T13" s="61"/>
      <c r="U13" s="61"/>
      <c r="V13" s="61"/>
      <c r="W13" s="61"/>
      <c r="X13" s="61"/>
      <c r="Y13" s="61" t="str">
        <f ca="1">IFERROR(__xludf.DUMMYFUNCTION("""COMPUTED_VALUE"""),"Obra Social del Poder Judicial ")</f>
        <v xml:space="preserve">Obra Social del Poder Judicial </v>
      </c>
      <c r="Z13" s="59" t="str">
        <f ca="1">IFERROR(__xludf.DUMMYFUNCTION("""COMPUTED_VALUE"""),"No")</f>
        <v>No</v>
      </c>
      <c r="AA13" s="61" t="str">
        <f ca="1">IFERROR(__xludf.DUMMYFUNCTION("""COMPUTED_VALUE"""),"Acepto")</f>
        <v>Acepto</v>
      </c>
      <c r="AB13" s="59" t="str">
        <f ca="1">IFERROR(__xludf.DUMMYFUNCTION("""COMPUTED_VALUE"""),"Pendiente")</f>
        <v>Pendiente</v>
      </c>
      <c r="AC13" s="59"/>
      <c r="AD13" s="38"/>
      <c r="AE13" s="38"/>
      <c r="AF13" s="38"/>
      <c r="AG13" s="38"/>
    </row>
    <row r="14" spans="1:33" ht="13.2">
      <c r="B14" s="65"/>
      <c r="C14" s="58"/>
      <c r="D14" s="58"/>
      <c r="E14" s="58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59"/>
      <c r="AA14" s="61"/>
      <c r="AB14" s="59"/>
      <c r="AC14" s="59"/>
    </row>
    <row r="15" spans="1:33" ht="13.2">
      <c r="B15" s="65"/>
      <c r="C15" s="58"/>
      <c r="D15" s="58"/>
      <c r="E15" s="58"/>
      <c r="F15" s="59"/>
      <c r="G15" s="59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59"/>
      <c r="AA15" s="61"/>
      <c r="AB15" s="59"/>
      <c r="AC15" s="59"/>
    </row>
    <row r="16" spans="1:33" ht="13.2">
      <c r="B16" s="65"/>
      <c r="C16" s="58"/>
      <c r="D16" s="58"/>
      <c r="E16" s="58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59"/>
      <c r="AA16" s="61"/>
      <c r="AB16" s="59"/>
      <c r="AC16" s="59"/>
    </row>
    <row r="17" spans="2:31" ht="13.2">
      <c r="B17" s="65"/>
      <c r="C17" s="58"/>
      <c r="D17" s="58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59"/>
      <c r="AA17" s="59"/>
      <c r="AB17" s="59"/>
      <c r="AC17" s="59"/>
      <c r="AD17" s="6"/>
      <c r="AE17" s="6"/>
    </row>
    <row r="18" spans="2:31" ht="13.2">
      <c r="B18" s="65"/>
      <c r="C18" s="58"/>
      <c r="D18" s="58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59"/>
      <c r="AA18" s="59"/>
      <c r="AB18" s="59"/>
      <c r="AC18" s="59"/>
    </row>
    <row r="19" spans="2:31" ht="13.2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59"/>
      <c r="AA19" s="61"/>
      <c r="AB19" s="59"/>
      <c r="AC19" s="59"/>
    </row>
    <row r="20" spans="2:31" ht="13.2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59"/>
      <c r="AA20" s="61"/>
      <c r="AB20" s="59"/>
      <c r="AC20" s="59"/>
    </row>
    <row r="21" spans="2:31" ht="13.2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59"/>
      <c r="AA21" s="61"/>
      <c r="AB21" s="59"/>
      <c r="AC21" s="59"/>
    </row>
    <row r="22" spans="2:31" ht="13.2">
      <c r="AB22" s="6"/>
    </row>
    <row r="23" spans="2:31" ht="13.2">
      <c r="AB23" s="6"/>
    </row>
    <row r="24" spans="2:31" ht="13.2">
      <c r="AB24" s="6"/>
    </row>
  </sheetData>
  <conditionalFormatting sqref="B4:B14">
    <cfRule type="cellIs" dxfId="44" priority="2" operator="equal">
      <formula>"Pago"</formula>
    </cfRule>
  </conditionalFormatting>
  <conditionalFormatting sqref="G1:G3 I2">
    <cfRule type="cellIs" dxfId="43" priority="1" operator="equal">
      <formula>"Si"</formula>
    </cfRule>
  </conditionalFormatting>
  <conditionalFormatting sqref="AB3:AB24">
    <cfRule type="cellIs" dxfId="42" priority="3" operator="equal">
      <formula>"Terminado"</formula>
    </cfRule>
  </conditionalFormatting>
  <conditionalFormatting sqref="AC4:AC21">
    <cfRule type="cellIs" dxfId="41" priority="4" operator="equal">
      <formula>"Terminado"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1"/>
  <sheetViews>
    <sheetView tabSelected="1" workbookViewId="0">
      <selection activeCell="G16" sqref="G16"/>
    </sheetView>
  </sheetViews>
  <sheetFormatPr defaultColWidth="12.6640625" defaultRowHeight="15.75" customHeight="1"/>
  <cols>
    <col min="1" max="1" width="22" customWidth="1"/>
    <col min="7" max="7" width="49.77734375" customWidth="1"/>
  </cols>
  <sheetData>
    <row r="1" spans="1:7" ht="26.4">
      <c r="A1" s="56" t="s">
        <v>122</v>
      </c>
      <c r="B1" s="55" t="s">
        <v>5</v>
      </c>
      <c r="C1" s="55" t="s">
        <v>11</v>
      </c>
      <c r="D1" s="56" t="s">
        <v>12</v>
      </c>
      <c r="E1" s="56" t="s">
        <v>16</v>
      </c>
      <c r="F1" s="56" t="s">
        <v>17</v>
      </c>
      <c r="G1" s="100" t="s">
        <v>164</v>
      </c>
    </row>
    <row r="2" spans="1:7" ht="13.2">
      <c r="A2" s="61" t="s">
        <v>269</v>
      </c>
      <c r="B2" s="61" t="s">
        <v>63</v>
      </c>
      <c r="C2" s="61" t="s">
        <v>185</v>
      </c>
      <c r="D2" s="61" t="s">
        <v>213</v>
      </c>
      <c r="E2" s="61">
        <v>300</v>
      </c>
      <c r="F2" s="61" t="s">
        <v>250</v>
      </c>
      <c r="G2" t="s">
        <v>261</v>
      </c>
    </row>
    <row r="3" spans="1:7" ht="13.2">
      <c r="A3" s="61" t="s">
        <v>270</v>
      </c>
      <c r="B3" s="61" t="s">
        <v>63</v>
      </c>
      <c r="C3" s="61" t="s">
        <v>192</v>
      </c>
      <c r="D3" s="61" t="s">
        <v>213</v>
      </c>
      <c r="E3" s="61">
        <v>7</v>
      </c>
      <c r="F3" s="61" t="s">
        <v>251</v>
      </c>
      <c r="G3" t="s">
        <v>262</v>
      </c>
    </row>
    <row r="4" spans="1:7" ht="13.2">
      <c r="A4" s="61" t="s">
        <v>271</v>
      </c>
      <c r="B4" s="61" t="s">
        <v>63</v>
      </c>
      <c r="C4" s="61" t="s">
        <v>185</v>
      </c>
      <c r="D4" s="61" t="s">
        <v>252</v>
      </c>
      <c r="E4" s="61">
        <v>87</v>
      </c>
      <c r="F4" s="61" t="s">
        <v>253</v>
      </c>
      <c r="G4" t="s">
        <v>263</v>
      </c>
    </row>
    <row r="5" spans="1:7" ht="13.2">
      <c r="A5" s="61" t="s">
        <v>272</v>
      </c>
      <c r="B5" s="61" t="s">
        <v>63</v>
      </c>
      <c r="C5" s="61" t="s">
        <v>185</v>
      </c>
      <c r="D5" s="61" t="s">
        <v>213</v>
      </c>
      <c r="E5" s="61">
        <v>302</v>
      </c>
      <c r="F5" s="61" t="s">
        <v>254</v>
      </c>
      <c r="G5" t="s">
        <v>264</v>
      </c>
    </row>
    <row r="6" spans="1:7" ht="13.2">
      <c r="A6" s="61" t="s">
        <v>273</v>
      </c>
      <c r="B6" s="61" t="s">
        <v>63</v>
      </c>
      <c r="C6" s="61" t="s">
        <v>192</v>
      </c>
      <c r="D6" s="61" t="s">
        <v>213</v>
      </c>
      <c r="E6" s="61">
        <v>286</v>
      </c>
      <c r="F6" s="61" t="s">
        <v>255</v>
      </c>
      <c r="G6" t="s">
        <v>265</v>
      </c>
    </row>
    <row r="7" spans="1:7" ht="13.2">
      <c r="A7" s="61" t="s">
        <v>274</v>
      </c>
      <c r="B7" s="61" t="s">
        <v>63</v>
      </c>
      <c r="C7" s="61" t="s">
        <v>185</v>
      </c>
      <c r="D7" s="61" t="s">
        <v>252</v>
      </c>
      <c r="E7" s="61">
        <v>274</v>
      </c>
      <c r="F7" s="61" t="s">
        <v>256</v>
      </c>
      <c r="G7" t="s">
        <v>266</v>
      </c>
    </row>
    <row r="8" spans="1:7" ht="13.2">
      <c r="A8" s="61" t="s">
        <v>275</v>
      </c>
      <c r="B8" s="61" t="s">
        <v>63</v>
      </c>
      <c r="C8" s="61" t="s">
        <v>185</v>
      </c>
      <c r="D8" s="61" t="s">
        <v>213</v>
      </c>
      <c r="E8" s="61">
        <v>89</v>
      </c>
      <c r="F8" s="61" t="s">
        <v>257</v>
      </c>
    </row>
    <row r="9" spans="1:7" ht="13.2">
      <c r="A9" s="61" t="s">
        <v>276</v>
      </c>
      <c r="B9" s="61" t="s">
        <v>63</v>
      </c>
      <c r="C9" s="61" t="s">
        <v>185</v>
      </c>
      <c r="D9" s="61" t="s">
        <v>252</v>
      </c>
      <c r="E9" s="61">
        <v>300</v>
      </c>
      <c r="F9" s="61" t="s">
        <v>250</v>
      </c>
      <c r="G9" t="s">
        <v>267</v>
      </c>
    </row>
    <row r="10" spans="1:7" ht="13.2">
      <c r="A10" s="61" t="s">
        <v>277</v>
      </c>
      <c r="B10" s="61" t="s">
        <v>63</v>
      </c>
      <c r="C10" s="61" t="s">
        <v>185</v>
      </c>
      <c r="D10" s="61" t="s">
        <v>260</v>
      </c>
      <c r="E10" s="61">
        <v>117</v>
      </c>
      <c r="F10" s="61" t="s">
        <v>258</v>
      </c>
      <c r="G10" t="s">
        <v>268</v>
      </c>
    </row>
    <row r="11" spans="1:7" ht="13.2">
      <c r="A11" s="61" t="s">
        <v>278</v>
      </c>
      <c r="B11" s="61" t="s">
        <v>63</v>
      </c>
      <c r="C11" s="61" t="s">
        <v>185</v>
      </c>
      <c r="D11" s="61" t="s">
        <v>213</v>
      </c>
      <c r="E11" s="61">
        <v>84</v>
      </c>
      <c r="F11" s="61" t="s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G800"/>
  <sheetViews>
    <sheetView topLeftCell="B1" workbookViewId="0"/>
  </sheetViews>
  <sheetFormatPr defaultColWidth="12.6640625" defaultRowHeight="15.75" customHeight="1"/>
  <cols>
    <col min="1" max="1" width="21.109375" hidden="1" customWidth="1"/>
    <col min="2" max="2" width="16.21875" customWidth="1"/>
    <col min="3" max="3" width="13.21875" customWidth="1"/>
    <col min="4" max="4" width="17.77734375" customWidth="1"/>
    <col min="5" max="5" width="27" customWidth="1"/>
    <col min="6" max="6" width="5.44140625" customWidth="1"/>
    <col min="7" max="7" width="6.6640625" hidden="1" customWidth="1"/>
    <col min="8" max="8" width="4.33203125" hidden="1" customWidth="1"/>
    <col min="9" max="10" width="11.21875" hidden="1" customWidth="1"/>
    <col min="11" max="11" width="17" hidden="1" customWidth="1"/>
    <col min="12" max="12" width="8.44140625" customWidth="1"/>
    <col min="13" max="13" width="20.21875" customWidth="1"/>
    <col min="14" max="14" width="22.21875" customWidth="1"/>
    <col min="15" max="15" width="17.109375" hidden="1" customWidth="1"/>
    <col min="16" max="16" width="6.77734375" hidden="1" customWidth="1"/>
    <col min="17" max="17" width="8.33203125" customWidth="1"/>
    <col min="18" max="18" width="14.33203125" customWidth="1"/>
    <col min="19" max="20" width="10.33203125" hidden="1" customWidth="1"/>
    <col min="21" max="24" width="9.77734375" hidden="1" customWidth="1"/>
    <col min="25" max="25" width="11.109375" hidden="1" customWidth="1"/>
    <col min="26" max="26" width="6.6640625" hidden="1" customWidth="1"/>
    <col min="27" max="27" width="0.33203125" customWidth="1"/>
    <col min="28" max="28" width="9.6640625" customWidth="1"/>
    <col min="29" max="29" width="11.109375" hidden="1" customWidth="1"/>
    <col min="30" max="30" width="10.6640625" hidden="1" customWidth="1"/>
    <col min="31" max="31" width="12.6640625" hidden="1"/>
    <col min="32" max="32" width="11.109375" customWidth="1"/>
    <col min="33" max="33" width="9.77734375" customWidth="1"/>
  </cols>
  <sheetData>
    <row r="1" spans="1:33" ht="22.8">
      <c r="A1" s="40"/>
      <c r="B1" s="48" t="s">
        <v>33</v>
      </c>
      <c r="C1" s="49"/>
      <c r="D1" s="49"/>
      <c r="E1" s="49"/>
      <c r="F1" s="49"/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3" ht="15.6">
      <c r="A2" s="40"/>
      <c r="B2" s="51" t="s">
        <v>36</v>
      </c>
      <c r="C2" s="2"/>
      <c r="D2" s="2"/>
      <c r="E2" s="2"/>
      <c r="F2" s="63" t="str">
        <f ca="1">"Inscriptos: "&amp;COUNTA(C4:C300)</f>
        <v>Inscriptos: 96</v>
      </c>
      <c r="G2" s="2"/>
      <c r="H2" s="2"/>
      <c r="I2" s="54"/>
      <c r="J2" s="54"/>
      <c r="K2" s="54"/>
      <c r="L2" s="2"/>
      <c r="M2" s="2"/>
      <c r="N2" s="2"/>
      <c r="O2" s="2"/>
      <c r="P2" s="40"/>
      <c r="Q2" s="2"/>
      <c r="R2" s="2"/>
      <c r="S2" s="54"/>
      <c r="T2" s="54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3" ht="30.75" customHeight="1">
      <c r="A3" s="40" t="s">
        <v>37</v>
      </c>
      <c r="B3" s="2" t="str">
        <f ca="1">IFERROR(__xludf.DUMMYFUNCTION("query(Titulos)"),"Dia y Hora")</f>
        <v>Dia y Hora</v>
      </c>
      <c r="C3" s="66" t="str">
        <f ca="1">IFERROR(__xludf.DUMMYFUNCTION("""COMPUTED_VALUE"""),"Nombre")</f>
        <v>Nombre</v>
      </c>
      <c r="D3" s="66" t="str">
        <f ca="1">IFERROR(__xludf.DUMMYFUNCTION("""COMPUTED_VALUE"""),"Apellido")</f>
        <v>Apellido</v>
      </c>
      <c r="E3" s="66" t="str">
        <f ca="1">IFERROR(__xludf.DUMMYFUNCTION("""COMPUTED_VALUE"""),"Ciudad")</f>
        <v>Ciudad</v>
      </c>
      <c r="F3" s="2" t="str">
        <f ca="1">IFERROR(__xludf.DUMMYFUNCTION("""COMPUTED_VALUE"""),"Pais")</f>
        <v>Pais</v>
      </c>
      <c r="G3" s="2" t="str">
        <f ca="1">IFERROR(__xludf.DUMMYFUNCTION("""COMPUTED_VALUE"""),"DNI")</f>
        <v>DNI</v>
      </c>
      <c r="H3" s="2" t="str">
        <f ca="1">IFERROR(__xludf.DUMMYFUNCTION("""COMPUTED_VALUE"""),"Nacimiento")</f>
        <v>Nacimiento</v>
      </c>
      <c r="I3" s="54" t="str">
        <f ca="1">IFERROR(__xludf.DUMMYFUNCTION("""COMPUTED_VALUE"""),"Celular de Contacto")</f>
        <v>Celular de Contacto</v>
      </c>
      <c r="J3" s="54" t="str">
        <f ca="1">IFERROR(__xludf.DUMMYFUNCTION("""COMPUTED_VALUE"""),"Celular de Emergencias")</f>
        <v>Celular de Emergencias</v>
      </c>
      <c r="K3" s="54" t="str">
        <f ca="1">IFERROR(__xludf.DUMMYFUNCTION("""COMPUTED_VALUE"""),"email")</f>
        <v>email</v>
      </c>
      <c r="L3" s="2" t="str">
        <f ca="1">IFERROR(__xludf.DUMMYFUNCTION("""COMPUTED_VALUE"""),"Sexo")</f>
        <v>Sexo</v>
      </c>
      <c r="M3" s="2" t="str">
        <f ca="1">IFERROR(__xludf.DUMMYFUNCTION("""COMPUTED_VALUE"""),"Club")</f>
        <v>Club</v>
      </c>
      <c r="N3" s="2" t="str">
        <f ca="1">IFERROR(__xludf.DUMMYFUNCTION("""COMPUTED_VALUE"""),"Categoría")</f>
        <v>Categoría</v>
      </c>
      <c r="O3" s="2" t="str">
        <f ca="1">IFERROR(__xludf.DUMMYFUNCTION("""COMPUTED_VALUE"""),"Clase")</f>
        <v>Clase</v>
      </c>
      <c r="P3" s="2" t="str">
        <f ca="1">IFERROR(__xludf.DUMMYFUNCTION("""COMPUTED_VALUE"""),"Proa Nº")</f>
        <v>Proa Nº</v>
      </c>
      <c r="Q3" s="2" t="str">
        <f ca="1">IFERROR(__xludf.DUMMYFUNCTION("""COMPUTED_VALUE"""),"Vela")</f>
        <v>Vela</v>
      </c>
      <c r="R3" s="2" t="str">
        <f ca="1">IFERROR(__xludf.DUMMYFUNCTION("""COMPUTED_VALUE"""),"Nombre del Barco")</f>
        <v>Nombre del Barco</v>
      </c>
      <c r="S3" s="54" t="str">
        <f ca="1">IFERROR(__xludf.DUMMYFUNCTION("""COMPUTED_VALUE"""),"Tripulante 1")</f>
        <v>Tripulante 1</v>
      </c>
      <c r="T3" s="54" t="str">
        <f ca="1">IFERROR(__xludf.DUMMYFUNCTION("""COMPUTED_VALUE"""),"Tripulante 2")</f>
        <v>Tripulante 2</v>
      </c>
      <c r="U3" s="2" t="str">
        <f ca="1">IFERROR(__xludf.DUMMYFUNCTION("""COMPUTED_VALUE"""),"Tripulante 3")</f>
        <v>Tripulante 3</v>
      </c>
      <c r="V3" s="2" t="str">
        <f ca="1">IFERROR(__xludf.DUMMYFUNCTION("""COMPUTED_VALUE"""),"Tripulante 4")</f>
        <v>Tripulante 4</v>
      </c>
      <c r="W3" s="2" t="str">
        <f ca="1">IFERROR(__xludf.DUMMYFUNCTION("""COMPUTED_VALUE"""),"Tripulante 5")</f>
        <v>Tripulante 5</v>
      </c>
      <c r="X3" s="2" t="str">
        <f ca="1">IFERROR(__xludf.DUMMYFUNCTION("""COMPUTED_VALUE"""),"Tripulante 6")</f>
        <v>Tripulante 6</v>
      </c>
      <c r="Y3" s="2" t="str">
        <f ca="1">IFERROR(__xludf.DUMMYFUNCTION("""COMPUTED_VALUE"""),"Obra Social/Nº Afiliado")</f>
        <v>Obra Social/Nº Afiliado</v>
      </c>
      <c r="Z3" s="54" t="str">
        <f ca="1">IFERROR(__xludf.DUMMYFUNCTION("""COMPUTED_VALUE"""),"Bajada YCO")</f>
        <v>Bajada YCO</v>
      </c>
      <c r="AA3" s="2" t="str">
        <f ca="1">IFERROR(__xludf.DUMMYFUNCTION("""COMPUTED_VALUE"""),"Términos y Condiciones")</f>
        <v>Términos y Condiciones</v>
      </c>
      <c r="AB3" s="54" t="str">
        <f ca="1">IFERROR(__xludf.DUMMYFUNCTION("""COMPUTED_VALUE"""),"Pago")</f>
        <v>Pago</v>
      </c>
      <c r="AC3" s="54" t="str">
        <f ca="1">IFERROR(__xludf.DUMMYFUNCTION("""COMPUTED_VALUE"""),"Importe")</f>
        <v>Importe</v>
      </c>
      <c r="AD3" s="54" t="str">
        <f ca="1">IFERROR(__xludf.DUMMYFUNCTION("""COMPUTED_VALUE"""),"RECIBO")</f>
        <v>RECIBO</v>
      </c>
      <c r="AF3" s="67" t="s">
        <v>38</v>
      </c>
      <c r="AG3" s="41" t="s">
        <v>32</v>
      </c>
    </row>
    <row r="4" spans="1:33" ht="15.75" customHeight="1">
      <c r="B4" s="35">
        <f ca="1">IFERROR(__xludf.DUMMYFUNCTION("filter(Datos,Clases=A3)"),45530.5040846875)</f>
        <v>45530.504084687498</v>
      </c>
      <c r="C4" s="36" t="str">
        <f ca="1">IFERROR(__xludf.DUMMYFUNCTION("""COMPUTED_VALUE"""),"Benjamín")</f>
        <v>Benjamín</v>
      </c>
      <c r="D4" s="36" t="str">
        <f ca="1">IFERROR(__xludf.DUMMYFUNCTION("""COMPUTED_VALUE"""),"Albornoz")</f>
        <v>Albornoz</v>
      </c>
      <c r="E4" s="36" t="str">
        <f ca="1">IFERROR(__xludf.DUMMYFUNCTION("""COMPUTED_VALUE"""),"CABA")</f>
        <v>CABA</v>
      </c>
      <c r="F4" s="6" t="str">
        <f ca="1">IFERROR(__xludf.DUMMYFUNCTION("""COMPUTED_VALUE"""),"ARG")</f>
        <v>ARG</v>
      </c>
      <c r="G4" s="6">
        <f ca="1">IFERROR(__xludf.DUMMYFUNCTION("""COMPUTED_VALUE"""),54184560)</f>
        <v>54184560</v>
      </c>
      <c r="H4" s="37">
        <f ca="1">IFERROR(__xludf.DUMMYFUNCTION("""COMPUTED_VALUE"""),41851)</f>
        <v>41851</v>
      </c>
      <c r="I4" s="38">
        <f ca="1">IFERROR(__xludf.DUMMYFUNCTION("""COMPUTED_VALUE"""),1167518925)</f>
        <v>1167518925</v>
      </c>
      <c r="J4" s="38">
        <f ca="1">IFERROR(__xludf.DUMMYFUNCTION("""COMPUTED_VALUE"""),1167518925)</f>
        <v>1167518925</v>
      </c>
      <c r="K4" s="38" t="str">
        <f ca="1">IFERROR(__xludf.DUMMYFUNCTION("""COMPUTED_VALUE"""),"jalbornoz@derecho.uba.ar")</f>
        <v>jalbornoz@derecho.uba.ar</v>
      </c>
      <c r="L4" s="38" t="str">
        <f ca="1">IFERROR(__xludf.DUMMYFUNCTION("""COMPUTED_VALUE"""),"Masculino")</f>
        <v>Masculino</v>
      </c>
      <c r="M4" s="38" t="str">
        <f ca="1">IFERROR(__xludf.DUMMYFUNCTION("""COMPUTED_VALUE"""),"CGLNM")</f>
        <v>CGLNM</v>
      </c>
      <c r="N4" s="38" t="str">
        <f ca="1">IFERROR(__xludf.DUMMYFUNCTION("""COMPUTED_VALUE"""),"SUB 12")</f>
        <v>SUB 12</v>
      </c>
      <c r="O4" s="38" t="str">
        <f ca="1">IFERROR(__xludf.DUMMYFUNCTION("""COMPUTED_VALUE"""),"OPTIMIST PRINCIPIANTES")</f>
        <v>OPTIMIST PRINCIPIANTES</v>
      </c>
      <c r="P4" s="38"/>
      <c r="Q4" s="38">
        <f ca="1">IFERROR(__xludf.DUMMYFUNCTION("""COMPUTED_VALUE"""),3657)</f>
        <v>3657</v>
      </c>
      <c r="R4" s="38" t="str">
        <f ca="1">IFERROR(__xludf.DUMMYFUNCTION("""COMPUTED_VALUE"""),"Popeye")</f>
        <v>Popeye</v>
      </c>
      <c r="S4" s="38"/>
      <c r="T4" s="38"/>
      <c r="U4" s="38"/>
      <c r="V4" s="38"/>
      <c r="W4" s="38"/>
      <c r="X4" s="38"/>
      <c r="Y4" s="38" t="str">
        <f ca="1">IFERROR(__xludf.DUMMYFUNCTION("""COMPUTED_VALUE"""),"Poder Judicial 46400/21")</f>
        <v>Poder Judicial 46400/21</v>
      </c>
      <c r="Z4" s="6" t="str">
        <f ca="1">IFERROR(__xludf.DUMMYFUNCTION("""COMPUTED_VALUE"""),"No")</f>
        <v>No</v>
      </c>
      <c r="AA4" s="6" t="str">
        <f ca="1">IFERROR(__xludf.DUMMYFUNCTION("""COMPUTED_VALUE"""),"Acepto")</f>
        <v>Acepto</v>
      </c>
      <c r="AB4" s="6" t="str">
        <f ca="1">IFERROR(__xludf.DUMMYFUNCTION("""COMPUTED_VALUE"""),"Terminado")</f>
        <v>Terminado</v>
      </c>
      <c r="AC4" s="6">
        <f ca="1">IFERROR(__xludf.DUMMYFUNCTION("""COMPUTED_VALUE"""),60000)</f>
        <v>60000</v>
      </c>
      <c r="AD4" s="6">
        <f ca="1">IFERROR(__xludf.DUMMYFUNCTION("""COMPUTED_VALUE"""),205077)</f>
        <v>205077</v>
      </c>
      <c r="AE4" s="6" t="str">
        <f ca="1">IFERROR(__xludf.DUMMYFUNCTION("""COMPUTED_VALUE"""),"TRF29-08")</f>
        <v>TRF29-08</v>
      </c>
      <c r="AF4" s="38"/>
      <c r="AG4" s="38"/>
    </row>
    <row r="5" spans="1:33" ht="15.75" customHeight="1">
      <c r="B5" s="35">
        <f ca="1">IFERROR(__xludf.DUMMYFUNCTION("""COMPUTED_VALUE"""),45533.7685954513)</f>
        <v>45533.7685954513</v>
      </c>
      <c r="C5" s="36" t="str">
        <f ca="1">IFERROR(__xludf.DUMMYFUNCTION("""COMPUTED_VALUE"""),"Felicitas ")</f>
        <v xml:space="preserve">Felicitas </v>
      </c>
      <c r="D5" s="36" t="str">
        <f ca="1">IFERROR(__xludf.DUMMYFUNCTION("""COMPUTED_VALUE"""),"Alcantara")</f>
        <v>Alcantara</v>
      </c>
      <c r="E5" s="36" t="str">
        <f ca="1">IFERROR(__xludf.DUMMYFUNCTION("""COMPUTED_VALUE"""),"Benavidez")</f>
        <v>Benavidez</v>
      </c>
      <c r="F5" s="6" t="str">
        <f ca="1">IFERROR(__xludf.DUMMYFUNCTION("""COMPUTED_VALUE"""),"ARG")</f>
        <v>ARG</v>
      </c>
      <c r="G5" s="6">
        <f ca="1">IFERROR(__xludf.DUMMYFUNCTION("""COMPUTED_VALUE"""),53894761)</f>
        <v>53894761</v>
      </c>
      <c r="H5" s="37">
        <f ca="1">IFERROR(__xludf.DUMMYFUNCTION("""COMPUTED_VALUE"""),41744)</f>
        <v>41744</v>
      </c>
      <c r="I5" s="38">
        <f ca="1">IFERROR(__xludf.DUMMYFUNCTION("""COMPUTED_VALUE"""),1167660999)</f>
        <v>1167660999</v>
      </c>
      <c r="J5" s="38">
        <f ca="1">IFERROR(__xludf.DUMMYFUNCTION("""COMPUTED_VALUE"""),1167660999)</f>
        <v>1167660999</v>
      </c>
      <c r="K5" s="38" t="str">
        <f ca="1">IFERROR(__xludf.DUMMYFUNCTION("""COMPUTED_VALUE"""),"Lucil4@hotmail.com")</f>
        <v>Lucil4@hotmail.com</v>
      </c>
      <c r="L5" s="38" t="str">
        <f ca="1">IFERROR(__xludf.DUMMYFUNCTION("""COMPUTED_VALUE"""),"Femenino")</f>
        <v>Femenino</v>
      </c>
      <c r="M5" s="38" t="str">
        <f ca="1">IFERROR(__xludf.DUMMYFUNCTION("""COMPUTED_VALUE"""),"YCA")</f>
        <v>YCA</v>
      </c>
      <c r="N5" s="38" t="str">
        <f ca="1">IFERROR(__xludf.DUMMYFUNCTION("""COMPUTED_VALUE"""),"Femenino")</f>
        <v>Femenino</v>
      </c>
      <c r="O5" s="38" t="str">
        <f ca="1">IFERROR(__xludf.DUMMYFUNCTION("""COMPUTED_VALUE"""),"OPTIMIST PRINCIPIANTES")</f>
        <v>OPTIMIST PRINCIPIANTES</v>
      </c>
      <c r="P5" s="38"/>
      <c r="Q5" s="38">
        <f ca="1">IFERROR(__xludf.DUMMYFUNCTION("""COMPUTED_VALUE"""),3553)</f>
        <v>3553</v>
      </c>
      <c r="R5" s="38"/>
      <c r="S5" s="38"/>
      <c r="T5" s="38"/>
      <c r="U5" s="38"/>
      <c r="V5" s="38"/>
      <c r="W5" s="38"/>
      <c r="X5" s="38"/>
      <c r="Y5" s="38" t="str">
        <f ca="1">IFERROR(__xludf.DUMMYFUNCTION("""COMPUTED_VALUE"""),"OSDE")</f>
        <v>OSDE</v>
      </c>
      <c r="Z5" s="6" t="str">
        <f ca="1">IFERROR(__xludf.DUMMYFUNCTION("""COMPUTED_VALUE"""),"No")</f>
        <v>No</v>
      </c>
      <c r="AA5" s="6" t="str">
        <f ca="1">IFERROR(__xludf.DUMMYFUNCTION("""COMPUTED_VALUE"""),"Acepto")</f>
        <v>Acepto</v>
      </c>
      <c r="AB5" s="6" t="str">
        <f ca="1">IFERROR(__xludf.DUMMYFUNCTION("""COMPUTED_VALUE"""),"Pendiente")</f>
        <v>Pendiente</v>
      </c>
      <c r="AC5" s="6"/>
      <c r="AD5" s="6"/>
      <c r="AE5" s="6"/>
      <c r="AF5" s="38"/>
      <c r="AG5" s="38"/>
    </row>
    <row r="6" spans="1:33" ht="15.75" customHeight="1">
      <c r="B6" s="35">
        <f ca="1">IFERROR(__xludf.DUMMYFUNCTION("""COMPUTED_VALUE"""),45531.6897261805)</f>
        <v>45531.689726180499</v>
      </c>
      <c r="C6" s="36" t="str">
        <f ca="1">IFERROR(__xludf.DUMMYFUNCTION("""COMPUTED_VALUE"""),"Miguel Ignacio")</f>
        <v>Miguel Ignacio</v>
      </c>
      <c r="D6" s="36" t="str">
        <f ca="1">IFERROR(__xludf.DUMMYFUNCTION("""COMPUTED_VALUE"""),"Aldatz")</f>
        <v>Aldatz</v>
      </c>
      <c r="E6" s="36" t="str">
        <f ca="1">IFERROR(__xludf.DUMMYFUNCTION("""COMPUTED_VALUE"""),"Avellaneda")</f>
        <v>Avellaneda</v>
      </c>
      <c r="F6" s="6" t="str">
        <f ca="1">IFERROR(__xludf.DUMMYFUNCTION("""COMPUTED_VALUE"""),"ARG")</f>
        <v>ARG</v>
      </c>
      <c r="G6" s="6">
        <f ca="1">IFERROR(__xludf.DUMMYFUNCTION("""COMPUTED_VALUE"""),54187126)</f>
        <v>54187126</v>
      </c>
      <c r="H6" s="37">
        <f ca="1">IFERROR(__xludf.DUMMYFUNCTION("""COMPUTED_VALUE"""),41876)</f>
        <v>41876</v>
      </c>
      <c r="I6" s="38">
        <f ca="1">IFERROR(__xludf.DUMMYFUNCTION("""COMPUTED_VALUE"""),1150018050)</f>
        <v>1150018050</v>
      </c>
      <c r="J6" s="38">
        <f ca="1">IFERROR(__xludf.DUMMYFUNCTION("""COMPUTED_VALUE"""),1150018050)</f>
        <v>1150018050</v>
      </c>
      <c r="K6" s="38" t="str">
        <f ca="1">IFERROR(__xludf.DUMMYFUNCTION("""COMPUTED_VALUE"""),"adribarbera@gmail.com")</f>
        <v>adribarbera@gmail.com</v>
      </c>
      <c r="L6" s="38" t="str">
        <f ca="1">IFERROR(__xludf.DUMMYFUNCTION("""COMPUTED_VALUE"""),"Masculino")</f>
        <v>Masculino</v>
      </c>
      <c r="M6" s="38" t="str">
        <f ca="1">IFERROR(__xludf.DUMMYFUNCTION("""COMPUTED_VALUE"""),"CGLNM")</f>
        <v>CGLNM</v>
      </c>
      <c r="N6" s="38" t="str">
        <f ca="1">IFERROR(__xludf.DUMMYFUNCTION("""COMPUTED_VALUE"""),"Sub 12")</f>
        <v>Sub 12</v>
      </c>
      <c r="O6" s="38" t="str">
        <f ca="1">IFERROR(__xludf.DUMMYFUNCTION("""COMPUTED_VALUE"""),"OPTIMIST PRINCIPIANTES")</f>
        <v>OPTIMIST PRINCIPIANTES</v>
      </c>
      <c r="P6" s="38"/>
      <c r="Q6" s="38">
        <f ca="1">IFERROR(__xludf.DUMMYFUNCTION("""COMPUTED_VALUE"""),3468)</f>
        <v>3468</v>
      </c>
      <c r="R6" s="38" t="str">
        <f ca="1">IFERROR(__xludf.DUMMYFUNCTION("""COMPUTED_VALUE"""),"Kiki jr")</f>
        <v>Kiki jr</v>
      </c>
      <c r="S6" s="38"/>
      <c r="T6" s="38"/>
      <c r="U6" s="38"/>
      <c r="V6" s="38"/>
      <c r="W6" s="38"/>
      <c r="X6" s="38"/>
      <c r="Y6" s="38" t="str">
        <f ca="1">IFERROR(__xludf.DUMMYFUNCTION("""COMPUTED_VALUE"""),"OSDE")</f>
        <v>OSDE</v>
      </c>
      <c r="Z6" s="6" t="str">
        <f ca="1">IFERROR(__xludf.DUMMYFUNCTION("""COMPUTED_VALUE"""),"Si")</f>
        <v>Si</v>
      </c>
      <c r="AA6" s="6" t="str">
        <f ca="1">IFERROR(__xludf.DUMMYFUNCTION("""COMPUTED_VALUE"""),"Acepto")</f>
        <v>Acepto</v>
      </c>
      <c r="AB6" s="6" t="str">
        <f ca="1">IFERROR(__xludf.DUMMYFUNCTION("""COMPUTED_VALUE"""),"Terminado")</f>
        <v>Terminado</v>
      </c>
      <c r="AC6" s="6">
        <f ca="1">IFERROR(__xludf.DUMMYFUNCTION("""COMPUTED_VALUE"""),50000)</f>
        <v>50000</v>
      </c>
      <c r="AD6" s="6">
        <f ca="1">IFERROR(__xludf.DUMMYFUNCTION("""COMPUTED_VALUE"""),205349)</f>
        <v>205349</v>
      </c>
      <c r="AE6" s="6" t="str">
        <f ca="1">IFERROR(__xludf.DUMMYFUNCTION("""COMPUTED_VALUE"""),"Tarj 01-09")</f>
        <v>Tarj 01-09</v>
      </c>
      <c r="AF6" s="38"/>
      <c r="AG6" s="38"/>
    </row>
    <row r="7" spans="1:33" ht="15.75" customHeight="1">
      <c r="B7" s="35">
        <f ca="1">IFERROR(__xludf.DUMMYFUNCTION("""COMPUTED_VALUE"""),45532.7387486921)</f>
        <v>45532.7387486921</v>
      </c>
      <c r="C7" s="36" t="str">
        <f ca="1">IFERROR(__xludf.DUMMYFUNCTION("""COMPUTED_VALUE"""),"Gianni")</f>
        <v>Gianni</v>
      </c>
      <c r="D7" s="36" t="str">
        <f ca="1">IFERROR(__xludf.DUMMYFUNCTION("""COMPUTED_VALUE"""),"Andrés ")</f>
        <v xml:space="preserve">Andrés </v>
      </c>
      <c r="E7" s="36" t="str">
        <f ca="1">IFERROR(__xludf.DUMMYFUNCTION("""COMPUTED_VALUE"""),"Rosario")</f>
        <v>Rosario</v>
      </c>
      <c r="F7" s="6" t="str">
        <f ca="1">IFERROR(__xludf.DUMMYFUNCTION("""COMPUTED_VALUE"""),"ARG")</f>
        <v>ARG</v>
      </c>
      <c r="G7" s="6">
        <f ca="1">IFERROR(__xludf.DUMMYFUNCTION("""COMPUTED_VALUE"""),53623848)</f>
        <v>53623848</v>
      </c>
      <c r="H7" s="37">
        <f ca="1">IFERROR(__xludf.DUMMYFUNCTION("""COMPUTED_VALUE"""),41590)</f>
        <v>41590</v>
      </c>
      <c r="I7" s="38">
        <f ca="1">IFERROR(__xludf.DUMMYFUNCTION("""COMPUTED_VALUE"""),3413819921)</f>
        <v>3413819921</v>
      </c>
      <c r="J7" s="38">
        <f ca="1">IFERROR(__xludf.DUMMYFUNCTION("""COMPUTED_VALUE"""),3413819921)</f>
        <v>3413819921</v>
      </c>
      <c r="K7" s="38" t="str">
        <f ca="1">IFERROR(__xludf.DUMMYFUNCTION("""COMPUTED_VALUE"""),"Ventas2096@gmail.com")</f>
        <v>Ventas2096@gmail.com</v>
      </c>
      <c r="L7" s="38" t="str">
        <f ca="1">IFERROR(__xludf.DUMMYFUNCTION("""COMPUTED_VALUE"""),"Masculino")</f>
        <v>Masculino</v>
      </c>
      <c r="M7" s="38" t="str">
        <f ca="1">IFERROR(__xludf.DUMMYFUNCTION("""COMPUTED_VALUE"""),"CVR")</f>
        <v>CVR</v>
      </c>
      <c r="N7" s="38" t="str">
        <f ca="1">IFERROR(__xludf.DUMMYFUNCTION("""COMPUTED_VALUE"""),"Interior (Optimist)")</f>
        <v>Interior (Optimist)</v>
      </c>
      <c r="O7" s="38" t="str">
        <f ca="1">IFERROR(__xludf.DUMMYFUNCTION("""COMPUTED_VALUE"""),"OPTIMIST PRINCIPIANTES")</f>
        <v>OPTIMIST PRINCIPIANTES</v>
      </c>
      <c r="P7" s="38"/>
      <c r="Q7" s="38">
        <f ca="1">IFERROR(__xludf.DUMMYFUNCTION("""COMPUTED_VALUE"""),3558)</f>
        <v>3558</v>
      </c>
      <c r="R7" s="38" t="str">
        <f ca="1">IFERROR(__xludf.DUMMYFUNCTION("""COMPUTED_VALUE"""),"Merlin")</f>
        <v>Merlin</v>
      </c>
      <c r="S7" s="38"/>
      <c r="T7" s="38"/>
      <c r="U7" s="38"/>
      <c r="V7" s="38"/>
      <c r="W7" s="38"/>
      <c r="X7" s="38"/>
      <c r="Y7" s="38" t="str">
        <f ca="1">IFERROR(__xludf.DUMMYFUNCTION("""COMPUTED_VALUE"""),"Medifé/3-06645444-01/000")</f>
        <v>Medifé/3-06645444-01/000</v>
      </c>
      <c r="Z7" s="6" t="str">
        <f ca="1">IFERROR(__xludf.DUMMYFUNCTION("""COMPUTED_VALUE"""),"No")</f>
        <v>No</v>
      </c>
      <c r="AA7" s="6" t="str">
        <f ca="1">IFERROR(__xludf.DUMMYFUNCTION("""COMPUTED_VALUE"""),"Acepto")</f>
        <v>Acepto</v>
      </c>
      <c r="AB7" s="6" t="str">
        <f ca="1">IFERROR(__xludf.DUMMYFUNCTION("""COMPUTED_VALUE"""),"Terminado")</f>
        <v>Terminado</v>
      </c>
      <c r="AC7" s="6">
        <f ca="1">IFERROR(__xludf.DUMMYFUNCTION("""COMPUTED_VALUE"""),60000)</f>
        <v>60000</v>
      </c>
      <c r="AD7" s="6">
        <f ca="1">IFERROR(__xludf.DUMMYFUNCTION("""COMPUTED_VALUE"""),205461)</f>
        <v>205461</v>
      </c>
      <c r="AE7" s="6" t="str">
        <f ca="1">IFERROR(__xludf.DUMMYFUNCTION("""COMPUTED_VALUE"""),"TRF 28-08")</f>
        <v>TRF 28-08</v>
      </c>
      <c r="AF7" s="38"/>
      <c r="AG7" s="38"/>
    </row>
    <row r="8" spans="1:33" ht="15.75" customHeight="1">
      <c r="B8" s="35">
        <f ca="1">IFERROR(__xludf.DUMMYFUNCTION("""COMPUTED_VALUE"""),45535.5247832407)</f>
        <v>45535.524783240697</v>
      </c>
      <c r="C8" s="36" t="str">
        <f ca="1">IFERROR(__xludf.DUMMYFUNCTION("""COMPUTED_VALUE"""),"Manuel ")</f>
        <v xml:space="preserve">Manuel </v>
      </c>
      <c r="D8" s="36" t="str">
        <f ca="1">IFERROR(__xludf.DUMMYFUNCTION("""COMPUTED_VALUE"""),"Antoni")</f>
        <v>Antoni</v>
      </c>
      <c r="E8" s="36" t="str">
        <f ca="1">IFERROR(__xludf.DUMMYFUNCTION("""COMPUTED_VALUE"""),"San isidro")</f>
        <v>San isidro</v>
      </c>
      <c r="F8" s="6" t="str">
        <f ca="1">IFERROR(__xludf.DUMMYFUNCTION("""COMPUTED_VALUE"""),"ARG")</f>
        <v>ARG</v>
      </c>
      <c r="G8" s="6">
        <f ca="1">IFERROR(__xludf.DUMMYFUNCTION("""COMPUTED_VALUE"""),53761156)</f>
        <v>53761156</v>
      </c>
      <c r="H8" s="37">
        <f ca="1">IFERROR(__xludf.DUMMYFUNCTION("""COMPUTED_VALUE"""),41661)</f>
        <v>41661</v>
      </c>
      <c r="I8" s="38">
        <f ca="1">IFERROR(__xludf.DUMMYFUNCTION("""COMPUTED_VALUE"""),1144921544)</f>
        <v>1144921544</v>
      </c>
      <c r="J8" s="38">
        <f ca="1">IFERROR(__xludf.DUMMYFUNCTION("""COMPUTED_VALUE"""),1144921544)</f>
        <v>1144921544</v>
      </c>
      <c r="K8" s="38" t="str">
        <f ca="1">IFERROR(__xludf.DUMMYFUNCTION("""COMPUTED_VALUE"""),"noelvaca@gmail.com")</f>
        <v>noelvaca@gmail.com</v>
      </c>
      <c r="L8" s="38" t="str">
        <f ca="1">IFERROR(__xludf.DUMMYFUNCTION("""COMPUTED_VALUE"""),"Masculino")</f>
        <v>Masculino</v>
      </c>
      <c r="M8" s="38" t="str">
        <f ca="1">IFERROR(__xludf.DUMMYFUNCTION("""COMPUTED_VALUE"""),"CUBA")</f>
        <v>CUBA</v>
      </c>
      <c r="N8" s="38"/>
      <c r="O8" s="38" t="str">
        <f ca="1">IFERROR(__xludf.DUMMYFUNCTION("""COMPUTED_VALUE"""),"OPTIMIST PRINCIPIANTES")</f>
        <v>OPTIMIST PRINCIPIANTES</v>
      </c>
      <c r="P8" s="38"/>
      <c r="Q8" s="38">
        <f ca="1">IFERROR(__xludf.DUMMYFUNCTION("""COMPUTED_VALUE"""),3868)</f>
        <v>3868</v>
      </c>
      <c r="R8" s="38"/>
      <c r="S8" s="38"/>
      <c r="T8" s="38"/>
      <c r="U8" s="38"/>
      <c r="V8" s="38"/>
      <c r="W8" s="38"/>
      <c r="X8" s="38"/>
      <c r="Y8" s="38" t="str">
        <f ca="1">IFERROR(__xludf.DUMMYFUNCTION("""COMPUTED_VALUE"""),"OSDE 61352163205")</f>
        <v>OSDE 61352163205</v>
      </c>
      <c r="Z8" s="6" t="str">
        <f ca="1">IFERROR(__xludf.DUMMYFUNCTION("""COMPUTED_VALUE"""),"No")</f>
        <v>No</v>
      </c>
      <c r="AA8" s="6" t="str">
        <f ca="1">IFERROR(__xludf.DUMMYFUNCTION("""COMPUTED_VALUE"""),"Acepto")</f>
        <v>Acepto</v>
      </c>
      <c r="AB8" s="6" t="str">
        <f ca="1">IFERROR(__xludf.DUMMYFUNCTION("""COMPUTED_VALUE"""),"Terminado")</f>
        <v>Terminado</v>
      </c>
      <c r="AC8" s="6">
        <f ca="1">IFERROR(__xludf.DUMMYFUNCTION("""COMPUTED_VALUE"""),60000)</f>
        <v>60000</v>
      </c>
      <c r="AD8" s="6">
        <f ca="1">IFERROR(__xludf.DUMMYFUNCTION("""COMPUTED_VALUE"""),205150)</f>
        <v>205150</v>
      </c>
      <c r="AE8" s="6" t="str">
        <f ca="1">IFERROR(__xludf.DUMMYFUNCTION("""COMPUTED_VALUE"""),"TRF 31-08")</f>
        <v>TRF 31-08</v>
      </c>
      <c r="AF8" s="38"/>
      <c r="AG8" s="38"/>
    </row>
    <row r="9" spans="1:33" ht="15.75" customHeight="1">
      <c r="B9" s="35">
        <f ca="1">IFERROR(__xludf.DUMMYFUNCTION("""COMPUTED_VALUE"""),45539.7857500463)</f>
        <v>45539.7857500463</v>
      </c>
      <c r="C9" s="36" t="str">
        <f ca="1">IFERROR(__xludf.DUMMYFUNCTION("""COMPUTED_VALUE"""),"Allegra Juliana")</f>
        <v>Allegra Juliana</v>
      </c>
      <c r="D9" s="36" t="str">
        <f ca="1">IFERROR(__xludf.DUMMYFUNCTION("""COMPUTED_VALUE"""),"Aranda")</f>
        <v>Aranda</v>
      </c>
      <c r="E9" s="36" t="str">
        <f ca="1">IFERROR(__xludf.DUMMYFUNCTION("""COMPUTED_VALUE"""),"Parana")</f>
        <v>Parana</v>
      </c>
      <c r="F9" s="6" t="str">
        <f ca="1">IFERROR(__xludf.DUMMYFUNCTION("""COMPUTED_VALUE"""),"ARG")</f>
        <v>ARG</v>
      </c>
      <c r="G9" s="6">
        <f ca="1">IFERROR(__xludf.DUMMYFUNCTION("""COMPUTED_VALUE"""),53477120)</f>
        <v>53477120</v>
      </c>
      <c r="H9" s="37">
        <f ca="1">IFERROR(__xludf.DUMMYFUNCTION("""COMPUTED_VALUE"""),41519)</f>
        <v>41519</v>
      </c>
      <c r="I9" s="38">
        <f ca="1">IFERROR(__xludf.DUMMYFUNCTION("""COMPUTED_VALUE"""),3434468375)</f>
        <v>3434468375</v>
      </c>
      <c r="J9" s="38">
        <f ca="1">IFERROR(__xludf.DUMMYFUNCTION("""COMPUTED_VALUE"""),3434468375)</f>
        <v>3434468375</v>
      </c>
      <c r="K9" s="38" t="str">
        <f ca="1">IFERROR(__xludf.DUMMYFUNCTION("""COMPUTED_VALUE"""),"Arandarodolfo090@gmail.com")</f>
        <v>Arandarodolfo090@gmail.com</v>
      </c>
      <c r="L9" s="38" t="str">
        <f ca="1">IFERROR(__xludf.DUMMYFUNCTION("""COMPUTED_VALUE"""),"Femenino")</f>
        <v>Femenino</v>
      </c>
      <c r="M9" s="38" t="str">
        <f ca="1">IFERROR(__xludf.DUMMYFUNCTION("""COMPUTED_VALUE"""),"CVR")</f>
        <v>CVR</v>
      </c>
      <c r="N9" s="38" t="str">
        <f ca="1">IFERROR(__xludf.DUMMYFUNCTION("""COMPUTED_VALUE"""),"Femenino, Interior (Optimist)")</f>
        <v>Femenino, Interior (Optimist)</v>
      </c>
      <c r="O9" s="38" t="str">
        <f ca="1">IFERROR(__xludf.DUMMYFUNCTION("""COMPUTED_VALUE"""),"OPTIMIST PRINCIPIANTES")</f>
        <v>OPTIMIST PRINCIPIANTES</v>
      </c>
      <c r="P9" s="38"/>
      <c r="Q9" s="38">
        <f ca="1">IFERROR(__xludf.DUMMYFUNCTION("""COMPUTED_VALUE"""),4055)</f>
        <v>4055</v>
      </c>
      <c r="R9" s="38"/>
      <c r="S9" s="38" t="str">
        <f ca="1">IFERROR(__xludf.DUMMYFUNCTION("""COMPUTED_VALUE"""),"Allegra Juliana Aranda")</f>
        <v>Allegra Juliana Aranda</v>
      </c>
      <c r="T9" s="38"/>
      <c r="U9" s="38"/>
      <c r="V9" s="38"/>
      <c r="W9" s="38"/>
      <c r="X9" s="38"/>
      <c r="Y9" s="38">
        <f ca="1">IFERROR(__xludf.DUMMYFUNCTION("""COMPUTED_VALUE"""),67943)</f>
        <v>67943</v>
      </c>
      <c r="Z9" s="6" t="str">
        <f ca="1">IFERROR(__xludf.DUMMYFUNCTION("""COMPUTED_VALUE"""),"Si")</f>
        <v>Si</v>
      </c>
      <c r="AA9" s="6" t="str">
        <f ca="1">IFERROR(__xludf.DUMMYFUNCTION("""COMPUTED_VALUE"""),"Acepto")</f>
        <v>Acepto</v>
      </c>
      <c r="AB9" s="6" t="str">
        <f ca="1">IFERROR(__xludf.DUMMYFUNCTION("""COMPUTED_VALUE"""),"Terminado")</f>
        <v>Terminado</v>
      </c>
      <c r="AC9" s="6">
        <f ca="1">IFERROR(__xludf.DUMMYFUNCTION("""COMPUTED_VALUE"""),42500)</f>
        <v>42500</v>
      </c>
      <c r="AD9" s="6">
        <f ca="1">IFERROR(__xludf.DUMMYFUNCTION("""COMPUTED_VALUE"""),205487)</f>
        <v>205487</v>
      </c>
      <c r="AE9" s="6" t="str">
        <f ca="1">IFERROR(__xludf.DUMMYFUNCTION("""COMPUTED_VALUE"""),"TRF 05-09")</f>
        <v>TRF 05-09</v>
      </c>
      <c r="AF9" s="38"/>
      <c r="AG9" s="38"/>
    </row>
    <row r="10" spans="1:33" ht="15.75" customHeight="1">
      <c r="B10" s="35">
        <f ca="1">IFERROR(__xludf.DUMMYFUNCTION("""COMPUTED_VALUE"""),45535.7377930671)</f>
        <v>45535.737793067099</v>
      </c>
      <c r="C10" s="36" t="str">
        <f ca="1">IFERROR(__xludf.DUMMYFUNCTION("""COMPUTED_VALUE"""),"Facundo")</f>
        <v>Facundo</v>
      </c>
      <c r="D10" s="36" t="str">
        <f ca="1">IFERROR(__xludf.DUMMYFUNCTION("""COMPUTED_VALUE"""),"Bellorini")</f>
        <v>Bellorini</v>
      </c>
      <c r="E10" s="36" t="str">
        <f ca="1">IFERROR(__xludf.DUMMYFUNCTION("""COMPUTED_VALUE"""),"CABA")</f>
        <v>CABA</v>
      </c>
      <c r="F10" s="6" t="str">
        <f ca="1">IFERROR(__xludf.DUMMYFUNCTION("""COMPUTED_VALUE"""),"ARG")</f>
        <v>ARG</v>
      </c>
      <c r="G10" s="6">
        <f ca="1">IFERROR(__xludf.DUMMYFUNCTION("""COMPUTED_VALUE"""),54454746)</f>
        <v>54454746</v>
      </c>
      <c r="H10" s="37">
        <f ca="1">IFERROR(__xludf.DUMMYFUNCTION("""COMPUTED_VALUE"""),41974)</f>
        <v>41974</v>
      </c>
      <c r="I10" s="38">
        <f ca="1">IFERROR(__xludf.DUMMYFUNCTION("""COMPUTED_VALUE"""),1159374784)</f>
        <v>1159374784</v>
      </c>
      <c r="J10" s="38" t="str">
        <f ca="1">IFERROR(__xludf.DUMMYFUNCTION("""COMPUTED_VALUE"""),"1167212950 / 1159374784")</f>
        <v>1167212950 / 1159374784</v>
      </c>
      <c r="K10" s="38" t="str">
        <f ca="1">IFERROR(__xludf.DUMMYFUNCTION("""COMPUTED_VALUE"""),"Jabellorini@gmail.com")</f>
        <v>Jabellorini@gmail.com</v>
      </c>
      <c r="L10" s="38" t="str">
        <f ca="1">IFERROR(__xludf.DUMMYFUNCTION("""COMPUTED_VALUE"""),"Masculino")</f>
        <v>Masculino</v>
      </c>
      <c r="M10" s="38" t="str">
        <f ca="1">IFERROR(__xludf.DUMMYFUNCTION("""COMPUTED_VALUE"""),"CGLNM")</f>
        <v>CGLNM</v>
      </c>
      <c r="N10" s="38" t="str">
        <f ca="1">IFERROR(__xludf.DUMMYFUNCTION("""COMPUTED_VALUE"""),"Optimist Principiantes")</f>
        <v>Optimist Principiantes</v>
      </c>
      <c r="O10" s="38" t="str">
        <f ca="1">IFERROR(__xludf.DUMMYFUNCTION("""COMPUTED_VALUE"""),"OPTIMIST PRINCIPIANTES")</f>
        <v>OPTIMIST PRINCIPIANTES</v>
      </c>
      <c r="P10" s="38"/>
      <c r="Q10" s="38">
        <f ca="1">IFERROR(__xludf.DUMMYFUNCTION("""COMPUTED_VALUE"""),3199)</f>
        <v>3199</v>
      </c>
      <c r="R10" s="38" t="str">
        <f ca="1">IFERROR(__xludf.DUMMYFUNCTION("""COMPUTED_VALUE"""),"Kraken Patito")</f>
        <v>Kraken Patito</v>
      </c>
      <c r="S10" s="38"/>
      <c r="T10" s="38"/>
      <c r="U10" s="38"/>
      <c r="V10" s="38"/>
      <c r="W10" s="38"/>
      <c r="X10" s="38"/>
      <c r="Y10" s="38" t="str">
        <f ca="1">IFERROR(__xludf.DUMMYFUNCTION("""COMPUTED_VALUE"""),"OSDE")</f>
        <v>OSDE</v>
      </c>
      <c r="Z10" s="6" t="str">
        <f ca="1">IFERROR(__xludf.DUMMYFUNCTION("""COMPUTED_VALUE"""),"No")</f>
        <v>No</v>
      </c>
      <c r="AA10" s="6" t="str">
        <f ca="1">IFERROR(__xludf.DUMMYFUNCTION("""COMPUTED_VALUE"""),"Acepto")</f>
        <v>Acepto</v>
      </c>
      <c r="AB10" s="6" t="str">
        <f ca="1">IFERROR(__xludf.DUMMYFUNCTION("""COMPUTED_VALUE"""),"Terminado")</f>
        <v>Terminado</v>
      </c>
      <c r="AC10" s="6">
        <f ca="1">IFERROR(__xludf.DUMMYFUNCTION("""COMPUTED_VALUE"""),50000)</f>
        <v>50000</v>
      </c>
      <c r="AD10" s="6">
        <f ca="1">IFERROR(__xludf.DUMMYFUNCTION("""COMPUTED_VALUE"""),205388)</f>
        <v>205388</v>
      </c>
      <c r="AE10" s="6" t="str">
        <f ca="1">IFERROR(__xludf.DUMMYFUNCTION("""COMPUTED_VALUE"""),"TRF 02-09")</f>
        <v>TRF 02-09</v>
      </c>
      <c r="AF10" s="38"/>
      <c r="AG10" s="38"/>
    </row>
    <row r="11" spans="1:33" ht="15.75" customHeight="1">
      <c r="B11" s="35">
        <f ca="1">IFERROR(__xludf.DUMMYFUNCTION("""COMPUTED_VALUE"""),45535.5411877893)</f>
        <v>45535.541187789298</v>
      </c>
      <c r="C11" s="36" t="str">
        <f ca="1">IFERROR(__xludf.DUMMYFUNCTION("""COMPUTED_VALUE"""),"Valentino")</f>
        <v>Valentino</v>
      </c>
      <c r="D11" s="36" t="str">
        <f ca="1">IFERROR(__xludf.DUMMYFUNCTION("""COMPUTED_VALUE"""),"Berardo")</f>
        <v>Berardo</v>
      </c>
      <c r="E11" s="36" t="str">
        <f ca="1">IFERROR(__xludf.DUMMYFUNCTION("""COMPUTED_VALUE"""),"Caba")</f>
        <v>Caba</v>
      </c>
      <c r="F11" s="6" t="str">
        <f ca="1">IFERROR(__xludf.DUMMYFUNCTION("""COMPUTED_VALUE"""),"ARG")</f>
        <v>ARG</v>
      </c>
      <c r="G11" s="6">
        <f ca="1">IFERROR(__xludf.DUMMYFUNCTION("""COMPUTED_VALUE"""),54429903)</f>
        <v>54429903</v>
      </c>
      <c r="H11" s="37">
        <f ca="1">IFERROR(__xludf.DUMMYFUNCTION("""COMPUTED_VALUE"""),40813)</f>
        <v>40813</v>
      </c>
      <c r="I11" s="38">
        <f ca="1">IFERROR(__xludf.DUMMYFUNCTION("""COMPUTED_VALUE"""),1158178323)</f>
        <v>1158178323</v>
      </c>
      <c r="J11" s="38">
        <f ca="1">IFERROR(__xludf.DUMMYFUNCTION("""COMPUTED_VALUE"""),1158178323)</f>
        <v>1158178323</v>
      </c>
      <c r="K11" s="38" t="str">
        <f ca="1">IFERROR(__xludf.DUMMYFUNCTION("""COMPUTED_VALUE"""),"Leandro_berardo@hotmail.com")</f>
        <v>Leandro_berardo@hotmail.com</v>
      </c>
      <c r="L11" s="38" t="str">
        <f ca="1">IFERROR(__xludf.DUMMYFUNCTION("""COMPUTED_VALUE"""),"Masculino")</f>
        <v>Masculino</v>
      </c>
      <c r="M11" s="38" t="str">
        <f ca="1">IFERROR(__xludf.DUMMYFUNCTION("""COMPUTED_VALUE"""),"Cpnlb ")</f>
        <v xml:space="preserve">Cpnlb </v>
      </c>
      <c r="N11" s="38"/>
      <c r="O11" s="38" t="str">
        <f ca="1">IFERROR(__xludf.DUMMYFUNCTION("""COMPUTED_VALUE"""),"OPTIMIST PRINCIPIANTES")</f>
        <v>OPTIMIST PRINCIPIANTES</v>
      </c>
      <c r="P11" s="38"/>
      <c r="Q11" s="38">
        <f ca="1">IFERROR(__xludf.DUMMYFUNCTION("""COMPUTED_VALUE"""),3998)</f>
        <v>3998</v>
      </c>
      <c r="R11" s="38" t="str">
        <f ca="1">IFERROR(__xludf.DUMMYFUNCTION("""COMPUTED_VALUE"""),"Il capo")</f>
        <v>Il capo</v>
      </c>
      <c r="S11" s="38"/>
      <c r="T11" s="38"/>
      <c r="U11" s="38"/>
      <c r="V11" s="38"/>
      <c r="W11" s="38"/>
      <c r="X11" s="38"/>
      <c r="Y11" s="38">
        <f ca="1">IFERROR(__xludf.DUMMYFUNCTION("""COMPUTED_VALUE"""),934348981403)</f>
        <v>934348981403</v>
      </c>
      <c r="Z11" s="6" t="str">
        <f ca="1">IFERROR(__xludf.DUMMYFUNCTION("""COMPUTED_VALUE"""),"Si")</f>
        <v>Si</v>
      </c>
      <c r="AA11" s="6" t="str">
        <f ca="1">IFERROR(__xludf.DUMMYFUNCTION("""COMPUTED_VALUE"""),"Acepto")</f>
        <v>Acepto</v>
      </c>
      <c r="AB11" s="6" t="str">
        <f ca="1">IFERROR(__xludf.DUMMYFUNCTION("""COMPUTED_VALUE"""),"Terminado")</f>
        <v>Terminado</v>
      </c>
      <c r="AC11" s="6">
        <f ca="1">IFERROR(__xludf.DUMMYFUNCTION("""COMPUTED_VALUE"""),50000)</f>
        <v>50000</v>
      </c>
      <c r="AD11" s="6">
        <f ca="1">IFERROR(__xludf.DUMMYFUNCTION("""COMPUTED_VALUE"""),205355)</f>
        <v>205355</v>
      </c>
      <c r="AE11" s="6" t="str">
        <f ca="1">IFERROR(__xludf.DUMMYFUNCTION("""COMPUTED_VALUE"""),"TRF 30-08")</f>
        <v>TRF 30-08</v>
      </c>
      <c r="AF11" s="38"/>
      <c r="AG11" s="38"/>
    </row>
    <row r="12" spans="1:33" ht="15.75" customHeight="1">
      <c r="B12" s="35">
        <f ca="1">IFERROR(__xludf.DUMMYFUNCTION("""COMPUTED_VALUE"""),45539.3932321296)</f>
        <v>45539.393232129602</v>
      </c>
      <c r="C12" s="36" t="str">
        <f ca="1">IFERROR(__xludf.DUMMYFUNCTION("""COMPUTED_VALUE"""),"Francisco ")</f>
        <v xml:space="preserve">Francisco </v>
      </c>
      <c r="D12" s="36" t="str">
        <f ca="1">IFERROR(__xludf.DUMMYFUNCTION("""COMPUTED_VALUE"""),"Berini")</f>
        <v>Berini</v>
      </c>
      <c r="E12" s="36" t="str">
        <f ca="1">IFERROR(__xludf.DUMMYFUNCTION("""COMPUTED_VALUE"""),"Victoria")</f>
        <v>Victoria</v>
      </c>
      <c r="F12" s="6" t="str">
        <f ca="1">IFERROR(__xludf.DUMMYFUNCTION("""COMPUTED_VALUE"""),"ARG")</f>
        <v>ARG</v>
      </c>
      <c r="G12" s="6">
        <f ca="1">IFERROR(__xludf.DUMMYFUNCTION("""COMPUTED_VALUE"""),53168231)</f>
        <v>53168231</v>
      </c>
      <c r="H12" s="37">
        <f ca="1">IFERROR(__xludf.DUMMYFUNCTION("""COMPUTED_VALUE"""),41405)</f>
        <v>41405</v>
      </c>
      <c r="I12" s="38">
        <f ca="1">IFERROR(__xludf.DUMMYFUNCTION("""COMPUTED_VALUE"""),1163639966)</f>
        <v>1163639966</v>
      </c>
      <c r="J12" s="38">
        <f ca="1">IFERROR(__xludf.DUMMYFUNCTION("""COMPUTED_VALUE"""),1163639966)</f>
        <v>1163639966</v>
      </c>
      <c r="K12" s="38" t="str">
        <f ca="1">IFERROR(__xludf.DUMMYFUNCTION("""COMPUTED_VALUE"""),"patolonero@gmail.com")</f>
        <v>patolonero@gmail.com</v>
      </c>
      <c r="L12" s="38" t="str">
        <f ca="1">IFERROR(__xludf.DUMMYFUNCTION("""COMPUTED_VALUE"""),"Masculino")</f>
        <v>Masculino</v>
      </c>
      <c r="M12" s="38" t="str">
        <f ca="1">IFERROR(__xludf.DUMMYFUNCTION("""COMPUTED_VALUE"""),"Cvb")</f>
        <v>Cvb</v>
      </c>
      <c r="N12" s="38"/>
      <c r="O12" s="38" t="str">
        <f ca="1">IFERROR(__xludf.DUMMYFUNCTION("""COMPUTED_VALUE"""),"OPTIMIST PRINCIPIANTES")</f>
        <v>OPTIMIST PRINCIPIANTES</v>
      </c>
      <c r="P12" s="38"/>
      <c r="Q12" s="38">
        <f ca="1">IFERROR(__xludf.DUMMYFUNCTION("""COMPUTED_VALUE"""),4058)</f>
        <v>4058</v>
      </c>
      <c r="R12" s="38"/>
      <c r="S12" s="38"/>
      <c r="T12" s="38"/>
      <c r="U12" s="38"/>
      <c r="V12" s="38"/>
      <c r="W12" s="38"/>
      <c r="X12" s="38"/>
      <c r="Y12" s="38" t="str">
        <f ca="1">IFERROR(__xludf.DUMMYFUNCTION("""COMPUTED_VALUE"""),"No tiene ")</f>
        <v xml:space="preserve">No tiene </v>
      </c>
      <c r="Z12" s="6" t="str">
        <f ca="1">IFERROR(__xludf.DUMMYFUNCTION("""COMPUTED_VALUE"""),"No")</f>
        <v>No</v>
      </c>
      <c r="AA12" s="6" t="str">
        <f ca="1">IFERROR(__xludf.DUMMYFUNCTION("""COMPUTED_VALUE"""),"Acepto")</f>
        <v>Acepto</v>
      </c>
      <c r="AB12" s="6" t="str">
        <f ca="1">IFERROR(__xludf.DUMMYFUNCTION("""COMPUTED_VALUE"""),"Terminado")</f>
        <v>Terminado</v>
      </c>
      <c r="AC12" s="6">
        <f ca="1">IFERROR(__xludf.DUMMYFUNCTION("""COMPUTED_VALUE"""),50000)</f>
        <v>50000</v>
      </c>
      <c r="AD12" s="6">
        <f ca="1">IFERROR(__xludf.DUMMYFUNCTION("""COMPUTED_VALUE"""),205435)</f>
        <v>205435</v>
      </c>
      <c r="AE12" s="6" t="str">
        <f ca="1">IFERROR(__xludf.DUMMYFUNCTION("""COMPUTED_VALUE"""),"TRF 04-09")</f>
        <v>TRF 04-09</v>
      </c>
      <c r="AF12" s="38"/>
      <c r="AG12" s="38"/>
    </row>
    <row r="13" spans="1:33" ht="15.75" customHeight="1">
      <c r="B13" s="35">
        <f ca="1">IFERROR(__xludf.DUMMYFUNCTION("""COMPUTED_VALUE"""),45533.7192240046)</f>
        <v>45533.719224004599</v>
      </c>
      <c r="C13" s="36" t="str">
        <f ca="1">IFERROR(__xludf.DUMMYFUNCTION("""COMPUTED_VALUE"""),"Azul")</f>
        <v>Azul</v>
      </c>
      <c r="D13" s="36" t="str">
        <f ca="1">IFERROR(__xludf.DUMMYFUNCTION("""COMPUTED_VALUE"""),"Biasi")</f>
        <v>Biasi</v>
      </c>
      <c r="E13" s="36" t="str">
        <f ca="1">IFERROR(__xludf.DUMMYFUNCTION("""COMPUTED_VALUE"""),"CABA")</f>
        <v>CABA</v>
      </c>
      <c r="F13" s="6" t="str">
        <f ca="1">IFERROR(__xludf.DUMMYFUNCTION("""COMPUTED_VALUE"""),"ARG")</f>
        <v>ARG</v>
      </c>
      <c r="G13" s="6">
        <f ca="1">IFERROR(__xludf.DUMMYFUNCTION("""COMPUTED_VALUE"""),53240699)</f>
        <v>53240699</v>
      </c>
      <c r="H13" s="37">
        <f ca="1">IFERROR(__xludf.DUMMYFUNCTION("""COMPUTED_VALUE"""),41423)</f>
        <v>41423</v>
      </c>
      <c r="I13" s="38">
        <f ca="1">IFERROR(__xludf.DUMMYFUNCTION("""COMPUTED_VALUE"""),1121700524)</f>
        <v>1121700524</v>
      </c>
      <c r="J13" s="38">
        <f ca="1">IFERROR(__xludf.DUMMYFUNCTION("""COMPUTED_VALUE"""),1121700524)</f>
        <v>1121700524</v>
      </c>
      <c r="K13" s="38" t="str">
        <f ca="1">IFERROR(__xludf.DUMMYFUNCTION("""COMPUTED_VALUE"""),"telizalde@gmail.com")</f>
        <v>telizalde@gmail.com</v>
      </c>
      <c r="L13" s="38" t="str">
        <f ca="1">IFERROR(__xludf.DUMMYFUNCTION("""COMPUTED_VALUE"""),"Femenino")</f>
        <v>Femenino</v>
      </c>
      <c r="M13" s="38" t="str">
        <f ca="1">IFERROR(__xludf.DUMMYFUNCTION("""COMPUTED_VALUE"""),"YCA")</f>
        <v>YCA</v>
      </c>
      <c r="N13" s="38" t="str">
        <f ca="1">IFERROR(__xludf.DUMMYFUNCTION("""COMPUTED_VALUE"""),"Femenino")</f>
        <v>Femenino</v>
      </c>
      <c r="O13" s="38" t="str">
        <f ca="1">IFERROR(__xludf.DUMMYFUNCTION("""COMPUTED_VALUE"""),"OPTIMIST PRINCIPIANTES")</f>
        <v>OPTIMIST PRINCIPIANTES</v>
      </c>
      <c r="P13" s="38"/>
      <c r="Q13" s="38">
        <f ca="1">IFERROR(__xludf.DUMMYFUNCTION("""COMPUTED_VALUE"""),3228)</f>
        <v>3228</v>
      </c>
      <c r="R13" s="38" t="str">
        <f ca="1">IFERROR(__xludf.DUMMYFUNCTION("""COMPUTED_VALUE"""),"-")</f>
        <v>-</v>
      </c>
      <c r="S13" s="38"/>
      <c r="T13" s="38"/>
      <c r="U13" s="38"/>
      <c r="V13" s="38"/>
      <c r="W13" s="38"/>
      <c r="X13" s="38"/>
      <c r="Y13" s="38" t="str">
        <f ca="1">IFERROR(__xludf.DUMMYFUNCTION("""COMPUTED_VALUE"""),"OSDE 61360212803")</f>
        <v>OSDE 61360212803</v>
      </c>
      <c r="Z13" s="6" t="str">
        <f ca="1">IFERROR(__xludf.DUMMYFUNCTION("""COMPUTED_VALUE"""),"No")</f>
        <v>No</v>
      </c>
      <c r="AA13" s="6" t="str">
        <f ca="1">IFERROR(__xludf.DUMMYFUNCTION("""COMPUTED_VALUE"""),"Acepto")</f>
        <v>Acepto</v>
      </c>
      <c r="AB13" s="6" t="str">
        <f ca="1">IFERROR(__xludf.DUMMYFUNCTION("""COMPUTED_VALUE"""),"Terminado")</f>
        <v>Terminado</v>
      </c>
      <c r="AC13" s="6">
        <f ca="1">IFERROR(__xludf.DUMMYFUNCTION("""COMPUTED_VALUE"""),50000)</f>
        <v>50000</v>
      </c>
      <c r="AD13" s="6">
        <f ca="1">IFERROR(__xludf.DUMMYFUNCTION("""COMPUTED_VALUE"""),205081)</f>
        <v>205081</v>
      </c>
      <c r="AE13" s="6" t="str">
        <f ca="1">IFERROR(__xludf.DUMMYFUNCTION("""COMPUTED_VALUE"""),"TRF 29-08")</f>
        <v>TRF 29-08</v>
      </c>
      <c r="AF13" s="38"/>
      <c r="AG13" s="38"/>
    </row>
    <row r="14" spans="1:33" ht="15.75" customHeight="1">
      <c r="B14" s="35">
        <f ca="1">IFERROR(__xludf.DUMMYFUNCTION("""COMPUTED_VALUE"""),45535.4088550925)</f>
        <v>45535.408855092501</v>
      </c>
      <c r="C14" s="36" t="str">
        <f ca="1">IFERROR(__xludf.DUMMYFUNCTION("""COMPUTED_VALUE"""),"Tizziano")</f>
        <v>Tizziano</v>
      </c>
      <c r="D14" s="36" t="str">
        <f ca="1">IFERROR(__xludf.DUMMYFUNCTION("""COMPUTED_VALUE"""),"Bieler")</f>
        <v>Bieler</v>
      </c>
      <c r="E14" s="36" t="str">
        <f ca="1">IFERROR(__xludf.DUMMYFUNCTION("""COMPUTED_VALUE"""),"Santa Fe")</f>
        <v>Santa Fe</v>
      </c>
      <c r="F14" s="6" t="str">
        <f ca="1">IFERROR(__xludf.DUMMYFUNCTION("""COMPUTED_VALUE"""),"ARG")</f>
        <v>ARG</v>
      </c>
      <c r="G14" s="6">
        <f ca="1">IFERROR(__xludf.DUMMYFUNCTION("""COMPUTED_VALUE"""),53801029)</f>
        <v>53801029</v>
      </c>
      <c r="H14" s="37">
        <f ca="1">IFERROR(__xludf.DUMMYFUNCTION("""COMPUTED_VALUE"""),41684)</f>
        <v>41684</v>
      </c>
      <c r="I14" s="38">
        <f ca="1">IFERROR(__xludf.DUMMYFUNCTION("""COMPUTED_VALUE"""),3424403334)</f>
        <v>3424403334</v>
      </c>
      <c r="J14" s="38">
        <f ca="1">IFERROR(__xludf.DUMMYFUNCTION("""COMPUTED_VALUE"""),3424403334)</f>
        <v>3424403334</v>
      </c>
      <c r="K14" s="38" t="str">
        <f ca="1">IFERROR(__xludf.DUMMYFUNCTION("""COMPUTED_VALUE"""),"cariolalla@yahoo.com")</f>
        <v>cariolalla@yahoo.com</v>
      </c>
      <c r="L14" s="38" t="str">
        <f ca="1">IFERROR(__xludf.DUMMYFUNCTION("""COMPUTED_VALUE"""),"Masculino")</f>
        <v>Masculino</v>
      </c>
      <c r="M14" s="38" t="str">
        <f ca="1">IFERROR(__xludf.DUMMYFUNCTION("""COMPUTED_VALUE"""),"YCO / CNP")</f>
        <v>YCO / CNP</v>
      </c>
      <c r="N14" s="38" t="str">
        <f ca="1">IFERROR(__xludf.DUMMYFUNCTION("""COMPUTED_VALUE"""),"Interior (Optimist)")</f>
        <v>Interior (Optimist)</v>
      </c>
      <c r="O14" s="38" t="str">
        <f ca="1">IFERROR(__xludf.DUMMYFUNCTION("""COMPUTED_VALUE"""),"OPTIMIST PRINCIPIANTES")</f>
        <v>OPTIMIST PRINCIPIANTES</v>
      </c>
      <c r="P14" s="38"/>
      <c r="Q14" s="38">
        <f ca="1">IFERROR(__xludf.DUMMYFUNCTION("""COMPUTED_VALUE"""),3880)</f>
        <v>3880</v>
      </c>
      <c r="R14" s="38"/>
      <c r="S14" s="38"/>
      <c r="T14" s="38"/>
      <c r="U14" s="38"/>
      <c r="V14" s="38"/>
      <c r="W14" s="38"/>
      <c r="X14" s="38"/>
      <c r="Y14" s="38" t="str">
        <f ca="1">IFERROR(__xludf.DUMMYFUNCTION("""COMPUTED_VALUE"""),"SANATORIO SANTA FE 94702")</f>
        <v>SANATORIO SANTA FE 94702</v>
      </c>
      <c r="Z14" s="6" t="str">
        <f ca="1">IFERROR(__xludf.DUMMYFUNCTION("""COMPUTED_VALUE"""),"Si")</f>
        <v>Si</v>
      </c>
      <c r="AA14" s="6" t="str">
        <f ca="1">IFERROR(__xludf.DUMMYFUNCTION("""COMPUTED_VALUE"""),"Acepto")</f>
        <v>Acepto</v>
      </c>
      <c r="AB14" s="6" t="str">
        <f ca="1">IFERROR(__xludf.DUMMYFUNCTION("""COMPUTED_VALUE"""),"Terminado")</f>
        <v>Terminado</v>
      </c>
      <c r="AC14" s="6">
        <f ca="1">IFERROR(__xludf.DUMMYFUNCTION("""COMPUTED_VALUE"""),50000)</f>
        <v>50000</v>
      </c>
      <c r="AD14" s="6">
        <f ca="1">IFERROR(__xludf.DUMMYFUNCTION("""COMPUTED_VALUE"""),205110)</f>
        <v>205110</v>
      </c>
      <c r="AE14" s="6" t="str">
        <f ca="1">IFERROR(__xludf.DUMMYFUNCTION("""COMPUTED_VALUE"""),"Tarj 31-08")</f>
        <v>Tarj 31-08</v>
      </c>
      <c r="AF14" s="38"/>
      <c r="AG14" s="38"/>
    </row>
    <row r="15" spans="1:33" ht="15.75" customHeight="1">
      <c r="B15" s="35">
        <f ca="1">IFERROR(__xludf.DUMMYFUNCTION("""COMPUTED_VALUE"""),45537.8056501967)</f>
        <v>45537.8056501967</v>
      </c>
      <c r="C15" s="36" t="str">
        <f ca="1">IFERROR(__xludf.DUMMYFUNCTION("""COMPUTED_VALUE"""),"Martín")</f>
        <v>Martín</v>
      </c>
      <c r="D15" s="36" t="str">
        <f ca="1">IFERROR(__xludf.DUMMYFUNCTION("""COMPUTED_VALUE"""),"Böhm")</f>
        <v>Böhm</v>
      </c>
      <c r="E15" s="36" t="str">
        <f ca="1">IFERROR(__xludf.DUMMYFUNCTION("""COMPUTED_VALUE"""),"Buenos Aires")</f>
        <v>Buenos Aires</v>
      </c>
      <c r="F15" s="6" t="str">
        <f ca="1">IFERROR(__xludf.DUMMYFUNCTION("""COMPUTED_VALUE"""),"ARG")</f>
        <v>ARG</v>
      </c>
      <c r="G15" s="6">
        <f ca="1">IFERROR(__xludf.DUMMYFUNCTION("""COMPUTED_VALUE"""),51071134)</f>
        <v>51071134</v>
      </c>
      <c r="H15" s="37">
        <f ca="1">IFERROR(__xludf.DUMMYFUNCTION("""COMPUTED_VALUE"""),40620)</f>
        <v>40620</v>
      </c>
      <c r="I15" s="38" t="str">
        <f ca="1">IFERROR(__xludf.DUMMYFUNCTION("""COMPUTED_VALUE"""),"011 3181 3486")</f>
        <v>011 3181 3486</v>
      </c>
      <c r="J15" s="38" t="str">
        <f ca="1">IFERROR(__xludf.DUMMYFUNCTION("""COMPUTED_VALUE"""),"011 3521 9706")</f>
        <v>011 3521 9706</v>
      </c>
      <c r="K15" s="38" t="str">
        <f ca="1">IFERROR(__xludf.DUMMYFUNCTION("""COMPUTED_VALUE"""),"norberto@boehm.com.ar")</f>
        <v>norberto@boehm.com.ar</v>
      </c>
      <c r="L15" s="38" t="str">
        <f ca="1">IFERROR(__xludf.DUMMYFUNCTION("""COMPUTED_VALUE"""),"Masculino")</f>
        <v>Masculino</v>
      </c>
      <c r="M15" s="38" t="str">
        <f ca="1">IFERROR(__xludf.DUMMYFUNCTION("""COMPUTED_VALUE"""),"CNO")</f>
        <v>CNO</v>
      </c>
      <c r="N15" s="38"/>
      <c r="O15" s="38" t="str">
        <f ca="1">IFERROR(__xludf.DUMMYFUNCTION("""COMPUTED_VALUE"""),"OPTIMIST PRINCIPIANTES")</f>
        <v>OPTIMIST PRINCIPIANTES</v>
      </c>
      <c r="P15" s="38">
        <f ca="1">IFERROR(__xludf.DUMMYFUNCTION("""COMPUTED_VALUE"""),9)</f>
        <v>9</v>
      </c>
      <c r="Q15" s="38">
        <f ca="1">IFERROR(__xludf.DUMMYFUNCTION("""COMPUTED_VALUE"""),343)</f>
        <v>343</v>
      </c>
      <c r="R15" s="38" t="str">
        <f ca="1">IFERROR(__xludf.DUMMYFUNCTION("""COMPUTED_VALUE"""),"Speed Racer")</f>
        <v>Speed Racer</v>
      </c>
      <c r="S15" s="38"/>
      <c r="T15" s="38"/>
      <c r="U15" s="38"/>
      <c r="V15" s="38"/>
      <c r="W15" s="38"/>
      <c r="X15" s="38"/>
      <c r="Y15" s="38" t="str">
        <f ca="1">IFERROR(__xludf.DUMMYFUNCTION("""COMPUTED_VALUE"""),"OSDE 60 920464 4 04")</f>
        <v>OSDE 60 920464 4 04</v>
      </c>
      <c r="Z15" s="6" t="str">
        <f ca="1">IFERROR(__xludf.DUMMYFUNCTION("""COMPUTED_VALUE"""),"No")</f>
        <v>No</v>
      </c>
      <c r="AA15" s="6" t="str">
        <f ca="1">IFERROR(__xludf.DUMMYFUNCTION("""COMPUTED_VALUE"""),"Acepto")</f>
        <v>Acepto</v>
      </c>
      <c r="AB15" s="6" t="str">
        <f ca="1">IFERROR(__xludf.DUMMYFUNCTION("""COMPUTED_VALUE"""),"Terminado")</f>
        <v>Terminado</v>
      </c>
      <c r="AC15" s="6">
        <f ca="1">IFERROR(__xludf.DUMMYFUNCTION("""COMPUTED_VALUE"""),50000)</f>
        <v>50000</v>
      </c>
      <c r="AD15" s="6">
        <f ca="1">IFERROR(__xludf.DUMMYFUNCTION("""COMPUTED_VALUE"""),205405)</f>
        <v>205405</v>
      </c>
      <c r="AE15" s="6" t="str">
        <f ca="1">IFERROR(__xludf.DUMMYFUNCTION("""COMPUTED_VALUE"""),"TRF 02-09")</f>
        <v>TRF 02-09</v>
      </c>
      <c r="AF15" s="38"/>
      <c r="AG15" s="38"/>
    </row>
    <row r="16" spans="1:33" ht="15.75" customHeight="1">
      <c r="B16" s="35">
        <f ca="1">IFERROR(__xludf.DUMMYFUNCTION("""COMPUTED_VALUE"""),45534.7911294097)</f>
        <v>45534.791129409699</v>
      </c>
      <c r="C16" s="36" t="str">
        <f ca="1">IFERROR(__xludf.DUMMYFUNCTION("""COMPUTED_VALUE"""),"Olivia")</f>
        <v>Olivia</v>
      </c>
      <c r="D16" s="36" t="str">
        <f ca="1">IFERROR(__xludf.DUMMYFUNCTION("""COMPUTED_VALUE"""),"Brunetta")</f>
        <v>Brunetta</v>
      </c>
      <c r="E16" s="36" t="str">
        <f ca="1">IFERROR(__xludf.DUMMYFUNCTION("""COMPUTED_VALUE"""),"San Isidro")</f>
        <v>San Isidro</v>
      </c>
      <c r="F16" s="6" t="str">
        <f ca="1">IFERROR(__xludf.DUMMYFUNCTION("""COMPUTED_VALUE"""),"ARG")</f>
        <v>ARG</v>
      </c>
      <c r="G16" s="6">
        <f ca="1">IFERROR(__xludf.DUMMYFUNCTION("""COMPUTED_VALUE"""),53586158)</f>
        <v>53586158</v>
      </c>
      <c r="H16" s="37">
        <f ca="1">IFERROR(__xludf.DUMMYFUNCTION("""COMPUTED_VALUE"""),41576)</f>
        <v>41576</v>
      </c>
      <c r="I16" s="38">
        <f ca="1">IFERROR(__xludf.DUMMYFUNCTION("""COMPUTED_VALUE"""),1157996370)</f>
        <v>1157996370</v>
      </c>
      <c r="J16" s="38">
        <f ca="1">IFERROR(__xludf.DUMMYFUNCTION("""COMPUTED_VALUE"""),1140609749)</f>
        <v>1140609749</v>
      </c>
      <c r="K16" s="38" t="str">
        <f ca="1">IFERROR(__xludf.DUMMYFUNCTION("""COMPUTED_VALUE"""),"Andres_brunetta@yahoo.com")</f>
        <v>Andres_brunetta@yahoo.com</v>
      </c>
      <c r="L16" s="38" t="str">
        <f ca="1">IFERROR(__xludf.DUMMYFUNCTION("""COMPUTED_VALUE"""),"Femenino")</f>
        <v>Femenino</v>
      </c>
      <c r="M16" s="38" t="str">
        <f ca="1">IFERROR(__xludf.DUMMYFUNCTION("""COMPUTED_VALUE"""),"CNSI")</f>
        <v>CNSI</v>
      </c>
      <c r="N16" s="38" t="str">
        <f ca="1">IFERROR(__xludf.DUMMYFUNCTION("""COMPUTED_VALUE"""),"Femenino")</f>
        <v>Femenino</v>
      </c>
      <c r="O16" s="38" t="str">
        <f ca="1">IFERROR(__xludf.DUMMYFUNCTION("""COMPUTED_VALUE"""),"OPTIMIST PRINCIPIANTES")</f>
        <v>OPTIMIST PRINCIPIANTES</v>
      </c>
      <c r="P16" s="38"/>
      <c r="Q16" s="38">
        <f ca="1">IFERROR(__xludf.DUMMYFUNCTION("""COMPUTED_VALUE"""),3480)</f>
        <v>3480</v>
      </c>
      <c r="R16" s="38" t="str">
        <f ca="1">IFERROR(__xludf.DUMMYFUNCTION("""COMPUTED_VALUE"""),"Garritas")</f>
        <v>Garritas</v>
      </c>
      <c r="S16" s="38"/>
      <c r="T16" s="38"/>
      <c r="U16" s="38"/>
      <c r="V16" s="38"/>
      <c r="W16" s="38"/>
      <c r="X16" s="38"/>
      <c r="Y16" s="38" t="str">
        <f ca="1">IFERROR(__xludf.DUMMYFUNCTION("""COMPUTED_VALUE"""),"Osde410  60755505904")</f>
        <v>Osde410  60755505904</v>
      </c>
      <c r="Z16" s="6" t="str">
        <f ca="1">IFERROR(__xludf.DUMMYFUNCTION("""COMPUTED_VALUE"""),"Si")</f>
        <v>Si</v>
      </c>
      <c r="AA16" s="6" t="str">
        <f ca="1">IFERROR(__xludf.DUMMYFUNCTION("""COMPUTED_VALUE"""),"Acepto")</f>
        <v>Acepto</v>
      </c>
      <c r="AB16" s="6" t="str">
        <f ca="1">IFERROR(__xludf.DUMMYFUNCTION("""COMPUTED_VALUE"""),"Terminado")</f>
        <v>Terminado</v>
      </c>
      <c r="AC16" s="6">
        <f ca="1">IFERROR(__xludf.DUMMYFUNCTION("""COMPUTED_VALUE"""),50000)</f>
        <v>50000</v>
      </c>
      <c r="AD16" s="6">
        <f ca="1">IFERROR(__xludf.DUMMYFUNCTION("""COMPUTED_VALUE"""),205129)</f>
        <v>205129</v>
      </c>
      <c r="AE16" s="6" t="str">
        <f ca="1">IFERROR(__xludf.DUMMYFUNCTION("""COMPUTED_VALUE"""),"TRF 30-08")</f>
        <v>TRF 30-08</v>
      </c>
      <c r="AF16" s="38"/>
      <c r="AG16" s="38"/>
    </row>
    <row r="17" spans="2:33" ht="15.75" customHeight="1">
      <c r="B17" s="35">
        <f ca="1">IFERROR(__xludf.DUMMYFUNCTION("""COMPUTED_VALUE"""),45534.4447268055)</f>
        <v>45534.444726805501</v>
      </c>
      <c r="C17" s="36" t="str">
        <f ca="1">IFERROR(__xludf.DUMMYFUNCTION("""COMPUTED_VALUE"""),"Lucas")</f>
        <v>Lucas</v>
      </c>
      <c r="D17" s="36" t="str">
        <f ca="1">IFERROR(__xludf.DUMMYFUNCTION("""COMPUTED_VALUE"""),"Calvo")</f>
        <v>Calvo</v>
      </c>
      <c r="E17" s="36" t="str">
        <f ca="1">IFERROR(__xludf.DUMMYFUNCTION("""COMPUTED_VALUE"""),"Victoria")</f>
        <v>Victoria</v>
      </c>
      <c r="F17" s="6" t="str">
        <f ca="1">IFERROR(__xludf.DUMMYFUNCTION("""COMPUTED_VALUE"""),"ARG")</f>
        <v>ARG</v>
      </c>
      <c r="G17" s="6">
        <f ca="1">IFERROR(__xludf.DUMMYFUNCTION("""COMPUTED_VALUE"""),54520706)</f>
        <v>54520706</v>
      </c>
      <c r="H17" s="37">
        <f ca="1">IFERROR(__xludf.DUMMYFUNCTION("""COMPUTED_VALUE"""),42012)</f>
        <v>42012</v>
      </c>
      <c r="I17" s="38">
        <f ca="1">IFERROR(__xludf.DUMMYFUNCTION("""COMPUTED_VALUE"""),91159278173)</f>
        <v>91159278173</v>
      </c>
      <c r="J17" s="38">
        <f ca="1">IFERROR(__xludf.DUMMYFUNCTION("""COMPUTED_VALUE"""),91159278173)</f>
        <v>91159278173</v>
      </c>
      <c r="K17" s="38" t="str">
        <f ca="1">IFERROR(__xludf.DUMMYFUNCTION("""COMPUTED_VALUE"""),"sabhidalgo21@gmail.com")</f>
        <v>sabhidalgo21@gmail.com</v>
      </c>
      <c r="L17" s="38" t="str">
        <f ca="1">IFERROR(__xludf.DUMMYFUNCTION("""COMPUTED_VALUE"""),"Masculino")</f>
        <v>Masculino</v>
      </c>
      <c r="M17" s="38" t="str">
        <f ca="1">IFERROR(__xludf.DUMMYFUNCTION("""COMPUTED_VALUE"""),"CVB")</f>
        <v>CVB</v>
      </c>
      <c r="N17" s="38" t="str">
        <f ca="1">IFERROR(__xludf.DUMMYFUNCTION("""COMPUTED_VALUE"""),"Interior (Optimist)")</f>
        <v>Interior (Optimist)</v>
      </c>
      <c r="O17" s="38" t="str">
        <f ca="1">IFERROR(__xludf.DUMMYFUNCTION("""COMPUTED_VALUE"""),"OPTIMIST PRINCIPIANTES")</f>
        <v>OPTIMIST PRINCIPIANTES</v>
      </c>
      <c r="P17" s="38"/>
      <c r="Q17" s="38">
        <f ca="1">IFERROR(__xludf.DUMMYFUNCTION("""COMPUTED_VALUE"""),4056)</f>
        <v>4056</v>
      </c>
      <c r="R17" s="38"/>
      <c r="S17" s="38"/>
      <c r="T17" s="38"/>
      <c r="U17" s="38"/>
      <c r="V17" s="38"/>
      <c r="W17" s="38"/>
      <c r="X17" s="38"/>
      <c r="Y17" s="38" t="str">
        <f ca="1">IFERROR(__xludf.DUMMYFUNCTION("""COMPUTED_VALUE"""),"61 790187 1 04")</f>
        <v>61 790187 1 04</v>
      </c>
      <c r="Z17" s="6" t="str">
        <f ca="1">IFERROR(__xludf.DUMMYFUNCTION("""COMPUTED_VALUE"""),"No")</f>
        <v>No</v>
      </c>
      <c r="AA17" s="6" t="str">
        <f ca="1">IFERROR(__xludf.DUMMYFUNCTION("""COMPUTED_VALUE"""),"Acepto")</f>
        <v>Acepto</v>
      </c>
      <c r="AB17" s="6" t="str">
        <f ca="1">IFERROR(__xludf.DUMMYFUNCTION("""COMPUTED_VALUE"""),"Terminado")</f>
        <v>Terminado</v>
      </c>
      <c r="AC17" s="6">
        <f ca="1">IFERROR(__xludf.DUMMYFUNCTION("""COMPUTED_VALUE"""),50000)</f>
        <v>50000</v>
      </c>
      <c r="AD17" s="6">
        <f ca="1">IFERROR(__xludf.DUMMYFUNCTION("""COMPUTED_VALUE"""),205086)</f>
        <v>205086</v>
      </c>
      <c r="AE17" s="6" t="str">
        <f ca="1">IFERROR(__xludf.DUMMYFUNCTION("""COMPUTED_VALUE"""),"Tarj 30-8")</f>
        <v>Tarj 30-8</v>
      </c>
      <c r="AF17" s="38"/>
      <c r="AG17" s="38"/>
    </row>
    <row r="18" spans="2:33" ht="15.75" customHeight="1">
      <c r="B18" s="35">
        <f ca="1">IFERROR(__xludf.DUMMYFUNCTION("""COMPUTED_VALUE"""),45534.4018260069)</f>
        <v>45534.401826006899</v>
      </c>
      <c r="C18" s="36" t="str">
        <f ca="1">IFERROR(__xludf.DUMMYFUNCTION("""COMPUTED_VALUE"""),"Federico Andres")</f>
        <v>Federico Andres</v>
      </c>
      <c r="D18" s="36" t="str">
        <f ca="1">IFERROR(__xludf.DUMMYFUNCTION("""COMPUTED_VALUE"""),"Castelo")</f>
        <v>Castelo</v>
      </c>
      <c r="E18" s="36" t="str">
        <f ca="1">IFERROR(__xludf.DUMMYFUNCTION("""COMPUTED_VALUE"""),"Bs As")</f>
        <v>Bs As</v>
      </c>
      <c r="F18" s="6" t="str">
        <f ca="1">IFERROR(__xludf.DUMMYFUNCTION("""COMPUTED_VALUE"""),"ARG")</f>
        <v>ARG</v>
      </c>
      <c r="G18" s="6">
        <f ca="1">IFERROR(__xludf.DUMMYFUNCTION("""COMPUTED_VALUE"""),51478193)</f>
        <v>51478193</v>
      </c>
      <c r="H18" s="37">
        <f ca="1">IFERROR(__xludf.DUMMYFUNCTION("""COMPUTED_VALUE"""),40872)</f>
        <v>40872</v>
      </c>
      <c r="I18" s="38">
        <f ca="1">IFERROR(__xludf.DUMMYFUNCTION("""COMPUTED_VALUE"""),1551210919)</f>
        <v>1551210919</v>
      </c>
      <c r="J18" s="38">
        <f ca="1">IFERROR(__xludf.DUMMYFUNCTION("""COMPUTED_VALUE"""),1551210919)</f>
        <v>1551210919</v>
      </c>
      <c r="K18" s="38" t="str">
        <f ca="1">IFERROR(__xludf.DUMMYFUNCTION("""COMPUTED_VALUE"""),"estudiocastelo@hotmail.com")</f>
        <v>estudiocastelo@hotmail.com</v>
      </c>
      <c r="L18" s="38" t="str">
        <f ca="1">IFERROR(__xludf.DUMMYFUNCTION("""COMPUTED_VALUE"""),"Masculino")</f>
        <v>Masculino</v>
      </c>
      <c r="M18" s="38" t="str">
        <f ca="1">IFERROR(__xludf.DUMMYFUNCTION("""COMPUTED_VALUE"""),"CPNLB ")</f>
        <v xml:space="preserve">CPNLB </v>
      </c>
      <c r="N18" s="38" t="str">
        <f ca="1">IFERROR(__xludf.DUMMYFUNCTION("""COMPUTED_VALUE"""),"Interior (Optimist)")</f>
        <v>Interior (Optimist)</v>
      </c>
      <c r="O18" s="38" t="str">
        <f ca="1">IFERROR(__xludf.DUMMYFUNCTION("""COMPUTED_VALUE"""),"OPTIMIST PRINCIPIANTES")</f>
        <v>OPTIMIST PRINCIPIANTES</v>
      </c>
      <c r="P18" s="38"/>
      <c r="Q18" s="38">
        <f ca="1">IFERROR(__xludf.DUMMYFUNCTION("""COMPUTED_VALUE"""),3560)</f>
        <v>3560</v>
      </c>
      <c r="R18" s="38" t="str">
        <f ca="1">IFERROR(__xludf.DUMMYFUNCTION("""COMPUTED_VALUE"""),"Chispa")</f>
        <v>Chispa</v>
      </c>
      <c r="S18" s="38"/>
      <c r="T18" s="38"/>
      <c r="U18" s="38"/>
      <c r="V18" s="38"/>
      <c r="W18" s="38"/>
      <c r="X18" s="38"/>
      <c r="Y18" s="38" t="str">
        <f ca="1">IFERROR(__xludf.DUMMYFUNCTION("""COMPUTED_VALUE"""),"No tiene")</f>
        <v>No tiene</v>
      </c>
      <c r="Z18" s="6" t="str">
        <f ca="1">IFERROR(__xludf.DUMMYFUNCTION("""COMPUTED_VALUE"""),"Si")</f>
        <v>Si</v>
      </c>
      <c r="AA18" s="6" t="str">
        <f ca="1">IFERROR(__xludf.DUMMYFUNCTION("""COMPUTED_VALUE"""),"Acepto")</f>
        <v>Acepto</v>
      </c>
      <c r="AB18" s="6" t="str">
        <f ca="1">IFERROR(__xludf.DUMMYFUNCTION("""COMPUTED_VALUE"""),"Terminado")</f>
        <v>Terminado</v>
      </c>
      <c r="AC18" s="6">
        <f ca="1">IFERROR(__xludf.DUMMYFUNCTION("""COMPUTED_VALUE"""),50000)</f>
        <v>50000</v>
      </c>
      <c r="AD18" s="6">
        <f ca="1">IFERROR(__xludf.DUMMYFUNCTION("""COMPUTED_VALUE"""),205088)</f>
        <v>205088</v>
      </c>
      <c r="AE18" s="6" t="str">
        <f ca="1">IFERROR(__xludf.DUMMYFUNCTION("""COMPUTED_VALUE"""),"TRF 30-08")</f>
        <v>TRF 30-08</v>
      </c>
      <c r="AF18" s="38"/>
      <c r="AG18" s="38"/>
    </row>
    <row r="19" spans="2:33" ht="15.75" customHeight="1">
      <c r="B19" s="35">
        <f ca="1">IFERROR(__xludf.DUMMYFUNCTION("""COMPUTED_VALUE"""),45529.9018271527)</f>
        <v>45529.901827152702</v>
      </c>
      <c r="C19" s="36" t="str">
        <f ca="1">IFERROR(__xludf.DUMMYFUNCTION("""COMPUTED_VALUE"""),"Paco")</f>
        <v>Paco</v>
      </c>
      <c r="D19" s="36" t="str">
        <f ca="1">IFERROR(__xludf.DUMMYFUNCTION("""COMPUTED_VALUE"""),"Castiglioni ")</f>
        <v xml:space="preserve">Castiglioni </v>
      </c>
      <c r="E19" s="36" t="str">
        <f ca="1">IFERROR(__xludf.DUMMYFUNCTION("""COMPUTED_VALUE"""),"CABA")</f>
        <v>CABA</v>
      </c>
      <c r="F19" s="6" t="str">
        <f ca="1">IFERROR(__xludf.DUMMYFUNCTION("""COMPUTED_VALUE"""),"ARG")</f>
        <v>ARG</v>
      </c>
      <c r="G19" s="6">
        <f ca="1">IFERROR(__xludf.DUMMYFUNCTION("""COMPUTED_VALUE"""),53584723)</f>
        <v>53584723</v>
      </c>
      <c r="H19" s="37">
        <f ca="1">IFERROR(__xludf.DUMMYFUNCTION("""COMPUTED_VALUE"""),41603)</f>
        <v>41603</v>
      </c>
      <c r="I19" s="38">
        <f ca="1">IFERROR(__xludf.DUMMYFUNCTION("""COMPUTED_VALUE"""),1130061435)</f>
        <v>1130061435</v>
      </c>
      <c r="J19" s="38"/>
      <c r="K19" s="38" t="str">
        <f ca="1">IFERROR(__xludf.DUMMYFUNCTION("""COMPUTED_VALUE"""),"rjcastiglioni@hotmail.com")</f>
        <v>rjcastiglioni@hotmail.com</v>
      </c>
      <c r="L19" s="38" t="str">
        <f ca="1">IFERROR(__xludf.DUMMYFUNCTION("""COMPUTED_VALUE"""),"Masculino")</f>
        <v>Masculino</v>
      </c>
      <c r="M19" s="38" t="str">
        <f ca="1">IFERROR(__xludf.DUMMYFUNCTION("""COMPUTED_VALUE"""),"CNSI")</f>
        <v>CNSI</v>
      </c>
      <c r="N19" s="38" t="str">
        <f ca="1">IFERROR(__xludf.DUMMYFUNCTION("""COMPUTED_VALUE"""),"Sub 12")</f>
        <v>Sub 12</v>
      </c>
      <c r="O19" s="38" t="str">
        <f ca="1">IFERROR(__xludf.DUMMYFUNCTION("""COMPUTED_VALUE"""),"OPTIMIST PRINCIPIANTES")</f>
        <v>OPTIMIST PRINCIPIANTES</v>
      </c>
      <c r="P19" s="38"/>
      <c r="Q19" s="38">
        <f ca="1">IFERROR(__xludf.DUMMYFUNCTION("""COMPUTED_VALUE"""),3475)</f>
        <v>3475</v>
      </c>
      <c r="R19" s="38" t="str">
        <f ca="1">IFERROR(__xludf.DUMMYFUNCTION("""COMPUTED_VALUE"""),"Ruby")</f>
        <v>Ruby</v>
      </c>
      <c r="S19" s="38"/>
      <c r="T19" s="38"/>
      <c r="U19" s="38"/>
      <c r="V19" s="38"/>
      <c r="W19" s="38"/>
      <c r="X19" s="38"/>
      <c r="Y19" s="38" t="str">
        <f ca="1">IFERROR(__xludf.DUMMYFUNCTION("""COMPUTED_VALUE"""),"OSDE")</f>
        <v>OSDE</v>
      </c>
      <c r="Z19" s="6" t="str">
        <f ca="1">IFERROR(__xludf.DUMMYFUNCTION("""COMPUTED_VALUE"""),"No")</f>
        <v>No</v>
      </c>
      <c r="AA19" s="6" t="str">
        <f ca="1">IFERROR(__xludf.DUMMYFUNCTION("""COMPUTED_VALUE"""),"Acepto")</f>
        <v>Acepto</v>
      </c>
      <c r="AB19" s="6" t="str">
        <f ca="1">IFERROR(__xludf.DUMMYFUNCTION("""COMPUTED_VALUE"""),"Terminado")</f>
        <v>Terminado</v>
      </c>
      <c r="AC19" s="6">
        <f ca="1">IFERROR(__xludf.DUMMYFUNCTION("""COMPUTED_VALUE"""),50000)</f>
        <v>50000</v>
      </c>
      <c r="AD19" s="6"/>
      <c r="AE19" s="6" t="str">
        <f ca="1">IFERROR(__xludf.DUMMYFUNCTION("""COMPUTED_VALUE"""),"TRF 30-08")</f>
        <v>TRF 30-08</v>
      </c>
      <c r="AF19" s="38"/>
      <c r="AG19" s="38"/>
    </row>
    <row r="20" spans="2:33" ht="15.75" customHeight="1">
      <c r="B20" s="35">
        <f ca="1">IFERROR(__xludf.DUMMYFUNCTION("""COMPUTED_VALUE"""),45538.8518777662)</f>
        <v>45538.851877766203</v>
      </c>
      <c r="C20" s="36" t="str">
        <f ca="1">IFERROR(__xludf.DUMMYFUNCTION("""COMPUTED_VALUE"""),"valentin")</f>
        <v>valentin</v>
      </c>
      <c r="D20" s="36" t="str">
        <f ca="1">IFERROR(__xludf.DUMMYFUNCTION("""COMPUTED_VALUE"""),"chavarria")</f>
        <v>chavarria</v>
      </c>
      <c r="E20" s="36" t="str">
        <f ca="1">IFERROR(__xludf.DUMMYFUNCTION("""COMPUTED_VALUE"""),"zarate")</f>
        <v>zarate</v>
      </c>
      <c r="F20" s="6" t="str">
        <f ca="1">IFERROR(__xludf.DUMMYFUNCTION("""COMPUTED_VALUE"""),"ARG")</f>
        <v>ARG</v>
      </c>
      <c r="G20" s="6">
        <f ca="1">IFERROR(__xludf.DUMMYFUNCTION("""COMPUTED_VALUE"""),53084562)</f>
        <v>53084562</v>
      </c>
      <c r="H20" s="37">
        <f ca="1">IFERROR(__xludf.DUMMYFUNCTION("""COMPUTED_VALUE"""),41330)</f>
        <v>41330</v>
      </c>
      <c r="I20" s="38" t="str">
        <f ca="1">IFERROR(__xludf.DUMMYFUNCTION("""COMPUTED_VALUE"""),"3487-675440")</f>
        <v>3487-675440</v>
      </c>
      <c r="J20" s="38" t="str">
        <f ca="1">IFERROR(__xludf.DUMMYFUNCTION("""COMPUTED_VALUE"""),"3487-675440")</f>
        <v>3487-675440</v>
      </c>
      <c r="K20" s="38" t="str">
        <f ca="1">IFERROR(__xludf.DUMMYFUNCTION("""COMPUTED_VALUE"""),"miguelymale15@gmail.com")</f>
        <v>miguelymale15@gmail.com</v>
      </c>
      <c r="L20" s="38" t="str">
        <f ca="1">IFERROR(__xludf.DUMMYFUNCTION("""COMPUTED_VALUE"""),"Masculino")</f>
        <v>Masculino</v>
      </c>
      <c r="M20" s="38" t="str">
        <f ca="1">IFERROR(__xludf.DUMMYFUNCTION("""COMPUTED_VALUE"""),"CNZ")</f>
        <v>CNZ</v>
      </c>
      <c r="N20" s="38" t="str">
        <f ca="1">IFERROR(__xludf.DUMMYFUNCTION("""COMPUTED_VALUE"""),"Interior (Optimist)")</f>
        <v>Interior (Optimist)</v>
      </c>
      <c r="O20" s="38" t="str">
        <f ca="1">IFERROR(__xludf.DUMMYFUNCTION("""COMPUTED_VALUE"""),"OPTIMIST PRINCIPIANTES")</f>
        <v>OPTIMIST PRINCIPIANTES</v>
      </c>
      <c r="P20" s="38"/>
      <c r="Q20" s="38">
        <f ca="1">IFERROR(__xludf.DUMMYFUNCTION("""COMPUTED_VALUE"""),402)</f>
        <v>402</v>
      </c>
      <c r="R20" s="38"/>
      <c r="S20" s="38"/>
      <c r="T20" s="38"/>
      <c r="U20" s="38"/>
      <c r="V20" s="38"/>
      <c r="W20" s="38"/>
      <c r="X20" s="38"/>
      <c r="Y20" s="38"/>
      <c r="Z20" s="6" t="str">
        <f ca="1">IFERROR(__xludf.DUMMYFUNCTION("""COMPUTED_VALUE"""),"Si")</f>
        <v>Si</v>
      </c>
      <c r="AA20" s="6" t="str">
        <f ca="1">IFERROR(__xludf.DUMMYFUNCTION("""COMPUTED_VALUE"""),"Acepto")</f>
        <v>Acepto</v>
      </c>
      <c r="AB20" s="6" t="str">
        <f ca="1">IFERROR(__xludf.DUMMYFUNCTION("""COMPUTED_VALUE"""),"Terminado")</f>
        <v>Terminado</v>
      </c>
      <c r="AC20" s="6">
        <f ca="1">IFERROR(__xludf.DUMMYFUNCTION("""COMPUTED_VALUE"""),50000)</f>
        <v>50000</v>
      </c>
      <c r="AD20" s="6">
        <f ca="1">IFERROR(__xludf.DUMMYFUNCTION("""COMPUTED_VALUE"""),205425)</f>
        <v>205425</v>
      </c>
      <c r="AE20" s="6" t="str">
        <f ca="1">IFERROR(__xludf.DUMMYFUNCTION("""COMPUTED_VALUE"""),"TRF 03-09")</f>
        <v>TRF 03-09</v>
      </c>
      <c r="AF20" s="38"/>
      <c r="AG20" s="38"/>
    </row>
    <row r="21" spans="2:33" ht="15.75" customHeight="1">
      <c r="B21" s="35">
        <f ca="1">IFERROR(__xludf.DUMMYFUNCTION("""COMPUTED_VALUE"""),45534.3597876157)</f>
        <v>45534.3597876157</v>
      </c>
      <c r="C21" s="36" t="str">
        <f ca="1">IFERROR(__xludf.DUMMYFUNCTION("""COMPUTED_VALUE"""),"Julia")</f>
        <v>Julia</v>
      </c>
      <c r="D21" s="36" t="str">
        <f ca="1">IFERROR(__xludf.DUMMYFUNCTION("""COMPUTED_VALUE"""),"Cocozza")</f>
        <v>Cocozza</v>
      </c>
      <c r="E21" s="36" t="str">
        <f ca="1">IFERROR(__xludf.DUMMYFUNCTION("""COMPUTED_VALUE"""),"San fernando")</f>
        <v>San fernando</v>
      </c>
      <c r="F21" s="6" t="str">
        <f ca="1">IFERROR(__xludf.DUMMYFUNCTION("""COMPUTED_VALUE"""),"ARG")</f>
        <v>ARG</v>
      </c>
      <c r="G21" s="6">
        <f ca="1">IFERROR(__xludf.DUMMYFUNCTION("""COMPUTED_VALUE"""),53204460)</f>
        <v>53204460</v>
      </c>
      <c r="H21" s="37">
        <f ca="1">IFERROR(__xludf.DUMMYFUNCTION("""COMPUTED_VALUE"""),41418)</f>
        <v>41418</v>
      </c>
      <c r="I21" s="38">
        <f ca="1">IFERROR(__xludf.DUMMYFUNCTION("""COMPUTED_VALUE"""),1159965995)</f>
        <v>1159965995</v>
      </c>
      <c r="J21" s="38">
        <f ca="1">IFERROR(__xludf.DUMMYFUNCTION("""COMPUTED_VALUE"""),1159965995)</f>
        <v>1159965995</v>
      </c>
      <c r="K21" s="38" t="str">
        <f ca="1">IFERROR(__xludf.DUMMYFUNCTION("""COMPUTED_VALUE"""),"Anaigoni@hotmail.com")</f>
        <v>Anaigoni@hotmail.com</v>
      </c>
      <c r="L21" s="38" t="str">
        <f ca="1">IFERROR(__xludf.DUMMYFUNCTION("""COMPUTED_VALUE"""),"Femenino")</f>
        <v>Femenino</v>
      </c>
      <c r="M21" s="38" t="str">
        <f ca="1">IFERROR(__xludf.DUMMYFUNCTION("""COMPUTED_VALUE"""),"YCA")</f>
        <v>YCA</v>
      </c>
      <c r="N21" s="38" t="str">
        <f ca="1">IFERROR(__xludf.DUMMYFUNCTION("""COMPUTED_VALUE"""),"Femenino")</f>
        <v>Femenino</v>
      </c>
      <c r="O21" s="38" t="str">
        <f ca="1">IFERROR(__xludf.DUMMYFUNCTION("""COMPUTED_VALUE"""),"OPTIMIST PRINCIPIANTES")</f>
        <v>OPTIMIST PRINCIPIANTES</v>
      </c>
      <c r="P21" s="38"/>
      <c r="Q21" s="38">
        <f ca="1">IFERROR(__xludf.DUMMYFUNCTION("""COMPUTED_VALUE"""),3040)</f>
        <v>3040</v>
      </c>
      <c r="R21" s="38" t="str">
        <f ca="1">IFERROR(__xludf.DUMMYFUNCTION("""COMPUTED_VALUE"""),"AKUÄ ")</f>
        <v xml:space="preserve">AKUÄ </v>
      </c>
      <c r="S21" s="38"/>
      <c r="T21" s="38"/>
      <c r="U21" s="38"/>
      <c r="V21" s="38"/>
      <c r="W21" s="38"/>
      <c r="X21" s="38"/>
      <c r="Y21" s="38">
        <f ca="1">IFERROR(__xludf.DUMMYFUNCTION("""COMPUTED_VALUE"""),61132626303)</f>
        <v>61132626303</v>
      </c>
      <c r="Z21" s="6" t="str">
        <f ca="1">IFERROR(__xludf.DUMMYFUNCTION("""COMPUTED_VALUE"""),"No")</f>
        <v>No</v>
      </c>
      <c r="AA21" s="6" t="str">
        <f ca="1">IFERROR(__xludf.DUMMYFUNCTION("""COMPUTED_VALUE"""),"Acepto")</f>
        <v>Acepto</v>
      </c>
      <c r="AB21" s="6" t="str">
        <f ca="1">IFERROR(__xludf.DUMMYFUNCTION("""COMPUTED_VALUE"""),"Terminado")</f>
        <v>Terminado</v>
      </c>
      <c r="AC21" s="6">
        <f ca="1">IFERROR(__xludf.DUMMYFUNCTION("""COMPUTED_VALUE"""),50000)</f>
        <v>50000</v>
      </c>
      <c r="AD21" s="6">
        <f ca="1">IFERROR(__xludf.DUMMYFUNCTION("""COMPUTED_VALUE"""),205093)</f>
        <v>205093</v>
      </c>
      <c r="AE21" s="6" t="str">
        <f ca="1">IFERROR(__xludf.DUMMYFUNCTION("""COMPUTED_VALUE"""),"TRF 30-08")</f>
        <v>TRF 30-08</v>
      </c>
      <c r="AF21" s="38"/>
      <c r="AG21" s="38"/>
    </row>
    <row r="22" spans="2:33" ht="15.75" customHeight="1">
      <c r="B22" s="35">
        <f ca="1">IFERROR(__xludf.DUMMYFUNCTION("""COMPUTED_VALUE"""),45535.8734967939)</f>
        <v>45535.873496793902</v>
      </c>
      <c r="C22" s="36" t="str">
        <f ca="1">IFERROR(__xludf.DUMMYFUNCTION("""COMPUTED_VALUE"""),"Isabella")</f>
        <v>Isabella</v>
      </c>
      <c r="D22" s="36" t="str">
        <f ca="1">IFERROR(__xludf.DUMMYFUNCTION("""COMPUTED_VALUE"""),"Conde")</f>
        <v>Conde</v>
      </c>
      <c r="E22" s="36" t="str">
        <f ca="1">IFERROR(__xludf.DUMMYFUNCTION("""COMPUTED_VALUE"""),"Montevideo")</f>
        <v>Montevideo</v>
      </c>
      <c r="F22" s="6" t="str">
        <f ca="1">IFERROR(__xludf.DUMMYFUNCTION("""COMPUTED_VALUE"""),"URU")</f>
        <v>URU</v>
      </c>
      <c r="G22" s="6">
        <f ca="1">IFERROR(__xludf.DUMMYFUNCTION("""COMPUTED_VALUE"""),59054813)</f>
        <v>59054813</v>
      </c>
      <c r="H22" s="37">
        <f ca="1">IFERROR(__xludf.DUMMYFUNCTION("""COMPUTED_VALUE"""),40638)</f>
        <v>40638</v>
      </c>
      <c r="I22" s="38" t="str">
        <f ca="1">IFERROR(__xludf.DUMMYFUNCTION("""COMPUTED_VALUE"""),"+59899827662")</f>
        <v>+59899827662</v>
      </c>
      <c r="J22" s="38" t="str">
        <f ca="1">IFERROR(__xludf.DUMMYFUNCTION("""COMPUTED_VALUE"""),"+59899827662")</f>
        <v>+59899827662</v>
      </c>
      <c r="K22" s="38" t="str">
        <f ca="1">IFERROR(__xludf.DUMMYFUNCTION("""COMPUTED_VALUE"""),"analiabianco@vera.com.uy")</f>
        <v>analiabianco@vera.com.uy</v>
      </c>
      <c r="L22" s="38" t="str">
        <f ca="1">IFERROR(__xludf.DUMMYFUNCTION("""COMPUTED_VALUE"""),"Femenino")</f>
        <v>Femenino</v>
      </c>
      <c r="M22" s="38" t="str">
        <f ca="1">IFERROR(__xludf.DUMMYFUNCTION("""COMPUTED_VALUE"""),"NYC")</f>
        <v>NYC</v>
      </c>
      <c r="N22" s="38" t="str">
        <f ca="1">IFERROR(__xludf.DUMMYFUNCTION("""COMPUTED_VALUE"""),"Interior (Optimist)")</f>
        <v>Interior (Optimist)</v>
      </c>
      <c r="O22" s="38" t="str">
        <f ca="1">IFERROR(__xludf.DUMMYFUNCTION("""COMPUTED_VALUE"""),"OPTIMIST PRINCIPIANTES")</f>
        <v>OPTIMIST PRINCIPIANTES</v>
      </c>
      <c r="P22" s="38"/>
      <c r="Q22" s="38" t="str">
        <f ca="1">IFERROR(__xludf.DUMMYFUNCTION("""COMPUTED_VALUE"""),"NYC")</f>
        <v>NYC</v>
      </c>
      <c r="R22" s="38"/>
      <c r="S22" s="38"/>
      <c r="T22" s="38"/>
      <c r="U22" s="38"/>
      <c r="V22" s="38"/>
      <c r="W22" s="38"/>
      <c r="X22" s="38"/>
      <c r="Y22" s="38"/>
      <c r="Z22" s="6" t="str">
        <f ca="1">IFERROR(__xludf.DUMMYFUNCTION("""COMPUTED_VALUE"""),"Si")</f>
        <v>Si</v>
      </c>
      <c r="AA22" s="6" t="str">
        <f ca="1">IFERROR(__xludf.DUMMYFUNCTION("""COMPUTED_VALUE"""),"Acepto")</f>
        <v>Acepto</v>
      </c>
      <c r="AB22" s="6" t="str">
        <f ca="1">IFERROR(__xludf.DUMMYFUNCTION("""COMPUTED_VALUE"""),"Terminado")</f>
        <v>Terminado</v>
      </c>
      <c r="AC22" s="6">
        <f ca="1">IFERROR(__xludf.DUMMYFUNCTION("""COMPUTED_VALUE"""),42500)</f>
        <v>42500</v>
      </c>
      <c r="AD22" s="6">
        <f ca="1">IFERROR(__xludf.DUMMYFUNCTION("""COMPUTED_VALUE"""),205391)</f>
        <v>205391</v>
      </c>
      <c r="AE22" s="6" t="str">
        <f ca="1">IFERROR(__xludf.DUMMYFUNCTION("""COMPUTED_VALUE"""),"TRF 02-09")</f>
        <v>TRF 02-09</v>
      </c>
      <c r="AF22" s="38"/>
      <c r="AG22" s="38"/>
    </row>
    <row r="23" spans="2:33" ht="15.75" customHeight="1">
      <c r="B23" s="35">
        <f ca="1">IFERROR(__xludf.DUMMYFUNCTION("""COMPUTED_VALUE"""),45531.7889308333)</f>
        <v>45531.788930833303</v>
      </c>
      <c r="C23" s="36" t="str">
        <f ca="1">IFERROR(__xludf.DUMMYFUNCTION("""COMPUTED_VALUE"""),"Isabel")</f>
        <v>Isabel</v>
      </c>
      <c r="D23" s="36" t="str">
        <f ca="1">IFERROR(__xludf.DUMMYFUNCTION("""COMPUTED_VALUE"""),"de Arriba")</f>
        <v>de Arriba</v>
      </c>
      <c r="E23" s="36" t="str">
        <f ca="1">IFERROR(__xludf.DUMMYFUNCTION("""COMPUTED_VALUE"""),"República de Saavedra, Capital Federal")</f>
        <v>República de Saavedra, Capital Federal</v>
      </c>
      <c r="F23" s="6" t="str">
        <f ca="1">IFERROR(__xludf.DUMMYFUNCTION("""COMPUTED_VALUE"""),"ARG")</f>
        <v>ARG</v>
      </c>
      <c r="G23" s="6">
        <f ca="1">IFERROR(__xludf.DUMMYFUNCTION("""COMPUTED_VALUE"""),52440140)</f>
        <v>52440140</v>
      </c>
      <c r="H23" s="37">
        <f ca="1">IFERROR(__xludf.DUMMYFUNCTION("""COMPUTED_VALUE"""),41015)</f>
        <v>41015</v>
      </c>
      <c r="I23" s="38">
        <f ca="1">IFERROR(__xludf.DUMMYFUNCTION("""COMPUTED_VALUE"""),1161681234)</f>
        <v>1161681234</v>
      </c>
      <c r="J23" s="38">
        <f ca="1">IFERROR(__xludf.DUMMYFUNCTION("""COMPUTED_VALUE"""),1131710227)</f>
        <v>1131710227</v>
      </c>
      <c r="K23" s="38" t="str">
        <f ca="1">IFERROR(__xludf.DUMMYFUNCTION("""COMPUTED_VALUE"""),"dearribaisabel@gmail.com")</f>
        <v>dearribaisabel@gmail.com</v>
      </c>
      <c r="L23" s="38" t="str">
        <f ca="1">IFERROR(__xludf.DUMMYFUNCTION("""COMPUTED_VALUE"""),"Femenino")</f>
        <v>Femenino</v>
      </c>
      <c r="M23" s="38" t="str">
        <f ca="1">IFERROR(__xludf.DUMMYFUNCTION("""COMPUTED_VALUE"""),"CGLNM")</f>
        <v>CGLNM</v>
      </c>
      <c r="N23" s="38" t="str">
        <f ca="1">IFERROR(__xludf.DUMMYFUNCTION("""COMPUTED_VALUE"""),"Femenino")</f>
        <v>Femenino</v>
      </c>
      <c r="O23" s="38" t="str">
        <f ca="1">IFERROR(__xludf.DUMMYFUNCTION("""COMPUTED_VALUE"""),"OPTIMIST PRINCIPIANTES")</f>
        <v>OPTIMIST PRINCIPIANTES</v>
      </c>
      <c r="P23" s="38"/>
      <c r="Q23" s="38">
        <f ca="1">IFERROR(__xludf.DUMMYFUNCTION("""COMPUTED_VALUE"""),3625)</f>
        <v>3625</v>
      </c>
      <c r="R23" s="38" t="str">
        <f ca="1">IFERROR(__xludf.DUMMYFUNCTION("""COMPUTED_VALUE"""),"Merluza")</f>
        <v>Merluza</v>
      </c>
      <c r="S23" s="38" t="str">
        <f ca="1">IFERROR(__xludf.DUMMYFUNCTION("""COMPUTED_VALUE"""),"Isabel de Arriba")</f>
        <v>Isabel de Arriba</v>
      </c>
      <c r="T23" s="38"/>
      <c r="U23" s="38"/>
      <c r="V23" s="38"/>
      <c r="W23" s="38"/>
      <c r="X23" s="38"/>
      <c r="Y23" s="38">
        <f ca="1">IFERROR(__xludf.DUMMYFUNCTION("""COMPUTED_VALUE"""),61407799002)</f>
        <v>61407799002</v>
      </c>
      <c r="Z23" s="6" t="str">
        <f ca="1">IFERROR(__xludf.DUMMYFUNCTION("""COMPUTED_VALUE"""),"Si")</f>
        <v>Si</v>
      </c>
      <c r="AA23" s="6" t="str">
        <f ca="1">IFERROR(__xludf.DUMMYFUNCTION("""COMPUTED_VALUE"""),"Acepto")</f>
        <v>Acepto</v>
      </c>
      <c r="AB23" s="6" t="str">
        <f ca="1">IFERROR(__xludf.DUMMYFUNCTION("""COMPUTED_VALUE"""),"Pendiente")</f>
        <v>Pendiente</v>
      </c>
      <c r="AC23" s="6"/>
      <c r="AD23" s="6"/>
      <c r="AE23" s="6"/>
      <c r="AF23" s="38"/>
      <c r="AG23" s="38"/>
    </row>
    <row r="24" spans="2:33" ht="15.75" customHeight="1">
      <c r="B24" s="35">
        <f ca="1">IFERROR(__xludf.DUMMYFUNCTION("""COMPUTED_VALUE"""),45538.4797852199)</f>
        <v>45538.479785219897</v>
      </c>
      <c r="C24" s="36" t="str">
        <f ca="1">IFERROR(__xludf.DUMMYFUNCTION("""COMPUTED_VALUE"""),"Bastian")</f>
        <v>Bastian</v>
      </c>
      <c r="D24" s="36" t="str">
        <f ca="1">IFERROR(__xludf.DUMMYFUNCTION("""COMPUTED_VALUE"""),"Distefani")</f>
        <v>Distefani</v>
      </c>
      <c r="E24" s="36" t="str">
        <f ca="1">IFERROR(__xludf.DUMMYFUNCTION("""COMPUTED_VALUE"""),"San Isidro")</f>
        <v>San Isidro</v>
      </c>
      <c r="F24" s="6" t="str">
        <f ca="1">IFERROR(__xludf.DUMMYFUNCTION("""COMPUTED_VALUE"""),"ARG")</f>
        <v>ARG</v>
      </c>
      <c r="G24" s="6">
        <f ca="1">IFERROR(__xludf.DUMMYFUNCTION("""COMPUTED_VALUE"""),53820941)</f>
        <v>53820941</v>
      </c>
      <c r="H24" s="37">
        <f ca="1">IFERROR(__xludf.DUMMYFUNCTION("""COMPUTED_VALUE"""),41668)</f>
        <v>41668</v>
      </c>
      <c r="I24" s="38" t="str">
        <f ca="1">IFERROR(__xludf.DUMMYFUNCTION("""COMPUTED_VALUE"""),"+54 9 11 3394-3846")</f>
        <v>+54 9 11 3394-3846</v>
      </c>
      <c r="J24" s="38"/>
      <c r="K24" s="38" t="str">
        <f ca="1">IFERROR(__xludf.DUMMYFUNCTION("""COMPUTED_VALUE"""),"ignacio.varisco@gmail.com")</f>
        <v>ignacio.varisco@gmail.com</v>
      </c>
      <c r="L24" s="38" t="str">
        <f ca="1">IFERROR(__xludf.DUMMYFUNCTION("""COMPUTED_VALUE"""),"Masculino")</f>
        <v>Masculino</v>
      </c>
      <c r="M24" s="38" t="str">
        <f ca="1">IFERROR(__xludf.DUMMYFUNCTION("""COMPUTED_VALUE"""),"CPNLB- CBRIO")</f>
        <v>CPNLB- CBRIO</v>
      </c>
      <c r="N24" s="38"/>
      <c r="O24" s="38" t="str">
        <f ca="1">IFERROR(__xludf.DUMMYFUNCTION("""COMPUTED_VALUE"""),"OPTIMIST PRINCIPIANTES")</f>
        <v>OPTIMIST PRINCIPIANTES</v>
      </c>
      <c r="P24" s="38"/>
      <c r="Q24" s="38" t="str">
        <f ca="1">IFERROR(__xludf.DUMMYFUNCTION("""COMPUTED_VALUE"""),"USA 12804")</f>
        <v>USA 12804</v>
      </c>
      <c r="R24" s="38" t="str">
        <f ca="1">IFERROR(__xludf.DUMMYFUNCTION("""COMPUTED_VALUE"""),"Ninja")</f>
        <v>Ninja</v>
      </c>
      <c r="S24" s="38"/>
      <c r="T24" s="38"/>
      <c r="U24" s="38"/>
      <c r="V24" s="38"/>
      <c r="W24" s="38"/>
      <c r="X24" s="38"/>
      <c r="Y24" s="38"/>
      <c r="Z24" s="6" t="str">
        <f ca="1">IFERROR(__xludf.DUMMYFUNCTION("""COMPUTED_VALUE"""),"Si")</f>
        <v>Si</v>
      </c>
      <c r="AA24" s="6" t="str">
        <f ca="1">IFERROR(__xludf.DUMMYFUNCTION("""COMPUTED_VALUE"""),"Acepto")</f>
        <v>Acepto</v>
      </c>
      <c r="AB24" s="6" t="str">
        <f ca="1">IFERROR(__xludf.DUMMYFUNCTION("""COMPUTED_VALUE"""),"Pendiente")</f>
        <v>Pendiente</v>
      </c>
      <c r="AC24" s="6"/>
      <c r="AD24" s="6"/>
      <c r="AE24" s="6"/>
      <c r="AF24" s="38"/>
      <c r="AG24" s="38"/>
    </row>
    <row r="25" spans="2:33" ht="15.75" customHeight="1">
      <c r="B25" s="35">
        <f ca="1">IFERROR(__xludf.DUMMYFUNCTION("""COMPUTED_VALUE"""),45538.4194906481)</f>
        <v>45538.419490648099</v>
      </c>
      <c r="C25" s="36" t="str">
        <f ca="1">IFERROR(__xludf.DUMMYFUNCTION("""COMPUTED_VALUE"""),"Felix")</f>
        <v>Felix</v>
      </c>
      <c r="D25" s="36" t="str">
        <f ca="1">IFERROR(__xludf.DUMMYFUNCTION("""COMPUTED_VALUE"""),"Doval")</f>
        <v>Doval</v>
      </c>
      <c r="E25" s="36" t="str">
        <f ca="1">IFERROR(__xludf.DUMMYFUNCTION("""COMPUTED_VALUE"""),"San Isidro")</f>
        <v>San Isidro</v>
      </c>
      <c r="F25" s="6" t="str">
        <f ca="1">IFERROR(__xludf.DUMMYFUNCTION("""COMPUTED_VALUE"""),"ARG")</f>
        <v>ARG</v>
      </c>
      <c r="G25" s="6">
        <f ca="1">IFERROR(__xludf.DUMMYFUNCTION("""COMPUTED_VALUE"""),53454414)</f>
        <v>53454414</v>
      </c>
      <c r="H25" s="37">
        <f ca="1">IFERROR(__xludf.DUMMYFUNCTION("""COMPUTED_VALUE"""),41515)</f>
        <v>41515</v>
      </c>
      <c r="I25" s="38">
        <f ca="1">IFERROR(__xludf.DUMMYFUNCTION("""COMPUTED_VALUE"""),1150022001)</f>
        <v>1150022001</v>
      </c>
      <c r="J25" s="38">
        <f ca="1">IFERROR(__xludf.DUMMYFUNCTION("""COMPUTED_VALUE"""),1150022001)</f>
        <v>1150022001</v>
      </c>
      <c r="K25" s="38" t="str">
        <f ca="1">IFERROR(__xludf.DUMMYFUNCTION("""COMPUTED_VALUE"""),"Santiago.doval@dovamar.com.ar")</f>
        <v>Santiago.doval@dovamar.com.ar</v>
      </c>
      <c r="L25" s="38" t="str">
        <f ca="1">IFERROR(__xludf.DUMMYFUNCTION("""COMPUTED_VALUE"""),"Masculino")</f>
        <v>Masculino</v>
      </c>
      <c r="M25" s="38" t="str">
        <f ca="1">IFERROR(__xludf.DUMMYFUNCTION("""COMPUTED_VALUE"""),"YCA")</f>
        <v>YCA</v>
      </c>
      <c r="N25" s="38" t="str">
        <f ca="1">IFERROR(__xludf.DUMMYFUNCTION("""COMPUTED_VALUE"""),"Optimist principiante")</f>
        <v>Optimist principiante</v>
      </c>
      <c r="O25" s="38" t="str">
        <f ca="1">IFERROR(__xludf.DUMMYFUNCTION("""COMPUTED_VALUE"""),"OPTIMIST PRINCIPIANTES")</f>
        <v>OPTIMIST PRINCIPIANTES</v>
      </c>
      <c r="P25" s="38"/>
      <c r="Q25" s="38" t="str">
        <f ca="1">IFERROR(__xludf.DUMMYFUNCTION("""COMPUTED_VALUE"""),"Arg 3677")</f>
        <v>Arg 3677</v>
      </c>
      <c r="R25" s="38" t="str">
        <f ca="1">IFERROR(__xludf.DUMMYFUNCTION("""COMPUTED_VALUE"""),"Lobuno")</f>
        <v>Lobuno</v>
      </c>
      <c r="S25" s="38"/>
      <c r="T25" s="38"/>
      <c r="U25" s="38"/>
      <c r="V25" s="38"/>
      <c r="W25" s="38"/>
      <c r="X25" s="38"/>
      <c r="Y25" s="38" t="str">
        <f ca="1">IFERROR(__xludf.DUMMYFUNCTION("""COMPUTED_VALUE"""),"Osde / 60875617103")</f>
        <v>Osde / 60875617103</v>
      </c>
      <c r="Z25" s="6" t="str">
        <f ca="1">IFERROR(__xludf.DUMMYFUNCTION("""COMPUTED_VALUE"""),"No")</f>
        <v>No</v>
      </c>
      <c r="AA25" s="6" t="str">
        <f ca="1">IFERROR(__xludf.DUMMYFUNCTION("""COMPUTED_VALUE"""),"Acepto")</f>
        <v>Acepto</v>
      </c>
      <c r="AB25" s="6" t="str">
        <f ca="1">IFERROR(__xludf.DUMMYFUNCTION("""COMPUTED_VALUE"""),"Terminado")</f>
        <v>Terminado</v>
      </c>
      <c r="AC25" s="6">
        <f ca="1">IFERROR(__xludf.DUMMYFUNCTION("""COMPUTED_VALUE"""),50000)</f>
        <v>50000</v>
      </c>
      <c r="AD25" s="6">
        <f ca="1">IFERROR(__xludf.DUMMYFUNCTION("""COMPUTED_VALUE"""),205408)</f>
        <v>205408</v>
      </c>
      <c r="AE25" s="6" t="str">
        <f ca="1">IFERROR(__xludf.DUMMYFUNCTION("""COMPUTED_VALUE"""),"TRF 03-09")</f>
        <v>TRF 03-09</v>
      </c>
      <c r="AF25" s="38"/>
      <c r="AG25" s="38"/>
    </row>
    <row r="26" spans="2:33" ht="15.75" customHeight="1">
      <c r="B26" s="35">
        <f ca="1">IFERROR(__xludf.DUMMYFUNCTION("""COMPUTED_VALUE"""),45539.918551956)</f>
        <v>45539.918551955998</v>
      </c>
      <c r="C26" s="36" t="str">
        <f ca="1">IFERROR(__xludf.DUMMYFUNCTION("""COMPUTED_VALUE"""),"Gael")</f>
        <v>Gael</v>
      </c>
      <c r="D26" s="36" t="str">
        <f ca="1">IFERROR(__xludf.DUMMYFUNCTION("""COMPUTED_VALUE"""),"Elkayam")</f>
        <v>Elkayam</v>
      </c>
      <c r="E26" s="36" t="str">
        <f ca="1">IFERROR(__xludf.DUMMYFUNCTION("""COMPUTED_VALUE"""),"Caba")</f>
        <v>Caba</v>
      </c>
      <c r="F26" s="6" t="str">
        <f ca="1">IFERROR(__xludf.DUMMYFUNCTION("""COMPUTED_VALUE"""),"ARG")</f>
        <v>ARG</v>
      </c>
      <c r="G26" s="6">
        <f ca="1">IFERROR(__xludf.DUMMYFUNCTION("""COMPUTED_VALUE"""),53583314)</f>
        <v>53583314</v>
      </c>
      <c r="H26" s="37">
        <f ca="1">IFERROR(__xludf.DUMMYFUNCTION("""COMPUTED_VALUE"""),41554)</f>
        <v>41554</v>
      </c>
      <c r="I26" s="38">
        <f ca="1">IFERROR(__xludf.DUMMYFUNCTION("""COMPUTED_VALUE"""),11680202848)</f>
        <v>11680202848</v>
      </c>
      <c r="J26" s="38">
        <f ca="1">IFERROR(__xludf.DUMMYFUNCTION("""COMPUTED_VALUE"""),1154785001)</f>
        <v>1154785001</v>
      </c>
      <c r="K26" s="38" t="str">
        <f ca="1">IFERROR(__xludf.DUMMYFUNCTION("""COMPUTED_VALUE"""),"Glenda00@gmail.com")</f>
        <v>Glenda00@gmail.com</v>
      </c>
      <c r="L26" s="38" t="str">
        <f ca="1">IFERROR(__xludf.DUMMYFUNCTION("""COMPUTED_VALUE"""),"Masculino")</f>
        <v>Masculino</v>
      </c>
      <c r="M26" s="38" t="str">
        <f ca="1">IFERROR(__xludf.DUMMYFUNCTION("""COMPUTED_VALUE"""),"CNA")</f>
        <v>CNA</v>
      </c>
      <c r="N26" s="38" t="str">
        <f ca="1">IFERROR(__xludf.DUMMYFUNCTION("""COMPUTED_VALUE"""),"Interior (Optimist)")</f>
        <v>Interior (Optimist)</v>
      </c>
      <c r="O26" s="38" t="str">
        <f ca="1">IFERROR(__xludf.DUMMYFUNCTION("""COMPUTED_VALUE"""),"OPTIMIST PRINCIPIANTES")</f>
        <v>OPTIMIST PRINCIPIANTES</v>
      </c>
      <c r="P26" s="38"/>
      <c r="Q26" s="38">
        <f ca="1">IFERROR(__xludf.DUMMYFUNCTION("""COMPUTED_VALUE"""),2956)</f>
        <v>2956</v>
      </c>
      <c r="R26" s="38" t="str">
        <f ca="1">IFERROR(__xludf.DUMMYFUNCTION("""COMPUTED_VALUE"""),"Ensueño")</f>
        <v>Ensueño</v>
      </c>
      <c r="S26" s="38" t="str">
        <f ca="1">IFERROR(__xludf.DUMMYFUNCTION("""COMPUTED_VALUE"""),"Gael Elkayam")</f>
        <v>Gael Elkayam</v>
      </c>
      <c r="T26" s="38"/>
      <c r="U26" s="38"/>
      <c r="V26" s="38"/>
      <c r="W26" s="38"/>
      <c r="X26" s="38"/>
      <c r="Y26" s="38" t="str">
        <f ca="1">IFERROR(__xludf.DUMMYFUNCTION("""COMPUTED_VALUE"""),"Gael Elkayam")</f>
        <v>Gael Elkayam</v>
      </c>
      <c r="Z26" s="6" t="str">
        <f ca="1">IFERROR(__xludf.DUMMYFUNCTION("""COMPUTED_VALUE"""),"Si")</f>
        <v>Si</v>
      </c>
      <c r="AA26" s="6" t="str">
        <f ca="1">IFERROR(__xludf.DUMMYFUNCTION("""COMPUTED_VALUE"""),"Acepto")</f>
        <v>Acepto</v>
      </c>
      <c r="AB26" s="6" t="str">
        <f ca="1">IFERROR(__xludf.DUMMYFUNCTION("""COMPUTED_VALUE"""),"Pendiente")</f>
        <v>Pendiente</v>
      </c>
      <c r="AC26" s="6"/>
      <c r="AD26" s="6"/>
      <c r="AE26" s="6"/>
      <c r="AF26" s="38"/>
      <c r="AG26" s="38"/>
    </row>
    <row r="27" spans="2:33" ht="15.75" customHeight="1">
      <c r="B27" s="35">
        <f ca="1">IFERROR(__xludf.DUMMYFUNCTION("""COMPUTED_VALUE"""),45535.7002323379)</f>
        <v>45535.700232337898</v>
      </c>
      <c r="C27" s="36" t="str">
        <f ca="1">IFERROR(__xludf.DUMMYFUNCTION("""COMPUTED_VALUE"""),"Felipe")</f>
        <v>Felipe</v>
      </c>
      <c r="D27" s="36" t="str">
        <f ca="1">IFERROR(__xludf.DUMMYFUNCTION("""COMPUTED_VALUE"""),"Elorriaga")</f>
        <v>Elorriaga</v>
      </c>
      <c r="E27" s="36" t="str">
        <f ca="1">IFERROR(__xludf.DUMMYFUNCTION("""COMPUTED_VALUE"""),"Zarate")</f>
        <v>Zarate</v>
      </c>
      <c r="F27" s="6" t="str">
        <f ca="1">IFERROR(__xludf.DUMMYFUNCTION("""COMPUTED_VALUE"""),"ARG")</f>
        <v>ARG</v>
      </c>
      <c r="G27" s="6">
        <f ca="1">IFERROR(__xludf.DUMMYFUNCTION("""COMPUTED_VALUE"""),54099646)</f>
        <v>54099646</v>
      </c>
      <c r="H27" s="37">
        <f ca="1">IFERROR(__xludf.DUMMYFUNCTION("""COMPUTED_VALUE"""),41800)</f>
        <v>41800</v>
      </c>
      <c r="I27" s="38" t="str">
        <f ca="1">IFERROR(__xludf.DUMMYFUNCTION("""COMPUTED_VALUE"""),"03487302617")</f>
        <v>03487302617</v>
      </c>
      <c r="J27" s="38" t="str">
        <f ca="1">IFERROR(__xludf.DUMMYFUNCTION("""COMPUTED_VALUE"""),"03487302617")</f>
        <v>03487302617</v>
      </c>
      <c r="K27" s="38" t="str">
        <f ca="1">IFERROR(__xludf.DUMMYFUNCTION("""COMPUTED_VALUE"""),"mingote_elo@hotmail.com")</f>
        <v>mingote_elo@hotmail.com</v>
      </c>
      <c r="L27" s="38" t="str">
        <f ca="1">IFERROR(__xludf.DUMMYFUNCTION("""COMPUTED_VALUE"""),"Masculino")</f>
        <v>Masculino</v>
      </c>
      <c r="M27" s="38" t="str">
        <f ca="1">IFERROR(__xludf.DUMMYFUNCTION("""COMPUTED_VALUE"""),"CNZ")</f>
        <v>CNZ</v>
      </c>
      <c r="N27" s="38"/>
      <c r="O27" s="38" t="str">
        <f ca="1">IFERROR(__xludf.DUMMYFUNCTION("""COMPUTED_VALUE"""),"OPTIMIST PRINCIPIANTES")</f>
        <v>OPTIMIST PRINCIPIANTES</v>
      </c>
      <c r="P27" s="38"/>
      <c r="Q27" s="38" t="str">
        <f ca="1">IFERROR(__xludf.DUMMYFUNCTION("""COMPUTED_VALUE"""),"ARG 4116")</f>
        <v>ARG 4116</v>
      </c>
      <c r="R27" s="38" t="str">
        <f ca="1">IFERROR(__xludf.DUMMYFUNCTION("""COMPUTED_VALUE"""),"Basta!!!")</f>
        <v>Basta!!!</v>
      </c>
      <c r="S27" s="38"/>
      <c r="T27" s="38"/>
      <c r="U27" s="38"/>
      <c r="V27" s="38"/>
      <c r="W27" s="38"/>
      <c r="X27" s="38"/>
      <c r="Y27" s="38" t="str">
        <f ca="1">IFERROR(__xludf.DUMMYFUNCTION("""COMPUTED_VALUE"""),"Swiss Medical")</f>
        <v>Swiss Medical</v>
      </c>
      <c r="Z27" s="6" t="str">
        <f ca="1">IFERROR(__xludf.DUMMYFUNCTION("""COMPUTED_VALUE"""),"Si")</f>
        <v>Si</v>
      </c>
      <c r="AA27" s="6" t="str">
        <f ca="1">IFERROR(__xludf.DUMMYFUNCTION("""COMPUTED_VALUE"""),"Acepto")</f>
        <v>Acepto</v>
      </c>
      <c r="AB27" s="6" t="str">
        <f ca="1">IFERROR(__xludf.DUMMYFUNCTION("""COMPUTED_VALUE"""),"Terminado")</f>
        <v>Terminado</v>
      </c>
      <c r="AC27" s="6">
        <f ca="1">IFERROR(__xludf.DUMMYFUNCTION("""COMPUTED_VALUE"""),50000)</f>
        <v>50000</v>
      </c>
      <c r="AD27" s="6">
        <f ca="1">IFERROR(__xludf.DUMMYFUNCTION("""COMPUTED_VALUE"""),205368)</f>
        <v>205368</v>
      </c>
      <c r="AE27" s="6" t="str">
        <f ca="1">IFERROR(__xludf.DUMMYFUNCTION("""COMPUTED_VALUE"""),"TRF 31-08")</f>
        <v>TRF 31-08</v>
      </c>
      <c r="AF27" s="38"/>
      <c r="AG27" s="38"/>
    </row>
    <row r="28" spans="2:33" ht="15.75" customHeight="1">
      <c r="B28" s="35">
        <f ca="1">IFERROR(__xludf.DUMMYFUNCTION("""COMPUTED_VALUE"""),45535.5754987384)</f>
        <v>45535.575498738399</v>
      </c>
      <c r="C28" s="36" t="str">
        <f ca="1">IFERROR(__xludf.DUMMYFUNCTION("""COMPUTED_VALUE"""),"Polo")</f>
        <v>Polo</v>
      </c>
      <c r="D28" s="36" t="str">
        <f ca="1">IFERROR(__xludf.DUMMYFUNCTION("""COMPUTED_VALUE"""),"Eusebi")</f>
        <v>Eusebi</v>
      </c>
      <c r="E28" s="36" t="str">
        <f ca="1">IFERROR(__xludf.DUMMYFUNCTION("""COMPUTED_VALUE"""),"Quilmes")</f>
        <v>Quilmes</v>
      </c>
      <c r="F28" s="6" t="str">
        <f ca="1">IFERROR(__xludf.DUMMYFUNCTION("""COMPUTED_VALUE"""),"ARG")</f>
        <v>ARG</v>
      </c>
      <c r="G28" s="6">
        <f ca="1">IFERROR(__xludf.DUMMYFUNCTION("""COMPUTED_VALUE"""),52663848)</f>
        <v>52663848</v>
      </c>
      <c r="H28" s="37">
        <f ca="1">IFERROR(__xludf.DUMMYFUNCTION("""COMPUTED_VALUE"""),41133)</f>
        <v>41133</v>
      </c>
      <c r="I28" s="38">
        <f ca="1">IFERROR(__xludf.DUMMYFUNCTION("""COMPUTED_VALUE"""),38855464)</f>
        <v>38855464</v>
      </c>
      <c r="J28" s="38">
        <f ca="1">IFERROR(__xludf.DUMMYFUNCTION("""COMPUTED_VALUE"""),38855734)</f>
        <v>38855734</v>
      </c>
      <c r="K28" s="38" t="str">
        <f ca="1">IFERROR(__xludf.DUMMYFUNCTION("""COMPUTED_VALUE"""),"luiseusebi@googlemail.com")</f>
        <v>luiseusebi@googlemail.com</v>
      </c>
      <c r="L28" s="38" t="str">
        <f ca="1">IFERROR(__xludf.DUMMYFUNCTION("""COMPUTED_VALUE"""),"Masculino")</f>
        <v>Masculino</v>
      </c>
      <c r="M28" s="38" t="str">
        <f ca="1">IFERROR(__xludf.DUMMYFUNCTION("""COMPUTED_VALUE"""),"CNQ")</f>
        <v>CNQ</v>
      </c>
      <c r="N28" s="38" t="str">
        <f ca="1">IFERROR(__xludf.DUMMYFUNCTION("""COMPUTED_VALUE"""),"Interior (Optimist)")</f>
        <v>Interior (Optimist)</v>
      </c>
      <c r="O28" s="38" t="str">
        <f ca="1">IFERROR(__xludf.DUMMYFUNCTION("""COMPUTED_VALUE"""),"OPTIMIST PRINCIPIANTES")</f>
        <v>OPTIMIST PRINCIPIANTES</v>
      </c>
      <c r="P28" s="38" t="str">
        <f ca="1">IFERROR(__xludf.DUMMYFUNCTION("""COMPUTED_VALUE"""),"Polo")</f>
        <v>Polo</v>
      </c>
      <c r="Q28" s="38">
        <f ca="1">IFERROR(__xludf.DUMMYFUNCTION("""COMPUTED_VALUE"""),3092)</f>
        <v>3092</v>
      </c>
      <c r="R28" s="38" t="str">
        <f ca="1">IFERROR(__xludf.DUMMYFUNCTION("""COMPUTED_VALUE"""),"Polo")</f>
        <v>Polo</v>
      </c>
      <c r="S28" s="38"/>
      <c r="T28" s="38"/>
      <c r="U28" s="38"/>
      <c r="V28" s="38"/>
      <c r="W28" s="38"/>
      <c r="X28" s="38"/>
      <c r="Y28" s="38" t="str">
        <f ca="1">IFERROR(__xludf.DUMMYFUNCTION("""COMPUTED_VALUE"""),"Ioma 227264668302")</f>
        <v>Ioma 227264668302</v>
      </c>
      <c r="Z28" s="6" t="str">
        <f ca="1">IFERROR(__xludf.DUMMYFUNCTION("""COMPUTED_VALUE"""),"Si")</f>
        <v>Si</v>
      </c>
      <c r="AA28" s="6" t="str">
        <f ca="1">IFERROR(__xludf.DUMMYFUNCTION("""COMPUTED_VALUE"""),"Acepto")</f>
        <v>Acepto</v>
      </c>
      <c r="AB28" s="6" t="str">
        <f ca="1">IFERROR(__xludf.DUMMYFUNCTION("""COMPUTED_VALUE"""),"Terminado")</f>
        <v>Terminado</v>
      </c>
      <c r="AC28" s="6">
        <f ca="1">IFERROR(__xludf.DUMMYFUNCTION("""COMPUTED_VALUE"""),50000)</f>
        <v>50000</v>
      </c>
      <c r="AD28" s="6">
        <f ca="1">IFERROR(__xludf.DUMMYFUNCTION("""COMPUTED_VALUE"""),205146)</f>
        <v>205146</v>
      </c>
      <c r="AE28" s="6" t="str">
        <f ca="1">IFERROR(__xludf.DUMMYFUNCTION("""COMPUTED_VALUE"""),"TRF 31-08")</f>
        <v>TRF 31-08</v>
      </c>
      <c r="AF28" s="38"/>
      <c r="AG28" s="38"/>
    </row>
    <row r="29" spans="2:33" ht="15.75" customHeight="1">
      <c r="B29" s="35">
        <f ca="1">IFERROR(__xludf.DUMMYFUNCTION("""COMPUTED_VALUE"""),45534.8025573263)</f>
        <v>45534.8025573263</v>
      </c>
      <c r="C29" s="36" t="str">
        <f ca="1">IFERROR(__xludf.DUMMYFUNCTION("""COMPUTED_VALUE"""),"LAUTARO ELIAS")</f>
        <v>LAUTARO ELIAS</v>
      </c>
      <c r="D29" s="36" t="str">
        <f ca="1">IFERROR(__xludf.DUMMYFUNCTION("""COMPUTED_VALUE"""),"FERNANDEZ")</f>
        <v>FERNANDEZ</v>
      </c>
      <c r="E29" s="36" t="str">
        <f ca="1">IFERROR(__xludf.DUMMYFUNCTION("""COMPUTED_VALUE"""),"TIGRE")</f>
        <v>TIGRE</v>
      </c>
      <c r="F29" s="6" t="str">
        <f ca="1">IFERROR(__xludf.DUMMYFUNCTION("""COMPUTED_VALUE"""),"ARG")</f>
        <v>ARG</v>
      </c>
      <c r="G29" s="6">
        <f ca="1">IFERROR(__xludf.DUMMYFUNCTION("""COMPUTED_VALUE"""),53214574)</f>
        <v>53214574</v>
      </c>
      <c r="H29" s="37">
        <f ca="1">IFERROR(__xludf.DUMMYFUNCTION("""COMPUTED_VALUE"""),41491)</f>
        <v>41491</v>
      </c>
      <c r="I29" s="38">
        <f ca="1">IFERROR(__xludf.DUMMYFUNCTION("""COMPUTED_VALUE"""),1169571706)</f>
        <v>1169571706</v>
      </c>
      <c r="J29" s="38">
        <f ca="1">IFERROR(__xludf.DUMMYFUNCTION("""COMPUTED_VALUE"""),1131059053)</f>
        <v>1131059053</v>
      </c>
      <c r="K29" s="38" t="str">
        <f ca="1">IFERROR(__xludf.DUMMYFUNCTION("""COMPUTED_VALUE"""),"labraulf@gmail.com")</f>
        <v>labraulf@gmail.com</v>
      </c>
      <c r="L29" s="38" t="str">
        <f ca="1">IFERROR(__xludf.DUMMYFUNCTION("""COMPUTED_VALUE"""),"Masculino")</f>
        <v>Masculino</v>
      </c>
      <c r="M29" s="38" t="str">
        <f ca="1">IFERROR(__xludf.DUMMYFUNCTION("""COMPUTED_VALUE"""),"CNSM")</f>
        <v>CNSM</v>
      </c>
      <c r="N29" s="38" t="str">
        <f ca="1">IFERROR(__xludf.DUMMYFUNCTION("""COMPUTED_VALUE"""),"OPTIMIST-PRINCIPIANTE")</f>
        <v>OPTIMIST-PRINCIPIANTE</v>
      </c>
      <c r="O29" s="38" t="str">
        <f ca="1">IFERROR(__xludf.DUMMYFUNCTION("""COMPUTED_VALUE"""),"OPTIMIST PRINCIPIANTES")</f>
        <v>OPTIMIST PRINCIPIANTES</v>
      </c>
      <c r="P29" s="38"/>
      <c r="Q29" s="38">
        <f ca="1">IFERROR(__xludf.DUMMYFUNCTION("""COMPUTED_VALUE"""),3065)</f>
        <v>3065</v>
      </c>
      <c r="R29" s="38" t="str">
        <f ca="1">IFERROR(__xludf.DUMMYFUNCTION("""COMPUTED_VALUE"""),"KIWI")</f>
        <v>KIWI</v>
      </c>
      <c r="S29" s="38"/>
      <c r="T29" s="38"/>
      <c r="U29" s="38"/>
      <c r="V29" s="38"/>
      <c r="W29" s="38"/>
      <c r="X29" s="38"/>
      <c r="Y29" s="38" t="str">
        <f ca="1">IFERROR(__xludf.DUMMYFUNCTION("""COMPUTED_VALUE"""),"OSDE210/62721768003")</f>
        <v>OSDE210/62721768003</v>
      </c>
      <c r="Z29" s="6" t="str">
        <f ca="1">IFERROR(__xludf.DUMMYFUNCTION("""COMPUTED_VALUE"""),"Si")</f>
        <v>Si</v>
      </c>
      <c r="AA29" s="6" t="str">
        <f ca="1">IFERROR(__xludf.DUMMYFUNCTION("""COMPUTED_VALUE"""),"Acepto")</f>
        <v>Acepto</v>
      </c>
      <c r="AB29" s="6" t="str">
        <f ca="1">IFERROR(__xludf.DUMMYFUNCTION("""COMPUTED_VALUE"""),"Terminado")</f>
        <v>Terminado</v>
      </c>
      <c r="AC29" s="6">
        <f ca="1">IFERROR(__xludf.DUMMYFUNCTION("""COMPUTED_VALUE"""),50000)</f>
        <v>50000</v>
      </c>
      <c r="AD29" s="6">
        <f ca="1">IFERROR(__xludf.DUMMYFUNCTION("""COMPUTED_VALUE"""),205128)</f>
        <v>205128</v>
      </c>
      <c r="AE29" s="6" t="str">
        <f ca="1">IFERROR(__xludf.DUMMYFUNCTION("""COMPUTED_VALUE"""),"TRF 30-08")</f>
        <v>TRF 30-08</v>
      </c>
      <c r="AF29" s="38"/>
      <c r="AG29" s="38"/>
    </row>
    <row r="30" spans="2:33" ht="15.75" customHeight="1">
      <c r="B30" s="35">
        <f ca="1">IFERROR(__xludf.DUMMYFUNCTION("""COMPUTED_VALUE"""),45535.598619375)</f>
        <v>45535.598619375</v>
      </c>
      <c r="C30" s="36" t="str">
        <f ca="1">IFERROR(__xludf.DUMMYFUNCTION("""COMPUTED_VALUE"""),"Benjamin")</f>
        <v>Benjamin</v>
      </c>
      <c r="D30" s="36" t="str">
        <f ca="1">IFERROR(__xludf.DUMMYFUNCTION("""COMPUTED_VALUE"""),"Fleitas")</f>
        <v>Fleitas</v>
      </c>
      <c r="E30" s="36" t="str">
        <f ca="1">IFERROR(__xludf.DUMMYFUNCTION("""COMPUTED_VALUE"""),"Zarate")</f>
        <v>Zarate</v>
      </c>
      <c r="F30" s="6" t="str">
        <f ca="1">IFERROR(__xludf.DUMMYFUNCTION("""COMPUTED_VALUE"""),"ARG")</f>
        <v>ARG</v>
      </c>
      <c r="G30" s="6">
        <f ca="1">IFERROR(__xludf.DUMMYFUNCTION("""COMPUTED_VALUE"""),53451464)</f>
        <v>53451464</v>
      </c>
      <c r="H30" s="37">
        <f ca="1">IFERROR(__xludf.DUMMYFUNCTION("""COMPUTED_VALUE"""),41586)</f>
        <v>41586</v>
      </c>
      <c r="I30" s="38">
        <f ca="1">IFERROR(__xludf.DUMMYFUNCTION("""COMPUTED_VALUE"""),3487713649)</f>
        <v>3487713649</v>
      </c>
      <c r="J30" s="38">
        <f ca="1">IFERROR(__xludf.DUMMYFUNCTION("""COMPUTED_VALUE"""),3487510959)</f>
        <v>3487510959</v>
      </c>
      <c r="K30" s="38" t="str">
        <f ca="1">IFERROR(__xludf.DUMMYFUNCTION("""COMPUTED_VALUE"""),"yohanigro27@gmail.com")</f>
        <v>yohanigro27@gmail.com</v>
      </c>
      <c r="L30" s="38" t="str">
        <f ca="1">IFERROR(__xludf.DUMMYFUNCTION("""COMPUTED_VALUE"""),"Masculino")</f>
        <v>Masculino</v>
      </c>
      <c r="M30" s="38" t="str">
        <f ca="1">IFERROR(__xludf.DUMMYFUNCTION("""COMPUTED_VALUE"""),"CNZ")</f>
        <v>CNZ</v>
      </c>
      <c r="N30" s="38" t="str">
        <f ca="1">IFERROR(__xludf.DUMMYFUNCTION("""COMPUTED_VALUE"""),"Interior (Optimist)")</f>
        <v>Interior (Optimist)</v>
      </c>
      <c r="O30" s="38" t="str">
        <f ca="1">IFERROR(__xludf.DUMMYFUNCTION("""COMPUTED_VALUE"""),"OPTIMIST PRINCIPIANTES")</f>
        <v>OPTIMIST PRINCIPIANTES</v>
      </c>
      <c r="P30" s="38" t="str">
        <f ca="1">IFERROR(__xludf.DUMMYFUNCTION("""COMPUTED_VALUE"""),"Capitán Loco")</f>
        <v>Capitán Loco</v>
      </c>
      <c r="Q30" s="38">
        <f ca="1">IFERROR(__xludf.DUMMYFUNCTION("""COMPUTED_VALUE"""),3966)</f>
        <v>3966</v>
      </c>
      <c r="R30" s="38" t="str">
        <f ca="1">IFERROR(__xludf.DUMMYFUNCTION("""COMPUTED_VALUE"""),"Capitán Loco")</f>
        <v>Capitán Loco</v>
      </c>
      <c r="S30" s="38"/>
      <c r="T30" s="38"/>
      <c r="U30" s="38"/>
      <c r="V30" s="38"/>
      <c r="W30" s="38"/>
      <c r="X30" s="38"/>
      <c r="Y30" s="38" t="str">
        <f ca="1">IFERROR(__xludf.DUMMYFUNCTION("""COMPUTED_VALUE"""),"Unión personal")</f>
        <v>Unión personal</v>
      </c>
      <c r="Z30" s="6" t="str">
        <f ca="1">IFERROR(__xludf.DUMMYFUNCTION("""COMPUTED_VALUE"""),"Si")</f>
        <v>Si</v>
      </c>
      <c r="AA30" s="6" t="str">
        <f ca="1">IFERROR(__xludf.DUMMYFUNCTION("""COMPUTED_VALUE"""),"Acepto")</f>
        <v>Acepto</v>
      </c>
      <c r="AB30" s="6" t="str">
        <f ca="1">IFERROR(__xludf.DUMMYFUNCTION("""COMPUTED_VALUE"""),"Terminado")</f>
        <v>Terminado</v>
      </c>
      <c r="AC30" s="6">
        <f ca="1">IFERROR(__xludf.DUMMYFUNCTION("""COMPUTED_VALUE"""),50000)</f>
        <v>50000</v>
      </c>
      <c r="AD30" s="6">
        <f ca="1">IFERROR(__xludf.DUMMYFUNCTION("""COMPUTED_VALUE"""),205158)</f>
        <v>205158</v>
      </c>
      <c r="AE30" s="6" t="str">
        <f ca="1">IFERROR(__xludf.DUMMYFUNCTION("""COMPUTED_VALUE"""),"TRF 31-08")</f>
        <v>TRF 31-08</v>
      </c>
      <c r="AF30" s="38"/>
      <c r="AG30" s="38"/>
    </row>
    <row r="31" spans="2:33" ht="15.75" customHeight="1">
      <c r="B31" s="35">
        <f ca="1">IFERROR(__xludf.DUMMYFUNCTION("""COMPUTED_VALUE"""),45536.4539505671)</f>
        <v>45536.453950567098</v>
      </c>
      <c r="C31" s="36" t="str">
        <f ca="1">IFERROR(__xludf.DUMMYFUNCTION("""COMPUTED_VALUE"""),"Sofia")</f>
        <v>Sofia</v>
      </c>
      <c r="D31" s="36" t="str">
        <f ca="1">IFERROR(__xludf.DUMMYFUNCTION("""COMPUTED_VALUE"""),"Frogone ")</f>
        <v xml:space="preserve">Frogone </v>
      </c>
      <c r="E31" s="36" t="str">
        <f ca="1">IFERROR(__xludf.DUMMYFUNCTION("""COMPUTED_VALUE"""),"CABA ")</f>
        <v xml:space="preserve">CABA </v>
      </c>
      <c r="F31" s="6" t="str">
        <f ca="1">IFERROR(__xludf.DUMMYFUNCTION("""COMPUTED_VALUE"""),"ARG")</f>
        <v>ARG</v>
      </c>
      <c r="G31" s="6">
        <f ca="1">IFERROR(__xludf.DUMMYFUNCTION("""COMPUTED_VALUE"""),51066023)</f>
        <v>51066023</v>
      </c>
      <c r="H31" s="37">
        <f ca="1">IFERROR(__xludf.DUMMYFUNCTION("""COMPUTED_VALUE"""),40608)</f>
        <v>40608</v>
      </c>
      <c r="I31" s="38">
        <f ca="1">IFERROR(__xludf.DUMMYFUNCTION("""COMPUTED_VALUE"""),1170540311)</f>
        <v>1170540311</v>
      </c>
      <c r="J31" s="38">
        <f ca="1">IFERROR(__xludf.DUMMYFUNCTION("""COMPUTED_VALUE"""),1165586633)</f>
        <v>1165586633</v>
      </c>
      <c r="K31" s="38" t="str">
        <f ca="1">IFERROR(__xludf.DUMMYFUNCTION("""COMPUTED_VALUE"""),"gfrogone@gmail.com")</f>
        <v>gfrogone@gmail.com</v>
      </c>
      <c r="L31" s="38" t="str">
        <f ca="1">IFERROR(__xludf.DUMMYFUNCTION("""COMPUTED_VALUE"""),"Femenino")</f>
        <v>Femenino</v>
      </c>
      <c r="M31" s="38" t="str">
        <f ca="1">IFERROR(__xludf.DUMMYFUNCTION("""COMPUTED_VALUE"""),"Yccn")</f>
        <v>Yccn</v>
      </c>
      <c r="N31" s="38" t="str">
        <f ca="1">IFERROR(__xludf.DUMMYFUNCTION("""COMPUTED_VALUE"""),"Femenino")</f>
        <v>Femenino</v>
      </c>
      <c r="O31" s="38" t="str">
        <f ca="1">IFERROR(__xludf.DUMMYFUNCTION("""COMPUTED_VALUE"""),"OPTIMIST PRINCIPIANTES")</f>
        <v>OPTIMIST PRINCIPIANTES</v>
      </c>
      <c r="P31" s="38"/>
      <c r="Q31" s="38" t="str">
        <f ca="1">IFERROR(__xludf.DUMMYFUNCTION("""COMPUTED_VALUE"""),"ARG3295")</f>
        <v>ARG3295</v>
      </c>
      <c r="R31" s="38" t="str">
        <f ca="1">IFERROR(__xludf.DUMMYFUNCTION("""COMPUTED_VALUE"""),"Tormenta")</f>
        <v>Tormenta</v>
      </c>
      <c r="S31" s="38"/>
      <c r="T31" s="38"/>
      <c r="U31" s="38"/>
      <c r="V31" s="38"/>
      <c r="W31" s="38"/>
      <c r="X31" s="38"/>
      <c r="Y31" s="38" t="str">
        <f ca="1">IFERROR(__xludf.DUMMYFUNCTION("""COMPUTED_VALUE"""),"Galeno 0171025902 08")</f>
        <v>Galeno 0171025902 08</v>
      </c>
      <c r="Z31" s="6" t="str">
        <f ca="1">IFERROR(__xludf.DUMMYFUNCTION("""COMPUTED_VALUE"""),"No")</f>
        <v>No</v>
      </c>
      <c r="AA31" s="6" t="str">
        <f ca="1">IFERROR(__xludf.DUMMYFUNCTION("""COMPUTED_VALUE"""),"Acepto")</f>
        <v>Acepto</v>
      </c>
      <c r="AB31" s="6" t="str">
        <f ca="1">IFERROR(__xludf.DUMMYFUNCTION("""COMPUTED_VALUE"""),"Terminado")</f>
        <v>Terminado</v>
      </c>
      <c r="AC31" s="6">
        <f ca="1">IFERROR(__xludf.DUMMYFUNCTION("""COMPUTED_VALUE"""),50000)</f>
        <v>50000</v>
      </c>
      <c r="AD31" s="6">
        <f ca="1">IFERROR(__xludf.DUMMYFUNCTION("""COMPUTED_VALUE"""),205377)</f>
        <v>205377</v>
      </c>
      <c r="AE31" s="6" t="str">
        <f ca="1">IFERROR(__xludf.DUMMYFUNCTION("""COMPUTED_VALUE"""),"TRF 02-09")</f>
        <v>TRF 02-09</v>
      </c>
      <c r="AF31" s="38"/>
      <c r="AG31" s="38"/>
    </row>
    <row r="32" spans="2:33" ht="15.75" customHeight="1">
      <c r="B32" s="35">
        <f ca="1">IFERROR(__xludf.DUMMYFUNCTION("""COMPUTED_VALUE"""),45535.7722239004)</f>
        <v>45535.7722239004</v>
      </c>
      <c r="C32" s="36" t="str">
        <f ca="1">IFERROR(__xludf.DUMMYFUNCTION("""COMPUTED_VALUE"""),"De Bernardis ")</f>
        <v xml:space="preserve">De Bernardis </v>
      </c>
      <c r="D32" s="36" t="str">
        <f ca="1">IFERROR(__xludf.DUMMYFUNCTION("""COMPUTED_VALUE"""),"Gael")</f>
        <v>Gael</v>
      </c>
      <c r="E32" s="36" t="str">
        <f ca="1">IFERROR(__xludf.DUMMYFUNCTION("""COMPUTED_VALUE"""),"CABA ")</f>
        <v xml:space="preserve">CABA </v>
      </c>
      <c r="F32" s="6" t="str">
        <f ca="1">IFERROR(__xludf.DUMMYFUNCTION("""COMPUTED_VALUE"""),"ARG")</f>
        <v>ARG</v>
      </c>
      <c r="G32" s="6">
        <f ca="1">IFERROR(__xludf.DUMMYFUNCTION("""COMPUTED_VALUE"""),53645984)</f>
        <v>53645984</v>
      </c>
      <c r="H32" s="37">
        <f ca="1">IFERROR(__xludf.DUMMYFUNCTION("""COMPUTED_VALUE"""),41628)</f>
        <v>41628</v>
      </c>
      <c r="I32" s="38">
        <f ca="1">IFERROR(__xludf.DUMMYFUNCTION("""COMPUTED_VALUE"""),5491160461122)</f>
        <v>5491160461122</v>
      </c>
      <c r="J32" s="38">
        <f ca="1">IFERROR(__xludf.DUMMYFUNCTION("""COMPUTED_VALUE"""),5491140918515)</f>
        <v>5491140918515</v>
      </c>
      <c r="K32" s="38" t="str">
        <f ca="1">IFERROR(__xludf.DUMMYFUNCTION("""COMPUTED_VALUE"""),"Pmdebernardis@gmail.com")</f>
        <v>Pmdebernardis@gmail.com</v>
      </c>
      <c r="L32" s="38" t="str">
        <f ca="1">IFERROR(__xludf.DUMMYFUNCTION("""COMPUTED_VALUE"""),"Masculino")</f>
        <v>Masculino</v>
      </c>
      <c r="M32" s="38" t="str">
        <f ca="1">IFERROR(__xludf.DUMMYFUNCTION("""COMPUTED_VALUE"""),"YCA")</f>
        <v>YCA</v>
      </c>
      <c r="N32" s="38" t="str">
        <f ca="1">IFERROR(__xludf.DUMMYFUNCTION("""COMPUTED_VALUE"""),"Interior (Optimist)")</f>
        <v>Interior (Optimist)</v>
      </c>
      <c r="O32" s="38" t="str">
        <f ca="1">IFERROR(__xludf.DUMMYFUNCTION("""COMPUTED_VALUE"""),"OPTIMIST PRINCIPIANTES")</f>
        <v>OPTIMIST PRINCIPIANTES</v>
      </c>
      <c r="P32" s="38"/>
      <c r="Q32" s="38">
        <f ca="1">IFERROR(__xludf.DUMMYFUNCTION("""COMPUTED_VALUE"""),3800)</f>
        <v>3800</v>
      </c>
      <c r="R32" s="38"/>
      <c r="S32" s="38"/>
      <c r="T32" s="38"/>
      <c r="U32" s="38"/>
      <c r="V32" s="38"/>
      <c r="W32" s="38"/>
      <c r="X32" s="38"/>
      <c r="Y32" s="38" t="str">
        <f ca="1">IFERROR(__xludf.DUMMYFUNCTION("""COMPUTED_VALUE"""),"OMINT 102033806")</f>
        <v>OMINT 102033806</v>
      </c>
      <c r="Z32" s="6" t="str">
        <f ca="1">IFERROR(__xludf.DUMMYFUNCTION("""COMPUTED_VALUE"""),"No")</f>
        <v>No</v>
      </c>
      <c r="AA32" s="6" t="str">
        <f ca="1">IFERROR(__xludf.DUMMYFUNCTION("""COMPUTED_VALUE"""),"Acepto")</f>
        <v>Acepto</v>
      </c>
      <c r="AB32" s="6" t="str">
        <f ca="1">IFERROR(__xludf.DUMMYFUNCTION("""COMPUTED_VALUE"""),"Terminado")</f>
        <v>Terminado</v>
      </c>
      <c r="AC32" s="6">
        <f ca="1">IFERROR(__xludf.DUMMYFUNCTION("""COMPUTED_VALUE"""),50000)</f>
        <v>50000</v>
      </c>
      <c r="AD32" s="6">
        <f ca="1">IFERROR(__xludf.DUMMYFUNCTION("""COMPUTED_VALUE"""),205348)</f>
        <v>205348</v>
      </c>
      <c r="AE32" s="6" t="str">
        <f ca="1">IFERROR(__xludf.DUMMYFUNCTION("""COMPUTED_VALUE"""),"TRF 31-08")</f>
        <v>TRF 31-08</v>
      </c>
      <c r="AF32" s="38"/>
      <c r="AG32" s="38"/>
    </row>
    <row r="33" spans="2:33" ht="15.75" customHeight="1">
      <c r="B33" s="35">
        <f ca="1">IFERROR(__xludf.DUMMYFUNCTION("""COMPUTED_VALUE"""),45531.8002344328)</f>
        <v>45531.800234432798</v>
      </c>
      <c r="C33" s="36" t="str">
        <f ca="1">IFERROR(__xludf.DUMMYFUNCTION("""COMPUTED_VALUE"""),"Lucia")</f>
        <v>Lucia</v>
      </c>
      <c r="D33" s="36" t="str">
        <f ca="1">IFERROR(__xludf.DUMMYFUNCTION("""COMPUTED_VALUE"""),"Galli Kluge")</f>
        <v>Galli Kluge</v>
      </c>
      <c r="E33" s="36" t="str">
        <f ca="1">IFERROR(__xludf.DUMMYFUNCTION("""COMPUTED_VALUE"""),"CABA")</f>
        <v>CABA</v>
      </c>
      <c r="F33" s="6" t="str">
        <f ca="1">IFERROR(__xludf.DUMMYFUNCTION("""COMPUTED_VALUE"""),"ARG")</f>
        <v>ARG</v>
      </c>
      <c r="G33" s="6">
        <f ca="1">IFERROR(__xludf.DUMMYFUNCTION("""COMPUTED_VALUE"""),52141121)</f>
        <v>52141121</v>
      </c>
      <c r="H33" s="37">
        <f ca="1">IFERROR(__xludf.DUMMYFUNCTION("""COMPUTED_VALUE"""),40946)</f>
        <v>40946</v>
      </c>
      <c r="I33" s="38">
        <f ca="1">IFERROR(__xludf.DUMMYFUNCTION("""COMPUTED_VALUE"""),1131637901)</f>
        <v>1131637901</v>
      </c>
      <c r="J33" s="38">
        <f ca="1">IFERROR(__xludf.DUMMYFUNCTION("""COMPUTED_VALUE"""),1131637901)</f>
        <v>1131637901</v>
      </c>
      <c r="K33" s="38" t="str">
        <f ca="1">IFERROR(__xludf.DUMMYFUNCTION("""COMPUTED_VALUE"""),"martinianogalli@gmail.com")</f>
        <v>martinianogalli@gmail.com</v>
      </c>
      <c r="L33" s="38" t="str">
        <f ca="1">IFERROR(__xludf.DUMMYFUNCTION("""COMPUTED_VALUE"""),"Femenino")</f>
        <v>Femenino</v>
      </c>
      <c r="M33" s="38" t="str">
        <f ca="1">IFERROR(__xludf.DUMMYFUNCTION("""COMPUTED_VALUE"""),"CVB")</f>
        <v>CVB</v>
      </c>
      <c r="N33" s="38" t="str">
        <f ca="1">IFERROR(__xludf.DUMMYFUNCTION("""COMPUTED_VALUE"""),"Femenino")</f>
        <v>Femenino</v>
      </c>
      <c r="O33" s="38" t="str">
        <f ca="1">IFERROR(__xludf.DUMMYFUNCTION("""COMPUTED_VALUE"""),"OPTIMIST PRINCIPIANTES")</f>
        <v>OPTIMIST PRINCIPIANTES</v>
      </c>
      <c r="P33" s="38"/>
      <c r="Q33" s="38">
        <f ca="1">IFERROR(__xludf.DUMMYFUNCTION("""COMPUTED_VALUE"""),3162)</f>
        <v>3162</v>
      </c>
      <c r="R33" s="38"/>
      <c r="S33" s="38"/>
      <c r="T33" s="38"/>
      <c r="U33" s="38"/>
      <c r="V33" s="38"/>
      <c r="W33" s="38"/>
      <c r="X33" s="38"/>
      <c r="Y33" s="38" t="str">
        <f ca="1">IFERROR(__xludf.DUMMYFUNCTION("""COMPUTED_VALUE"""),"OSDE")</f>
        <v>OSDE</v>
      </c>
      <c r="Z33" s="6" t="str">
        <f ca="1">IFERROR(__xludf.DUMMYFUNCTION("""COMPUTED_VALUE"""),"Si")</f>
        <v>Si</v>
      </c>
      <c r="AA33" s="6" t="str">
        <f ca="1">IFERROR(__xludf.DUMMYFUNCTION("""COMPUTED_VALUE"""),"Acepto")</f>
        <v>Acepto</v>
      </c>
      <c r="AB33" s="6" t="str">
        <f ca="1">IFERROR(__xludf.DUMMYFUNCTION("""COMPUTED_VALUE"""),"Terminado")</f>
        <v>Terminado</v>
      </c>
      <c r="AC33" s="6">
        <f ca="1">IFERROR(__xludf.DUMMYFUNCTION("""COMPUTED_VALUE"""),50000)</f>
        <v>50000</v>
      </c>
      <c r="AD33" s="6">
        <f ca="1">IFERROR(__xludf.DUMMYFUNCTION("""COMPUTED_VALUE"""),205060)</f>
        <v>205060</v>
      </c>
      <c r="AE33" s="6" t="str">
        <f ca="1">IFERROR(__xludf.DUMMYFUNCTION("""COMPUTED_VALUE"""),"TRF 27-08")</f>
        <v>TRF 27-08</v>
      </c>
      <c r="AF33" s="38"/>
      <c r="AG33" s="38"/>
    </row>
    <row r="34" spans="2:33" ht="15.75" customHeight="1">
      <c r="B34" s="35">
        <f ca="1">IFERROR(__xludf.DUMMYFUNCTION("""COMPUTED_VALUE"""),45535.6639923958)</f>
        <v>45535.663992395799</v>
      </c>
      <c r="C34" s="36" t="str">
        <f ca="1">IFERROR(__xludf.DUMMYFUNCTION("""COMPUTED_VALUE"""),"Thiago Nahuel")</f>
        <v>Thiago Nahuel</v>
      </c>
      <c r="D34" s="36" t="str">
        <f ca="1">IFERROR(__xludf.DUMMYFUNCTION("""COMPUTED_VALUE"""),"García Cecolisio")</f>
        <v>García Cecolisio</v>
      </c>
      <c r="E34" s="36" t="str">
        <f ca="1">IFERROR(__xludf.DUMMYFUNCTION("""COMPUTED_VALUE"""),"San Isidro")</f>
        <v>San Isidro</v>
      </c>
      <c r="F34" s="6" t="str">
        <f ca="1">IFERROR(__xludf.DUMMYFUNCTION("""COMPUTED_VALUE"""),"ARG")</f>
        <v>ARG</v>
      </c>
      <c r="G34" s="6">
        <f ca="1">IFERROR(__xludf.DUMMYFUNCTION("""COMPUTED_VALUE"""),53896167)</f>
        <v>53896167</v>
      </c>
      <c r="H34" s="37">
        <f ca="1">IFERROR(__xludf.DUMMYFUNCTION("""COMPUTED_VALUE"""),41717)</f>
        <v>41717</v>
      </c>
      <c r="I34" s="38">
        <f ca="1">IFERROR(__xludf.DUMMYFUNCTION("""COMPUTED_VALUE"""),1136996219)</f>
        <v>1136996219</v>
      </c>
      <c r="J34" s="38">
        <f ca="1">IFERROR(__xludf.DUMMYFUNCTION("""COMPUTED_VALUE"""),1136996219)</f>
        <v>1136996219</v>
      </c>
      <c r="K34" s="38" t="str">
        <f ca="1">IFERROR(__xludf.DUMMYFUNCTION("""COMPUTED_VALUE"""),"gfgg100@yahoo.com.ar")</f>
        <v>gfgg100@yahoo.com.ar</v>
      </c>
      <c r="L34" s="38" t="str">
        <f ca="1">IFERROR(__xludf.DUMMYFUNCTION("""COMPUTED_VALUE"""),"Masculino")</f>
        <v>Masculino</v>
      </c>
      <c r="M34" s="38" t="str">
        <f ca="1">IFERROR(__xludf.DUMMYFUNCTION("""COMPUTED_VALUE"""),"CNGSM")</f>
        <v>CNGSM</v>
      </c>
      <c r="N34" s="38" t="str">
        <f ca="1">IFERROR(__xludf.DUMMYFUNCTION("""COMPUTED_VALUE"""),"Optimist")</f>
        <v>Optimist</v>
      </c>
      <c r="O34" s="38" t="str">
        <f ca="1">IFERROR(__xludf.DUMMYFUNCTION("""COMPUTED_VALUE"""),"OPTIMIST PRINCIPIANTES")</f>
        <v>OPTIMIST PRINCIPIANTES</v>
      </c>
      <c r="P34" s="38"/>
      <c r="Q34" s="38">
        <f ca="1">IFERROR(__xludf.DUMMYFUNCTION("""COMPUTED_VALUE"""),3447)</f>
        <v>3447</v>
      </c>
      <c r="R34" s="38"/>
      <c r="S34" s="38"/>
      <c r="T34" s="38"/>
      <c r="U34" s="38"/>
      <c r="V34" s="38"/>
      <c r="W34" s="38"/>
      <c r="X34" s="38"/>
      <c r="Y34" s="38" t="str">
        <f ca="1">IFERROR(__xludf.DUMMYFUNCTION("""COMPUTED_VALUE"""),"Osde 60849216603")</f>
        <v>Osde 60849216603</v>
      </c>
      <c r="Z34" s="6" t="str">
        <f ca="1">IFERROR(__xludf.DUMMYFUNCTION("""COMPUTED_VALUE"""),"No")</f>
        <v>No</v>
      </c>
      <c r="AA34" s="6" t="str">
        <f ca="1">IFERROR(__xludf.DUMMYFUNCTION("""COMPUTED_VALUE"""),"Acepto")</f>
        <v>Acepto</v>
      </c>
      <c r="AB34" s="6" t="str">
        <f ca="1">IFERROR(__xludf.DUMMYFUNCTION("""COMPUTED_VALUE"""),"Terminado")</f>
        <v>Terminado</v>
      </c>
      <c r="AC34" s="6">
        <f ca="1">IFERROR(__xludf.DUMMYFUNCTION("""COMPUTED_VALUE"""),50000)</f>
        <v>50000</v>
      </c>
      <c r="AD34" s="6">
        <f ca="1">IFERROR(__xludf.DUMMYFUNCTION("""COMPUTED_VALUE"""),205361)</f>
        <v>205361</v>
      </c>
      <c r="AE34" s="6" t="str">
        <f ca="1">IFERROR(__xludf.DUMMYFUNCTION("""COMPUTED_VALUE"""),"TRF 31-08")</f>
        <v>TRF 31-08</v>
      </c>
      <c r="AF34" s="38"/>
      <c r="AG34" s="38"/>
    </row>
    <row r="35" spans="2:33" ht="15.75" customHeight="1">
      <c r="B35" s="35">
        <f ca="1">IFERROR(__xludf.DUMMYFUNCTION("""COMPUTED_VALUE"""),45536.9188653356)</f>
        <v>45536.918865335603</v>
      </c>
      <c r="C35" s="36" t="str">
        <f ca="1">IFERROR(__xludf.DUMMYFUNCTION("""COMPUTED_VALUE"""),"Indiana")</f>
        <v>Indiana</v>
      </c>
      <c r="D35" s="36" t="str">
        <f ca="1">IFERROR(__xludf.DUMMYFUNCTION("""COMPUTED_VALUE"""),"Garro")</f>
        <v>Garro</v>
      </c>
      <c r="E35" s="36" t="str">
        <f ca="1">IFERROR(__xludf.DUMMYFUNCTION("""COMPUTED_VALUE"""),"Tigre")</f>
        <v>Tigre</v>
      </c>
      <c r="F35" s="6" t="str">
        <f ca="1">IFERROR(__xludf.DUMMYFUNCTION("""COMPUTED_VALUE"""),"ARG")</f>
        <v>ARG</v>
      </c>
      <c r="G35" s="6">
        <f ca="1">IFERROR(__xludf.DUMMYFUNCTION("""COMPUTED_VALUE"""),51330536)</f>
        <v>51330536</v>
      </c>
      <c r="H35" s="37">
        <f ca="1">IFERROR(__xludf.DUMMYFUNCTION("""COMPUTED_VALUE"""),40823)</f>
        <v>40823</v>
      </c>
      <c r="I35" s="38">
        <f ca="1">IFERROR(__xludf.DUMMYFUNCTION("""COMPUTED_VALUE"""),1134070484)</f>
        <v>1134070484</v>
      </c>
      <c r="J35" s="38"/>
      <c r="K35" s="38" t="str">
        <f ca="1">IFERROR(__xludf.DUMMYFUNCTION("""COMPUTED_VALUE"""),"ani1407@yahoo.com.ar")</f>
        <v>ani1407@yahoo.com.ar</v>
      </c>
      <c r="L35" s="38" t="str">
        <f ca="1">IFERROR(__xludf.DUMMYFUNCTION("""COMPUTED_VALUE"""),"Femenino")</f>
        <v>Femenino</v>
      </c>
      <c r="M35" s="38" t="str">
        <f ca="1">IFERROR(__xludf.DUMMYFUNCTION("""COMPUTED_VALUE"""),"CVB")</f>
        <v>CVB</v>
      </c>
      <c r="N35" s="38" t="str">
        <f ca="1">IFERROR(__xludf.DUMMYFUNCTION("""COMPUTED_VALUE"""),"Femenino")</f>
        <v>Femenino</v>
      </c>
      <c r="O35" s="38" t="str">
        <f ca="1">IFERROR(__xludf.DUMMYFUNCTION("""COMPUTED_VALUE"""),"OPTIMIST PRINCIPIANTES")</f>
        <v>OPTIMIST PRINCIPIANTES</v>
      </c>
      <c r="P35" s="38"/>
      <c r="Q35" s="38">
        <f ca="1">IFERROR(__xludf.DUMMYFUNCTION("""COMPUTED_VALUE"""),3630)</f>
        <v>3630</v>
      </c>
      <c r="R35" s="38" t="str">
        <f ca="1">IFERROR(__xludf.DUMMYFUNCTION("""COMPUTED_VALUE"""),"Aloha")</f>
        <v>Aloha</v>
      </c>
      <c r="S35" s="38"/>
      <c r="T35" s="38"/>
      <c r="U35" s="38"/>
      <c r="V35" s="38"/>
      <c r="W35" s="38"/>
      <c r="X35" s="38"/>
      <c r="Y35" s="38"/>
      <c r="Z35" s="6" t="str">
        <f ca="1">IFERROR(__xludf.DUMMYFUNCTION("""COMPUTED_VALUE"""),"No")</f>
        <v>No</v>
      </c>
      <c r="AA35" s="6" t="str">
        <f ca="1">IFERROR(__xludf.DUMMYFUNCTION("""COMPUTED_VALUE"""),"Acepto")</f>
        <v>Acepto</v>
      </c>
      <c r="AB35" s="6" t="str">
        <f ca="1">IFERROR(__xludf.DUMMYFUNCTION("""COMPUTED_VALUE"""),"Terminado")</f>
        <v>Terminado</v>
      </c>
      <c r="AC35" s="6">
        <f ca="1">IFERROR(__xludf.DUMMYFUNCTION("""COMPUTED_VALUE"""),50000)</f>
        <v>50000</v>
      </c>
      <c r="AD35" s="6">
        <f ca="1">IFERROR(__xludf.DUMMYFUNCTION("""COMPUTED_VALUE"""),205393)</f>
        <v>205393</v>
      </c>
      <c r="AE35" s="6" t="str">
        <f ca="1">IFERROR(__xludf.DUMMYFUNCTION("""COMPUTED_VALUE"""),"TRF 02-09")</f>
        <v>TRF 02-09</v>
      </c>
      <c r="AF35" s="38"/>
      <c r="AG35" s="38"/>
    </row>
    <row r="36" spans="2:33" ht="15.75" customHeight="1">
      <c r="B36" s="35">
        <f ca="1">IFERROR(__xludf.DUMMYFUNCTION("""COMPUTED_VALUE"""),45535.8968420949)</f>
        <v>45535.896842094902</v>
      </c>
      <c r="C36" s="36" t="str">
        <f ca="1">IFERROR(__xludf.DUMMYFUNCTION("""COMPUTED_VALUE"""),"Santiago Gaspar")</f>
        <v>Santiago Gaspar</v>
      </c>
      <c r="D36" s="36" t="str">
        <f ca="1">IFERROR(__xludf.DUMMYFUNCTION("""COMPUTED_VALUE"""),"Gonzalez")</f>
        <v>Gonzalez</v>
      </c>
      <c r="E36" s="36" t="str">
        <f ca="1">IFERROR(__xludf.DUMMYFUNCTION("""COMPUTED_VALUE"""),"Buenos aires")</f>
        <v>Buenos aires</v>
      </c>
      <c r="F36" s="6" t="str">
        <f ca="1">IFERROR(__xludf.DUMMYFUNCTION("""COMPUTED_VALUE"""),"ARG")</f>
        <v>ARG</v>
      </c>
      <c r="G36" s="6">
        <f ca="1">IFERROR(__xludf.DUMMYFUNCTION("""COMPUTED_VALUE"""),51390049)</f>
        <v>51390049</v>
      </c>
      <c r="H36" s="37">
        <f ca="1">IFERROR(__xludf.DUMMYFUNCTION("""COMPUTED_VALUE"""),40773)</f>
        <v>40773</v>
      </c>
      <c r="I36" s="38">
        <f ca="1">IFERROR(__xludf.DUMMYFUNCTION("""COMPUTED_VALUE"""),1167049300)</f>
        <v>1167049300</v>
      </c>
      <c r="J36" s="38">
        <f ca="1">IFERROR(__xludf.DUMMYFUNCTION("""COMPUTED_VALUE"""),1567049500)</f>
        <v>1567049500</v>
      </c>
      <c r="K36" s="38" t="str">
        <f ca="1">IFERROR(__xludf.DUMMYFUNCTION("""COMPUTED_VALUE"""),"hdibatista@gmail.com")</f>
        <v>hdibatista@gmail.com</v>
      </c>
      <c r="L36" s="38" t="str">
        <f ca="1">IFERROR(__xludf.DUMMYFUNCTION("""COMPUTED_VALUE"""),"Masculino")</f>
        <v>Masculino</v>
      </c>
      <c r="M36" s="38" t="str">
        <f ca="1">IFERROR(__xludf.DUMMYFUNCTION("""COMPUTED_VALUE"""),"Cnas")</f>
        <v>Cnas</v>
      </c>
      <c r="N36" s="38"/>
      <c r="O36" s="38" t="str">
        <f ca="1">IFERROR(__xludf.DUMMYFUNCTION("""COMPUTED_VALUE"""),"OPTIMIST PRINCIPIANTES")</f>
        <v>OPTIMIST PRINCIPIANTES</v>
      </c>
      <c r="P36" s="38"/>
      <c r="Q36" s="38">
        <f ca="1">IFERROR(__xludf.DUMMYFUNCTION("""COMPUTED_VALUE"""),4161)</f>
        <v>4161</v>
      </c>
      <c r="R36" s="38"/>
      <c r="S36" s="38"/>
      <c r="T36" s="38"/>
      <c r="U36" s="38"/>
      <c r="V36" s="38"/>
      <c r="W36" s="38"/>
      <c r="X36" s="38"/>
      <c r="Y36" s="38" t="str">
        <f ca="1">IFERROR(__xludf.DUMMYFUNCTION("""COMPUTED_VALUE"""),"Galeno Oro")</f>
        <v>Galeno Oro</v>
      </c>
      <c r="Z36" s="6" t="str">
        <f ca="1">IFERROR(__xludf.DUMMYFUNCTION("""COMPUTED_VALUE"""),"Si")</f>
        <v>Si</v>
      </c>
      <c r="AA36" s="6" t="str">
        <f ca="1">IFERROR(__xludf.DUMMYFUNCTION("""COMPUTED_VALUE"""),"Acepto")</f>
        <v>Acepto</v>
      </c>
      <c r="AB36" s="6" t="str">
        <f ca="1">IFERROR(__xludf.DUMMYFUNCTION("""COMPUTED_VALUE"""),"Pendiente")</f>
        <v>Pendiente</v>
      </c>
      <c r="AC36" s="6"/>
      <c r="AD36" s="6"/>
      <c r="AE36" s="6"/>
      <c r="AF36" s="38"/>
      <c r="AG36" s="38"/>
    </row>
    <row r="37" spans="2:33" ht="15.75" customHeight="1">
      <c r="B37" s="35">
        <f ca="1">IFERROR(__xludf.DUMMYFUNCTION("""COMPUTED_VALUE"""),45534.6632291087)</f>
        <v>45534.663229108701</v>
      </c>
      <c r="C37" s="36" t="str">
        <f ca="1">IFERROR(__xludf.DUMMYFUNCTION("""COMPUTED_VALUE"""),"Juan Sebastian")</f>
        <v>Juan Sebastian</v>
      </c>
      <c r="D37" s="36" t="str">
        <f ca="1">IFERROR(__xludf.DUMMYFUNCTION("""COMPUTED_VALUE"""),"Gonzalez Espinola")</f>
        <v>Gonzalez Espinola</v>
      </c>
      <c r="E37" s="36" t="str">
        <f ca="1">IFERROR(__xludf.DUMMYFUNCTION("""COMPUTED_VALUE"""),"C.a.b.a")</f>
        <v>C.a.b.a</v>
      </c>
      <c r="F37" s="6" t="str">
        <f ca="1">IFERROR(__xludf.DUMMYFUNCTION("""COMPUTED_VALUE"""),"ARG")</f>
        <v>ARG</v>
      </c>
      <c r="G37" s="6">
        <f ca="1">IFERROR(__xludf.DUMMYFUNCTION("""COMPUTED_VALUE"""),52764512)</f>
        <v>52764512</v>
      </c>
      <c r="H37" s="37">
        <f ca="1">IFERROR(__xludf.DUMMYFUNCTION("""COMPUTED_VALUE"""),41194)</f>
        <v>41194</v>
      </c>
      <c r="I37" s="38">
        <f ca="1">IFERROR(__xludf.DUMMYFUNCTION("""COMPUTED_VALUE"""),1151014498)</f>
        <v>1151014498</v>
      </c>
      <c r="J37" s="38">
        <f ca="1">IFERROR(__xludf.DUMMYFUNCTION("""COMPUTED_VALUE"""),1151082053)</f>
        <v>1151082053</v>
      </c>
      <c r="K37" s="38" t="str">
        <f ca="1">IFERROR(__xludf.DUMMYFUNCTION("""COMPUTED_VALUE"""),"lidiaespinola12@gmail.com")</f>
        <v>lidiaespinola12@gmail.com</v>
      </c>
      <c r="L37" s="38" t="str">
        <f ca="1">IFERROR(__xludf.DUMMYFUNCTION("""COMPUTED_VALUE"""),"Masculino")</f>
        <v>Masculino</v>
      </c>
      <c r="M37" s="38" t="str">
        <f ca="1">IFERROR(__xludf.DUMMYFUNCTION("""COMPUTED_VALUE"""),"CGLNM")</f>
        <v>CGLNM</v>
      </c>
      <c r="N37" s="38" t="str">
        <f ca="1">IFERROR(__xludf.DUMMYFUNCTION("""COMPUTED_VALUE"""),"Interior (Optimist)")</f>
        <v>Interior (Optimist)</v>
      </c>
      <c r="O37" s="38" t="str">
        <f ca="1">IFERROR(__xludf.DUMMYFUNCTION("""COMPUTED_VALUE"""),"OPTIMIST PRINCIPIANTES")</f>
        <v>OPTIMIST PRINCIPIANTES</v>
      </c>
      <c r="P37" s="38"/>
      <c r="Q37" s="38">
        <f ca="1">IFERROR(__xludf.DUMMYFUNCTION("""COMPUTED_VALUE"""),3782)</f>
        <v>3782</v>
      </c>
      <c r="R37" s="38" t="str">
        <f ca="1">IFERROR(__xludf.DUMMYFUNCTION("""COMPUTED_VALUE"""),"Tormenta")</f>
        <v>Tormenta</v>
      </c>
      <c r="S37" s="38"/>
      <c r="T37" s="38"/>
      <c r="U37" s="38"/>
      <c r="V37" s="38"/>
      <c r="W37" s="38"/>
      <c r="X37" s="38"/>
      <c r="Y37" s="38" t="str">
        <f ca="1">IFERROR(__xludf.DUMMYFUNCTION("""COMPUTED_VALUE"""),"OMINT")</f>
        <v>OMINT</v>
      </c>
      <c r="Z37" s="6" t="str">
        <f ca="1">IFERROR(__xludf.DUMMYFUNCTION("""COMPUTED_VALUE"""),"Si")</f>
        <v>Si</v>
      </c>
      <c r="AA37" s="6" t="str">
        <f ca="1">IFERROR(__xludf.DUMMYFUNCTION("""COMPUTED_VALUE"""),"Acepto")</f>
        <v>Acepto</v>
      </c>
      <c r="AB37" s="6" t="str">
        <f ca="1">IFERROR(__xludf.DUMMYFUNCTION("""COMPUTED_VALUE"""),"Terminado")</f>
        <v>Terminado</v>
      </c>
      <c r="AC37" s="6">
        <f ca="1">IFERROR(__xludf.DUMMYFUNCTION("""COMPUTED_VALUE"""),50000)</f>
        <v>50000</v>
      </c>
      <c r="AD37" s="6">
        <f ca="1">IFERROR(__xludf.DUMMYFUNCTION("""COMPUTED_VALUE"""),205363)</f>
        <v>205363</v>
      </c>
      <c r="AE37" s="6" t="str">
        <f ca="1">IFERROR(__xludf.DUMMYFUNCTION("""COMPUTED_VALUE"""),"TRF 31-08")</f>
        <v>TRF 31-08</v>
      </c>
      <c r="AF37" s="38"/>
      <c r="AG37" s="38"/>
    </row>
    <row r="38" spans="2:33" ht="15.75" customHeight="1">
      <c r="B38" s="35">
        <f ca="1">IFERROR(__xludf.DUMMYFUNCTION("""COMPUTED_VALUE"""),45539.8277520023)</f>
        <v>45539.827752002297</v>
      </c>
      <c r="C38" s="36" t="str">
        <f ca="1">IFERROR(__xludf.DUMMYFUNCTION("""COMPUTED_VALUE"""),"Quinto")</f>
        <v>Quinto</v>
      </c>
      <c r="D38" s="36" t="str">
        <f ca="1">IFERROR(__xludf.DUMMYFUNCTION("""COMPUTED_VALUE"""),"Graham")</f>
        <v>Graham</v>
      </c>
      <c r="E38" s="36" t="str">
        <f ca="1">IFERROR(__xludf.DUMMYFUNCTION("""COMPUTED_VALUE"""),"San Isidro")</f>
        <v>San Isidro</v>
      </c>
      <c r="F38" s="6" t="str">
        <f ca="1">IFERROR(__xludf.DUMMYFUNCTION("""COMPUTED_VALUE"""),"ARG")</f>
        <v>ARG</v>
      </c>
      <c r="G38" s="6">
        <f ca="1">IFERROR(__xludf.DUMMYFUNCTION("""COMPUTED_VALUE"""),53240593)</f>
        <v>53240593</v>
      </c>
      <c r="H38" s="37">
        <f ca="1">IFERROR(__xludf.DUMMYFUNCTION("""COMPUTED_VALUE"""),41417)</f>
        <v>41417</v>
      </c>
      <c r="I38" s="38">
        <f ca="1">IFERROR(__xludf.DUMMYFUNCTION("""COMPUTED_VALUE"""),44017277)</f>
        <v>44017277</v>
      </c>
      <c r="J38" s="38">
        <f ca="1">IFERROR(__xludf.DUMMYFUNCTION("""COMPUTED_VALUE"""),40427317)</f>
        <v>40427317</v>
      </c>
      <c r="K38" s="38" t="str">
        <f ca="1">IFERROR(__xludf.DUMMYFUNCTION("""COMPUTED_VALUE"""),"luciograham@hotmail.com")</f>
        <v>luciograham@hotmail.com</v>
      </c>
      <c r="L38" s="38" t="str">
        <f ca="1">IFERROR(__xludf.DUMMYFUNCTION("""COMPUTED_VALUE"""),"Masculino")</f>
        <v>Masculino</v>
      </c>
      <c r="M38" s="38" t="str">
        <f ca="1">IFERROR(__xludf.DUMMYFUNCTION("""COMPUTED_VALUE"""),"CNSI")</f>
        <v>CNSI</v>
      </c>
      <c r="N38" s="38"/>
      <c r="O38" s="38" t="str">
        <f ca="1">IFERROR(__xludf.DUMMYFUNCTION("""COMPUTED_VALUE"""),"OPTIMIST PRINCIPIANTES")</f>
        <v>OPTIMIST PRINCIPIANTES</v>
      </c>
      <c r="P38" s="38"/>
      <c r="Q38" s="38">
        <f ca="1">IFERROR(__xludf.DUMMYFUNCTION("""COMPUTED_VALUE"""),3969)</f>
        <v>3969</v>
      </c>
      <c r="R38" s="38"/>
      <c r="S38" s="38"/>
      <c r="T38" s="38"/>
      <c r="U38" s="38"/>
      <c r="V38" s="38"/>
      <c r="W38" s="38"/>
      <c r="X38" s="38"/>
      <c r="Y38" s="38" t="str">
        <f ca="1">IFERROR(__xludf.DUMMYFUNCTION("""COMPUTED_VALUE"""),"Medicus")</f>
        <v>Medicus</v>
      </c>
      <c r="Z38" s="6" t="str">
        <f ca="1">IFERROR(__xludf.DUMMYFUNCTION("""COMPUTED_VALUE"""),"Si")</f>
        <v>Si</v>
      </c>
      <c r="AA38" s="6" t="str">
        <f ca="1">IFERROR(__xludf.DUMMYFUNCTION("""COMPUTED_VALUE"""),"Acepto")</f>
        <v>Acepto</v>
      </c>
      <c r="AB38" s="6" t="str">
        <f ca="1">IFERROR(__xludf.DUMMYFUNCTION("""COMPUTED_VALUE"""),"Terminado")</f>
        <v>Terminado</v>
      </c>
      <c r="AC38" s="6">
        <f ca="1">IFERROR(__xludf.DUMMYFUNCTION("""COMPUTED_VALUE"""),50000)</f>
        <v>50000</v>
      </c>
      <c r="AD38" s="6">
        <f ca="1">IFERROR(__xludf.DUMMYFUNCTION("""COMPUTED_VALUE"""),205453)</f>
        <v>205453</v>
      </c>
      <c r="AE38" s="6" t="str">
        <f ca="1">IFERROR(__xludf.DUMMYFUNCTION("""COMPUTED_VALUE"""),"TRF 04-09")</f>
        <v>TRF 04-09</v>
      </c>
      <c r="AF38" s="38"/>
      <c r="AG38" s="38"/>
    </row>
    <row r="39" spans="2:33" ht="15.75" customHeight="1">
      <c r="B39" s="35">
        <f ca="1">IFERROR(__xludf.DUMMYFUNCTION("""COMPUTED_VALUE"""),45539.8850473495)</f>
        <v>45539.885047349497</v>
      </c>
      <c r="C39" s="36" t="str">
        <f ca="1">IFERROR(__xludf.DUMMYFUNCTION("""COMPUTED_VALUE"""),"Tobías")</f>
        <v>Tobías</v>
      </c>
      <c r="D39" s="36" t="str">
        <f ca="1">IFERROR(__xludf.DUMMYFUNCTION("""COMPUTED_VALUE"""),"Grinblat Dermgerd")</f>
        <v>Grinblat Dermgerd</v>
      </c>
      <c r="E39" s="36" t="str">
        <f ca="1">IFERROR(__xludf.DUMMYFUNCTION("""COMPUTED_VALUE"""),"San Fernando ")</f>
        <v xml:space="preserve">San Fernando </v>
      </c>
      <c r="F39" s="6" t="str">
        <f ca="1">IFERROR(__xludf.DUMMYFUNCTION("""COMPUTED_VALUE"""),"ARG")</f>
        <v>ARG</v>
      </c>
      <c r="G39" s="6">
        <f ca="1">IFERROR(__xludf.DUMMYFUNCTION("""COMPUTED_VALUE"""),51700380)</f>
        <v>51700380</v>
      </c>
      <c r="H39" s="37">
        <f ca="1">IFERROR(__xludf.DUMMYFUNCTION("""COMPUTED_VALUE"""),41089)</f>
        <v>41089</v>
      </c>
      <c r="I39" s="38" t="str">
        <f ca="1">IFERROR(__xludf.DUMMYFUNCTION("""COMPUTED_VALUE"""),"+5491154565555")</f>
        <v>+5491154565555</v>
      </c>
      <c r="J39" s="38" t="str">
        <f ca="1">IFERROR(__xludf.DUMMYFUNCTION("""COMPUTED_VALUE"""),"+5491155992222")</f>
        <v>+5491155992222</v>
      </c>
      <c r="K39" s="38" t="str">
        <f ca="1">IFERROR(__xludf.DUMMYFUNCTION("""COMPUTED_VALUE"""),"alegrinblat@gmail.com")</f>
        <v>alegrinblat@gmail.com</v>
      </c>
      <c r="L39" s="38" t="str">
        <f ca="1">IFERROR(__xludf.DUMMYFUNCTION("""COMPUTED_VALUE"""),"Masculino")</f>
        <v>Masculino</v>
      </c>
      <c r="M39" s="38" t="str">
        <f ca="1">IFERROR(__xludf.DUMMYFUNCTION("""COMPUTED_VALUE"""),"CNAS")</f>
        <v>CNAS</v>
      </c>
      <c r="N39" s="38"/>
      <c r="O39" s="38" t="str">
        <f ca="1">IFERROR(__xludf.DUMMYFUNCTION("""COMPUTED_VALUE"""),"OPTIMIST PRINCIPIANTES")</f>
        <v>OPTIMIST PRINCIPIANTES</v>
      </c>
      <c r="P39" s="38"/>
      <c r="Q39" s="38">
        <f ca="1">IFERROR(__xludf.DUMMYFUNCTION("""COMPUTED_VALUE"""),9536)</f>
        <v>9536</v>
      </c>
      <c r="R39" s="38" t="str">
        <f ca="1">IFERROR(__xludf.DUMMYFUNCTION("""COMPUTED_VALUE"""),"Sin nombre")</f>
        <v>Sin nombre</v>
      </c>
      <c r="S39" s="38" t="str">
        <f ca="1">IFERROR(__xludf.DUMMYFUNCTION("""COMPUTED_VALUE"""),"Tobías Grinblat Dermgerd")</f>
        <v>Tobías Grinblat Dermgerd</v>
      </c>
      <c r="T39" s="38"/>
      <c r="U39" s="38"/>
      <c r="V39" s="38"/>
      <c r="W39" s="38"/>
      <c r="X39" s="38"/>
      <c r="Y39" s="38" t="str">
        <f ca="1">IFERROR(__xludf.DUMMYFUNCTION("""COMPUTED_VALUE"""),"Swiss")</f>
        <v>Swiss</v>
      </c>
      <c r="Z39" s="6" t="str">
        <f ca="1">IFERROR(__xludf.DUMMYFUNCTION("""COMPUTED_VALUE"""),"Si")</f>
        <v>Si</v>
      </c>
      <c r="AA39" s="6" t="str">
        <f ca="1">IFERROR(__xludf.DUMMYFUNCTION("""COMPUTED_VALUE"""),"Acepto")</f>
        <v>Acepto</v>
      </c>
      <c r="AB39" s="6" t="str">
        <f ca="1">IFERROR(__xludf.DUMMYFUNCTION("""COMPUTED_VALUE"""),"Terminado")</f>
        <v>Terminado</v>
      </c>
      <c r="AC39" s="6">
        <f ca="1">IFERROR(__xludf.DUMMYFUNCTION("""COMPUTED_VALUE"""),70000)</f>
        <v>70000</v>
      </c>
      <c r="AD39" s="6">
        <f ca="1">IFERROR(__xludf.DUMMYFUNCTION("""COMPUTED_VALUE"""),205497)</f>
        <v>205497</v>
      </c>
      <c r="AE39" s="6" t="str">
        <f ca="1">IFERROR(__xludf.DUMMYFUNCTION("""COMPUTED_VALUE"""),"TRF 05-09")</f>
        <v>TRF 05-09</v>
      </c>
      <c r="AF39" s="38"/>
      <c r="AG39" s="38"/>
    </row>
    <row r="40" spans="2:33" ht="15.75" customHeight="1">
      <c r="B40" s="35">
        <f ca="1">IFERROR(__xludf.DUMMYFUNCTION("""COMPUTED_VALUE"""),45535.5319603703)</f>
        <v>45535.531960370303</v>
      </c>
      <c r="C40" s="36" t="str">
        <f ca="1">IFERROR(__xludf.DUMMYFUNCTION("""COMPUTED_VALUE"""),"ESTEFANIA")</f>
        <v>ESTEFANIA</v>
      </c>
      <c r="D40" s="36" t="str">
        <f ca="1">IFERROR(__xludf.DUMMYFUNCTION("""COMPUTED_VALUE"""),"GUERRA WEDER")</f>
        <v>GUERRA WEDER</v>
      </c>
      <c r="E40" s="36" t="str">
        <f ca="1">IFERROR(__xludf.DUMMYFUNCTION("""COMPUTED_VALUE"""),"ROSARIO")</f>
        <v>ROSARIO</v>
      </c>
      <c r="F40" s="6" t="str">
        <f ca="1">IFERROR(__xludf.DUMMYFUNCTION("""COMPUTED_VALUE"""),"ARG")</f>
        <v>ARG</v>
      </c>
      <c r="G40" s="6">
        <f ca="1">IFERROR(__xludf.DUMMYFUNCTION("""COMPUTED_VALUE"""),53618936)</f>
        <v>53618936</v>
      </c>
      <c r="H40" s="37">
        <f ca="1">IFERROR(__xludf.DUMMYFUNCTION("""COMPUTED_VALUE"""),41599)</f>
        <v>41599</v>
      </c>
      <c r="I40" s="38">
        <f ca="1">IFERROR(__xludf.DUMMYFUNCTION("""COMPUTED_VALUE"""),3413195438)</f>
        <v>3413195438</v>
      </c>
      <c r="J40" s="38">
        <f ca="1">IFERROR(__xludf.DUMMYFUNCTION("""COMPUTED_VALUE"""),3413195438)</f>
        <v>3413195438</v>
      </c>
      <c r="K40" s="38" t="str">
        <f ca="1">IFERROR(__xludf.DUMMYFUNCTION("""COMPUTED_VALUE"""),"florchus_guerra@hotmail.com")</f>
        <v>florchus_guerra@hotmail.com</v>
      </c>
      <c r="L40" s="38" t="str">
        <f ca="1">IFERROR(__xludf.DUMMYFUNCTION("""COMPUTED_VALUE"""),"Femenino")</f>
        <v>Femenino</v>
      </c>
      <c r="M40" s="38" t="str">
        <f ca="1">IFERROR(__xludf.DUMMYFUNCTION("""COMPUTED_VALUE"""),"CVR")</f>
        <v>CVR</v>
      </c>
      <c r="N40" s="38" t="str">
        <f ca="1">IFERROR(__xludf.DUMMYFUNCTION("""COMPUTED_VALUE"""),"Femenino, Interior (Optimist)")</f>
        <v>Femenino, Interior (Optimist)</v>
      </c>
      <c r="O40" s="38" t="str">
        <f ca="1">IFERROR(__xludf.DUMMYFUNCTION("""COMPUTED_VALUE"""),"OPTIMIST PRINCIPIANTES")</f>
        <v>OPTIMIST PRINCIPIANTES</v>
      </c>
      <c r="P40" s="38"/>
      <c r="Q40" s="38">
        <f ca="1">IFERROR(__xludf.DUMMYFUNCTION("""COMPUTED_VALUE"""),4159)</f>
        <v>4159</v>
      </c>
      <c r="R40" s="38" t="str">
        <f ca="1">IFERROR(__xludf.DUMMYFUNCTION("""COMPUTED_VALUE"""),"FLECHA")</f>
        <v>FLECHA</v>
      </c>
      <c r="S40" s="38"/>
      <c r="T40" s="38"/>
      <c r="U40" s="38"/>
      <c r="V40" s="38"/>
      <c r="W40" s="38"/>
      <c r="X40" s="38"/>
      <c r="Y40" s="38"/>
      <c r="Z40" s="6" t="str">
        <f ca="1">IFERROR(__xludf.DUMMYFUNCTION("""COMPUTED_VALUE"""),"No")</f>
        <v>No</v>
      </c>
      <c r="AA40" s="6" t="str">
        <f ca="1">IFERROR(__xludf.DUMMYFUNCTION("""COMPUTED_VALUE"""),"Acepto")</f>
        <v>Acepto</v>
      </c>
      <c r="AB40" s="6" t="str">
        <f ca="1">IFERROR(__xludf.DUMMYFUNCTION("""COMPUTED_VALUE"""),"Terminado")</f>
        <v>Terminado</v>
      </c>
      <c r="AC40" s="6">
        <f ca="1">IFERROR(__xludf.DUMMYFUNCTION("""COMPUTED_VALUE"""),60000)</f>
        <v>60000</v>
      </c>
      <c r="AD40" s="6">
        <f ca="1">IFERROR(__xludf.DUMMYFUNCTION("""COMPUTED_VALUE"""),205358)</f>
        <v>205358</v>
      </c>
      <c r="AE40" s="6" t="str">
        <f ca="1">IFERROR(__xludf.DUMMYFUNCTION("""COMPUTED_VALUE"""),"TRF 31-08")</f>
        <v>TRF 31-08</v>
      </c>
      <c r="AF40" s="38"/>
      <c r="AG40" s="38"/>
    </row>
    <row r="41" spans="2:33" ht="15.75" customHeight="1">
      <c r="B41" s="35">
        <f ca="1">IFERROR(__xludf.DUMMYFUNCTION("""COMPUTED_VALUE"""),45535.5929136805)</f>
        <v>45535.592913680499</v>
      </c>
      <c r="C41" s="36" t="str">
        <f ca="1">IFERROR(__xludf.DUMMYFUNCTION("""COMPUTED_VALUE"""),"Sofía")</f>
        <v>Sofía</v>
      </c>
      <c r="D41" s="36" t="str">
        <f ca="1">IFERROR(__xludf.DUMMYFUNCTION("""COMPUTED_VALUE"""),"Guille")</f>
        <v>Guille</v>
      </c>
      <c r="E41" s="36" t="str">
        <f ca="1">IFERROR(__xludf.DUMMYFUNCTION("""COMPUTED_VALUE"""),"Zárate")</f>
        <v>Zárate</v>
      </c>
      <c r="F41" s="6" t="str">
        <f ca="1">IFERROR(__xludf.DUMMYFUNCTION("""COMPUTED_VALUE"""),"ARG")</f>
        <v>ARG</v>
      </c>
      <c r="G41" s="6">
        <f ca="1">IFERROR(__xludf.DUMMYFUNCTION("""COMPUTED_VALUE"""),54297764)</f>
        <v>54297764</v>
      </c>
      <c r="H41" s="37">
        <f ca="1">IFERROR(__xludf.DUMMYFUNCTION("""COMPUTED_VALUE"""),41886)</f>
        <v>41886</v>
      </c>
      <c r="I41" s="38">
        <f ca="1">IFERROR(__xludf.DUMMYFUNCTION("""COMPUTED_VALUE"""),3487536965)</f>
        <v>3487536965</v>
      </c>
      <c r="J41" s="38">
        <f ca="1">IFERROR(__xludf.DUMMYFUNCTION("""COMPUTED_VALUE"""),3487471784)</f>
        <v>3487471784</v>
      </c>
      <c r="K41" s="38" t="str">
        <f ca="1">IFERROR(__xludf.DUMMYFUNCTION("""COMPUTED_VALUE"""),"mcecih@hotmail.com")</f>
        <v>mcecih@hotmail.com</v>
      </c>
      <c r="L41" s="38" t="str">
        <f ca="1">IFERROR(__xludf.DUMMYFUNCTION("""COMPUTED_VALUE"""),"Femenino")</f>
        <v>Femenino</v>
      </c>
      <c r="M41" s="38" t="str">
        <f ca="1">IFERROR(__xludf.DUMMYFUNCTION("""COMPUTED_VALUE"""),"CNZ")</f>
        <v>CNZ</v>
      </c>
      <c r="N41" s="38" t="str">
        <f ca="1">IFERROR(__xludf.DUMMYFUNCTION("""COMPUTED_VALUE"""),"Interior (Optimist)")</f>
        <v>Interior (Optimist)</v>
      </c>
      <c r="O41" s="38" t="str">
        <f ca="1">IFERROR(__xludf.DUMMYFUNCTION("""COMPUTED_VALUE"""),"OPTIMIST PRINCIPIANTES")</f>
        <v>OPTIMIST PRINCIPIANTES</v>
      </c>
      <c r="P41" s="38"/>
      <c r="Q41" s="38">
        <f ca="1">IFERROR(__xludf.DUMMYFUNCTION("""COMPUTED_VALUE"""),4064)</f>
        <v>4064</v>
      </c>
      <c r="R41" s="38" t="str">
        <f ca="1">IFERROR(__xludf.DUMMYFUNCTION("""COMPUTED_VALUE"""),"CHINA")</f>
        <v>CHINA</v>
      </c>
      <c r="S41" s="38"/>
      <c r="T41" s="38"/>
      <c r="U41" s="38"/>
      <c r="V41" s="38"/>
      <c r="W41" s="38"/>
      <c r="X41" s="38"/>
      <c r="Y41" s="38" t="str">
        <f ca="1">IFERROR(__xludf.DUMMYFUNCTION("""COMPUTED_VALUE"""),"IOMA ")</f>
        <v xml:space="preserve">IOMA </v>
      </c>
      <c r="Z41" s="6" t="str">
        <f ca="1">IFERROR(__xludf.DUMMYFUNCTION("""COMPUTED_VALUE"""),"Si")</f>
        <v>Si</v>
      </c>
      <c r="AA41" s="6" t="str">
        <f ca="1">IFERROR(__xludf.DUMMYFUNCTION("""COMPUTED_VALUE"""),"Acepto")</f>
        <v>Acepto</v>
      </c>
      <c r="AB41" s="6" t="str">
        <f ca="1">IFERROR(__xludf.DUMMYFUNCTION("""COMPUTED_VALUE"""),"Terminado")</f>
        <v>Terminado</v>
      </c>
      <c r="AC41" s="6">
        <f ca="1">IFERROR(__xludf.DUMMYFUNCTION("""COMPUTED_VALUE"""),50000)</f>
        <v>50000</v>
      </c>
      <c r="AD41" s="6">
        <f ca="1">IFERROR(__xludf.DUMMYFUNCTION("""COMPUTED_VALUE"""),205337)</f>
        <v>205337</v>
      </c>
      <c r="AE41" s="6" t="str">
        <f ca="1">IFERROR(__xludf.DUMMYFUNCTION("""COMPUTED_VALUE"""),"TRF01-09")</f>
        <v>TRF01-09</v>
      </c>
      <c r="AF41" s="38"/>
      <c r="AG41" s="38"/>
    </row>
    <row r="42" spans="2:33" ht="15.75" customHeight="1">
      <c r="B42" s="35">
        <f ca="1">IFERROR(__xludf.DUMMYFUNCTION("""COMPUTED_VALUE"""),45540.559574699)</f>
        <v>45540.559574699</v>
      </c>
      <c r="C42" s="36" t="str">
        <f ca="1">IFERROR(__xludf.DUMMYFUNCTION("""COMPUTED_VALUE"""),"Marcos")</f>
        <v>Marcos</v>
      </c>
      <c r="D42" s="36" t="str">
        <f ca="1">IFERROR(__xludf.DUMMYFUNCTION("""COMPUTED_VALUE"""),"Heredia")</f>
        <v>Heredia</v>
      </c>
      <c r="E42" s="36" t="str">
        <f ca="1">IFERROR(__xludf.DUMMYFUNCTION("""COMPUTED_VALUE"""),"Buenos Aires")</f>
        <v>Buenos Aires</v>
      </c>
      <c r="F42" s="6" t="str">
        <f ca="1">IFERROR(__xludf.DUMMYFUNCTION("""COMPUTED_VALUE"""),"ARG")</f>
        <v>ARG</v>
      </c>
      <c r="G42" s="6">
        <f ca="1">IFERROR(__xludf.DUMMYFUNCTION("""COMPUTED_VALUE"""),53855489)</f>
        <v>53855489</v>
      </c>
      <c r="H42" s="37">
        <f ca="1">IFERROR(__xludf.DUMMYFUNCTION("""COMPUTED_VALUE"""),41725)</f>
        <v>41725</v>
      </c>
      <c r="I42" s="38" t="str">
        <f ca="1">IFERROR(__xludf.DUMMYFUNCTION("""COMPUTED_VALUE"""),"+5491161347543")</f>
        <v>+5491161347543</v>
      </c>
      <c r="J42" s="38" t="str">
        <f ca="1">IFERROR(__xludf.DUMMYFUNCTION("""COMPUTED_VALUE"""),"+5491161347543")</f>
        <v>+5491161347543</v>
      </c>
      <c r="K42" s="38" t="str">
        <f ca="1">IFERROR(__xludf.DUMMYFUNCTION("""COMPUTED_VALUE"""),"flotalaser@gmail.com")</f>
        <v>flotalaser@gmail.com</v>
      </c>
      <c r="L42" s="38" t="str">
        <f ca="1">IFERROR(__xludf.DUMMYFUNCTION("""COMPUTED_VALUE"""),"Masculino")</f>
        <v>Masculino</v>
      </c>
      <c r="M42" s="38" t="str">
        <f ca="1">IFERROR(__xludf.DUMMYFUNCTION("""COMPUTED_VALUE"""),"YCO")</f>
        <v>YCO</v>
      </c>
      <c r="N42" s="38"/>
      <c r="O42" s="38" t="str">
        <f ca="1">IFERROR(__xludf.DUMMYFUNCTION("""COMPUTED_VALUE"""),"OPTIMIST PRINCIPIANTES")</f>
        <v>OPTIMIST PRINCIPIANTES</v>
      </c>
      <c r="P42" s="38"/>
      <c r="Q42" s="38">
        <f ca="1">IFERROR(__xludf.DUMMYFUNCTION("""COMPUTED_VALUE"""),4011)</f>
        <v>4011</v>
      </c>
      <c r="R42" s="38"/>
      <c r="S42" s="38"/>
      <c r="T42" s="38"/>
      <c r="U42" s="38"/>
      <c r="V42" s="38"/>
      <c r="W42" s="38"/>
      <c r="X42" s="38"/>
      <c r="Y42" s="38" t="str">
        <f ca="1">IFERROR(__xludf.DUMMYFUNCTION("""COMPUTED_VALUE"""),"OSDE")</f>
        <v>OSDE</v>
      </c>
      <c r="Z42" s="6" t="str">
        <f ca="1">IFERROR(__xludf.DUMMYFUNCTION("""COMPUTED_VALUE"""),"Si")</f>
        <v>Si</v>
      </c>
      <c r="AA42" s="6" t="str">
        <f ca="1">IFERROR(__xludf.DUMMYFUNCTION("""COMPUTED_VALUE"""),"Acepto")</f>
        <v>Acepto</v>
      </c>
      <c r="AB42" s="6" t="str">
        <f ca="1">IFERROR(__xludf.DUMMYFUNCTION("""COMPUTED_VALUE"""),"Terminado")</f>
        <v>Terminado</v>
      </c>
      <c r="AC42" s="6">
        <f ca="1">IFERROR(__xludf.DUMMYFUNCTION("""COMPUTED_VALUE"""),50000)</f>
        <v>50000</v>
      </c>
      <c r="AD42" s="6">
        <f ca="1">IFERROR(__xludf.DUMMYFUNCTION("""COMPUTED_VALUE"""),205479)</f>
        <v>205479</v>
      </c>
      <c r="AE42" s="6" t="str">
        <f ca="1">IFERROR(__xludf.DUMMYFUNCTION("""COMPUTED_VALUE"""),"TRF 05-09")</f>
        <v>TRF 05-09</v>
      </c>
      <c r="AF42" s="38"/>
      <c r="AG42" s="38"/>
    </row>
    <row r="43" spans="2:33" ht="15.75" customHeight="1">
      <c r="B43" s="35">
        <f ca="1">IFERROR(__xludf.DUMMYFUNCTION("""COMPUTED_VALUE"""),45535.4887601504)</f>
        <v>45535.488760150402</v>
      </c>
      <c r="C43" s="36" t="str">
        <f ca="1">IFERROR(__xludf.DUMMYFUNCTION("""COMPUTED_VALUE"""),"Thaya")</f>
        <v>Thaya</v>
      </c>
      <c r="D43" s="36" t="str">
        <f ca="1">IFERROR(__xludf.DUMMYFUNCTION("""COMPUTED_VALUE"""),"Jaimovich Landeo")</f>
        <v>Jaimovich Landeo</v>
      </c>
      <c r="E43" s="36" t="str">
        <f ca="1">IFERROR(__xludf.DUMMYFUNCTION("""COMPUTED_VALUE"""),"CABA")</f>
        <v>CABA</v>
      </c>
      <c r="F43" s="6" t="str">
        <f ca="1">IFERROR(__xludf.DUMMYFUNCTION("""COMPUTED_VALUE"""),"ARG")</f>
        <v>ARG</v>
      </c>
      <c r="G43" s="6">
        <f ca="1">IFERROR(__xludf.DUMMYFUNCTION("""COMPUTED_VALUE"""),53236008)</f>
        <v>53236008</v>
      </c>
      <c r="H43" s="37">
        <f ca="1">IFERROR(__xludf.DUMMYFUNCTION("""COMPUTED_VALUE"""),41388)</f>
        <v>41388</v>
      </c>
      <c r="I43" s="38">
        <f ca="1">IFERROR(__xludf.DUMMYFUNCTION("""COMPUTED_VALUE"""),1140883466)</f>
        <v>1140883466</v>
      </c>
      <c r="J43" s="38">
        <f ca="1">IFERROR(__xludf.DUMMYFUNCTION("""COMPUTED_VALUE"""),11658290733)</f>
        <v>11658290733</v>
      </c>
      <c r="K43" s="38" t="str">
        <f ca="1">IFERROR(__xludf.DUMMYFUNCTION("""COMPUTED_VALUE"""),"Damianjaimovichdrive@gmail.com")</f>
        <v>Damianjaimovichdrive@gmail.com</v>
      </c>
      <c r="L43" s="38" t="str">
        <f ca="1">IFERROR(__xludf.DUMMYFUNCTION("""COMPUTED_VALUE"""),"Femenino")</f>
        <v>Femenino</v>
      </c>
      <c r="M43" s="38" t="str">
        <f ca="1">IFERROR(__xludf.DUMMYFUNCTION("""COMPUTED_VALUE"""),"CPNLB")</f>
        <v>CPNLB</v>
      </c>
      <c r="N43" s="38" t="str">
        <f ca="1">IFERROR(__xludf.DUMMYFUNCTION("""COMPUTED_VALUE"""),"Femenino")</f>
        <v>Femenino</v>
      </c>
      <c r="O43" s="38" t="str">
        <f ca="1">IFERROR(__xludf.DUMMYFUNCTION("""COMPUTED_VALUE"""),"OPTIMIST PRINCIPIANTES")</f>
        <v>OPTIMIST PRINCIPIANTES</v>
      </c>
      <c r="P43" s="38"/>
      <c r="Q43" s="38">
        <f ca="1">IFERROR(__xludf.DUMMYFUNCTION("""COMPUTED_VALUE"""),2793)</f>
        <v>2793</v>
      </c>
      <c r="R43" s="38"/>
      <c r="S43" s="38"/>
      <c r="T43" s="38"/>
      <c r="U43" s="38"/>
      <c r="V43" s="38"/>
      <c r="W43" s="38"/>
      <c r="X43" s="38"/>
      <c r="Y43" s="38" t="str">
        <f ca="1">IFERROR(__xludf.DUMMYFUNCTION("""COMPUTED_VALUE"""),"Medicus 14084892001")</f>
        <v>Medicus 14084892001</v>
      </c>
      <c r="Z43" s="6" t="str">
        <f ca="1">IFERROR(__xludf.DUMMYFUNCTION("""COMPUTED_VALUE"""),"Si")</f>
        <v>Si</v>
      </c>
      <c r="AA43" s="6" t="str">
        <f ca="1">IFERROR(__xludf.DUMMYFUNCTION("""COMPUTED_VALUE"""),"Acepto")</f>
        <v>Acepto</v>
      </c>
      <c r="AB43" s="6" t="str">
        <f ca="1">IFERROR(__xludf.DUMMYFUNCTION("""COMPUTED_VALUE"""),"Terminado")</f>
        <v>Terminado</v>
      </c>
      <c r="AC43" s="6">
        <f ca="1">IFERROR(__xludf.DUMMYFUNCTION("""COMPUTED_VALUE"""),50000)</f>
        <v>50000</v>
      </c>
      <c r="AD43" s="6">
        <f ca="1">IFERROR(__xludf.DUMMYFUNCTION("""COMPUTED_VALUE"""),205157)</f>
        <v>205157</v>
      </c>
      <c r="AE43" s="6" t="str">
        <f ca="1">IFERROR(__xludf.DUMMYFUNCTION("""COMPUTED_VALUE"""),"TRF 31-08")</f>
        <v>TRF 31-08</v>
      </c>
      <c r="AF43" s="38"/>
      <c r="AG43" s="38"/>
    </row>
    <row r="44" spans="2:33" ht="15.75" customHeight="1">
      <c r="B44" s="35">
        <f ca="1">IFERROR(__xludf.DUMMYFUNCTION("""COMPUTED_VALUE"""),45535.6408517013)</f>
        <v>45535.640851701297</v>
      </c>
      <c r="C44" s="36" t="str">
        <f ca="1">IFERROR(__xludf.DUMMYFUNCTION("""COMPUTED_VALUE"""),"Ciro")</f>
        <v>Ciro</v>
      </c>
      <c r="D44" s="36" t="str">
        <f ca="1">IFERROR(__xludf.DUMMYFUNCTION("""COMPUTED_VALUE"""),"Juan de Paz")</f>
        <v>Juan de Paz</v>
      </c>
      <c r="E44" s="36" t="str">
        <f ca="1">IFERROR(__xludf.DUMMYFUNCTION("""COMPUTED_VALUE"""),"Zarate")</f>
        <v>Zarate</v>
      </c>
      <c r="F44" s="6" t="str">
        <f ca="1">IFERROR(__xludf.DUMMYFUNCTION("""COMPUTED_VALUE"""),"ARG")</f>
        <v>ARG</v>
      </c>
      <c r="G44" s="6">
        <f ca="1">IFERROR(__xludf.DUMMYFUNCTION("""COMPUTED_VALUE"""),53595476)</f>
        <v>53595476</v>
      </c>
      <c r="H44" s="37">
        <f ca="1">IFERROR(__xludf.DUMMYFUNCTION("""COMPUTED_VALUE"""),41624)</f>
        <v>41624</v>
      </c>
      <c r="I44" s="38">
        <f ca="1">IFERROR(__xludf.DUMMYFUNCTION("""COMPUTED_VALUE"""),1141749061)</f>
        <v>1141749061</v>
      </c>
      <c r="J44" s="38">
        <f ca="1">IFERROR(__xludf.DUMMYFUNCTION("""COMPUTED_VALUE"""),1141749061)</f>
        <v>1141749061</v>
      </c>
      <c r="K44" s="38" t="str">
        <f ca="1">IFERROR(__xludf.DUMMYFUNCTION("""COMPUTED_VALUE"""),"Alejdepaz@hotmail.com")</f>
        <v>Alejdepaz@hotmail.com</v>
      </c>
      <c r="L44" s="38" t="str">
        <f ca="1">IFERROR(__xludf.DUMMYFUNCTION("""COMPUTED_VALUE"""),"Masculino")</f>
        <v>Masculino</v>
      </c>
      <c r="M44" s="38" t="str">
        <f ca="1">IFERROR(__xludf.DUMMYFUNCTION("""COMPUTED_VALUE"""),"CNZ")</f>
        <v>CNZ</v>
      </c>
      <c r="N44" s="38" t="str">
        <f ca="1">IFERROR(__xludf.DUMMYFUNCTION("""COMPUTED_VALUE"""),"Interior (Optimist)")</f>
        <v>Interior (Optimist)</v>
      </c>
      <c r="O44" s="38" t="str">
        <f ca="1">IFERROR(__xludf.DUMMYFUNCTION("""COMPUTED_VALUE"""),"OPTIMIST PRINCIPIANTES")</f>
        <v>OPTIMIST PRINCIPIANTES</v>
      </c>
      <c r="P44" s="38">
        <f ca="1">IFERROR(__xludf.DUMMYFUNCTION("""COMPUTED_VALUE"""),0)</f>
        <v>0</v>
      </c>
      <c r="Q44" s="38" t="str">
        <f ca="1">IFERROR(__xludf.DUMMYFUNCTION("""COMPUTED_VALUE"""),"ARG4053")</f>
        <v>ARG4053</v>
      </c>
      <c r="R44" s="38" t="str">
        <f ca="1">IFERROR(__xludf.DUMMYFUNCTION("""COMPUTED_VALUE"""),"Supra")</f>
        <v>Supra</v>
      </c>
      <c r="S44" s="38"/>
      <c r="T44" s="38"/>
      <c r="U44" s="38"/>
      <c r="V44" s="38"/>
      <c r="W44" s="38"/>
      <c r="X44" s="38"/>
      <c r="Y44" s="38"/>
      <c r="Z44" s="6" t="str">
        <f ca="1">IFERROR(__xludf.DUMMYFUNCTION("""COMPUTED_VALUE"""),"Si")</f>
        <v>Si</v>
      </c>
      <c r="AA44" s="6" t="str">
        <f ca="1">IFERROR(__xludf.DUMMYFUNCTION("""COMPUTED_VALUE"""),"Acepto")</f>
        <v>Acepto</v>
      </c>
      <c r="AB44" s="6" t="str">
        <f ca="1">IFERROR(__xludf.DUMMYFUNCTION("""COMPUTED_VALUE"""),"Terminado")</f>
        <v>Terminado</v>
      </c>
      <c r="AC44" s="6">
        <f ca="1">IFERROR(__xludf.DUMMYFUNCTION("""COMPUTED_VALUE"""),50000)</f>
        <v>50000</v>
      </c>
      <c r="AD44" s="6">
        <f ca="1">IFERROR(__xludf.DUMMYFUNCTION("""COMPUTED_VALUE"""),205380)</f>
        <v>205380</v>
      </c>
      <c r="AE44" s="6" t="str">
        <f ca="1">IFERROR(__xludf.DUMMYFUNCTION("""COMPUTED_VALUE"""),"TRF 02-09")</f>
        <v>TRF 02-09</v>
      </c>
      <c r="AF44" s="38"/>
      <c r="AG44" s="38"/>
    </row>
    <row r="45" spans="2:33" ht="15.75" customHeight="1">
      <c r="B45" s="35">
        <f ca="1">IFERROR(__xludf.DUMMYFUNCTION("""COMPUTED_VALUE"""),45531.438049155)</f>
        <v>45531.438049154996</v>
      </c>
      <c r="C45" s="36" t="str">
        <f ca="1">IFERROR(__xludf.DUMMYFUNCTION("""COMPUTED_VALUE"""),"Tiziano")</f>
        <v>Tiziano</v>
      </c>
      <c r="D45" s="36" t="str">
        <f ca="1">IFERROR(__xludf.DUMMYFUNCTION("""COMPUTED_VALUE"""),"Laise")</f>
        <v>Laise</v>
      </c>
      <c r="E45" s="36" t="str">
        <f ca="1">IFERROR(__xludf.DUMMYFUNCTION("""COMPUTED_VALUE"""),"CABA")</f>
        <v>CABA</v>
      </c>
      <c r="F45" s="6" t="str">
        <f ca="1">IFERROR(__xludf.DUMMYFUNCTION("""COMPUTED_VALUE"""),"ARG")</f>
        <v>ARG</v>
      </c>
      <c r="G45" s="6">
        <f ca="1">IFERROR(__xludf.DUMMYFUNCTION("""COMPUTED_VALUE"""),53957972)</f>
        <v>53957972</v>
      </c>
      <c r="H45" s="37">
        <f ca="1">IFERROR(__xludf.DUMMYFUNCTION("""COMPUTED_VALUE"""),41776)</f>
        <v>41776</v>
      </c>
      <c r="I45" s="38">
        <f ca="1">IFERROR(__xludf.DUMMYFUNCTION("""COMPUTED_VALUE"""),1140759121)</f>
        <v>1140759121</v>
      </c>
      <c r="J45" s="38">
        <f ca="1">IFERROR(__xludf.DUMMYFUNCTION("""COMPUTED_VALUE"""),1140444113)</f>
        <v>1140444113</v>
      </c>
      <c r="K45" s="38" t="str">
        <f ca="1">IFERROR(__xludf.DUMMYFUNCTION("""COMPUTED_VALUE"""),"Andreafriedlander@hotmail.com")</f>
        <v>Andreafriedlander@hotmail.com</v>
      </c>
      <c r="L45" s="38" t="str">
        <f ca="1">IFERROR(__xludf.DUMMYFUNCTION("""COMPUTED_VALUE"""),"Masculino")</f>
        <v>Masculino</v>
      </c>
      <c r="M45" s="38" t="str">
        <f ca="1">IFERROR(__xludf.DUMMYFUNCTION("""COMPUTED_VALUE"""),"YCA")</f>
        <v>YCA</v>
      </c>
      <c r="N45" s="38"/>
      <c r="O45" s="38" t="str">
        <f ca="1">IFERROR(__xludf.DUMMYFUNCTION("""COMPUTED_VALUE"""),"OPTIMIST PRINCIPIANTES")</f>
        <v>OPTIMIST PRINCIPIANTES</v>
      </c>
      <c r="P45" s="38"/>
      <c r="Q45" s="38" t="str">
        <f ca="1">IFERROR(__xludf.DUMMYFUNCTION("""COMPUTED_VALUE"""),"ARG 3946")</f>
        <v>ARG 3946</v>
      </c>
      <c r="R45" s="38" t="str">
        <f ca="1">IFERROR(__xludf.DUMMYFUNCTION("""COMPUTED_VALUE"""),"Seductor")</f>
        <v>Seductor</v>
      </c>
      <c r="S45" s="38" t="str">
        <f ca="1">IFERROR(__xludf.DUMMYFUNCTION("""COMPUTED_VALUE"""),"Tiziano Laise")</f>
        <v>Tiziano Laise</v>
      </c>
      <c r="T45" s="38"/>
      <c r="U45" s="38"/>
      <c r="V45" s="38"/>
      <c r="W45" s="38"/>
      <c r="X45" s="38"/>
      <c r="Y45" s="38" t="str">
        <f ca="1">IFERROR(__xludf.DUMMYFUNCTION("""COMPUTED_VALUE"""),"OSDE 310")</f>
        <v>OSDE 310</v>
      </c>
      <c r="Z45" s="6" t="str">
        <f ca="1">IFERROR(__xludf.DUMMYFUNCTION("""COMPUTED_VALUE"""),"Si")</f>
        <v>Si</v>
      </c>
      <c r="AA45" s="6" t="str">
        <f ca="1">IFERROR(__xludf.DUMMYFUNCTION("""COMPUTED_VALUE"""),"Acepto")</f>
        <v>Acepto</v>
      </c>
      <c r="AB45" s="6" t="str">
        <f ca="1">IFERROR(__xludf.DUMMYFUNCTION("""COMPUTED_VALUE"""),"Terminado")</f>
        <v>Terminado</v>
      </c>
      <c r="AC45" s="6">
        <f ca="1">IFERROR(__xludf.DUMMYFUNCTION("""COMPUTED_VALUE"""),50000)</f>
        <v>50000</v>
      </c>
      <c r="AD45" s="6">
        <f ca="1">IFERROR(__xludf.DUMMYFUNCTION("""COMPUTED_VALUE"""),205055)</f>
        <v>205055</v>
      </c>
      <c r="AE45" s="6" t="str">
        <f ca="1">IFERROR(__xludf.DUMMYFUNCTION("""COMPUTED_VALUE"""),"TRF 27-08")</f>
        <v>TRF 27-08</v>
      </c>
      <c r="AF45" s="38"/>
      <c r="AG45" s="38"/>
    </row>
    <row r="46" spans="2:33" ht="15.75" customHeight="1">
      <c r="B46" s="35">
        <f ca="1">IFERROR(__xludf.DUMMYFUNCTION("""COMPUTED_VALUE"""),45537.7455798148)</f>
        <v>45537.7455798148</v>
      </c>
      <c r="C46" s="36" t="str">
        <f ca="1">IFERROR(__xludf.DUMMYFUNCTION("""COMPUTED_VALUE"""),"Agustin")</f>
        <v>Agustin</v>
      </c>
      <c r="D46" s="36" t="str">
        <f ca="1">IFERROR(__xludf.DUMMYFUNCTION("""COMPUTED_VALUE"""),"Layafa")</f>
        <v>Layafa</v>
      </c>
      <c r="E46" s="36" t="str">
        <f ca="1">IFERROR(__xludf.DUMMYFUNCTION("""COMPUTED_VALUE"""),"Parque del plata ")</f>
        <v xml:space="preserve">Parque del plata </v>
      </c>
      <c r="F46" s="6" t="str">
        <f ca="1">IFERROR(__xludf.DUMMYFUNCTION("""COMPUTED_VALUE"""),"URU")</f>
        <v>URU</v>
      </c>
      <c r="G46" s="6">
        <f ca="1">IFERROR(__xludf.DUMMYFUNCTION("""COMPUTED_VALUE"""),59244211)</f>
        <v>59244211</v>
      </c>
      <c r="H46" s="37">
        <f ca="1">IFERROR(__xludf.DUMMYFUNCTION("""COMPUTED_VALUE"""),40770)</f>
        <v>40770</v>
      </c>
      <c r="I46" s="38" t="str">
        <f ca="1">IFERROR(__xludf.DUMMYFUNCTION("""COMPUTED_VALUE"""),"+59899728846")</f>
        <v>+59899728846</v>
      </c>
      <c r="J46" s="38" t="str">
        <f ca="1">IFERROR(__xludf.DUMMYFUNCTION("""COMPUTED_VALUE"""),"+59899976289")</f>
        <v>+59899976289</v>
      </c>
      <c r="K46" s="38" t="str">
        <f ca="1">IFERROR(__xludf.DUMMYFUNCTION("""COMPUTED_VALUE"""),"Mlayafa@hotmail.com")</f>
        <v>Mlayafa@hotmail.com</v>
      </c>
      <c r="L46" s="38" t="str">
        <f ca="1">IFERROR(__xludf.DUMMYFUNCTION("""COMPUTED_VALUE"""),"Masculino")</f>
        <v>Masculino</v>
      </c>
      <c r="M46" s="38" t="str">
        <f ca="1">IFERROR(__xludf.DUMMYFUNCTION("""COMPUTED_VALUE"""),"NYC")</f>
        <v>NYC</v>
      </c>
      <c r="N46" s="38" t="str">
        <f ca="1">IFERROR(__xludf.DUMMYFUNCTION("""COMPUTED_VALUE"""),"Interior (Optimist)")</f>
        <v>Interior (Optimist)</v>
      </c>
      <c r="O46" s="38" t="str">
        <f ca="1">IFERROR(__xludf.DUMMYFUNCTION("""COMPUTED_VALUE"""),"OPTIMIST PRINCIPIANTES")</f>
        <v>OPTIMIST PRINCIPIANTES</v>
      </c>
      <c r="P46" s="38"/>
      <c r="Q46" s="38">
        <f ca="1">IFERROR(__xludf.DUMMYFUNCTION("""COMPUTED_VALUE"""),409)</f>
        <v>409</v>
      </c>
      <c r="R46" s="38" t="str">
        <f ca="1">IFERROR(__xludf.DUMMYFUNCTION("""COMPUTED_VALUE"""),"“ el tata “")</f>
        <v>“ el tata “</v>
      </c>
      <c r="S46" s="38"/>
      <c r="T46" s="38"/>
      <c r="U46" s="38"/>
      <c r="V46" s="38"/>
      <c r="W46" s="38"/>
      <c r="X46" s="38"/>
      <c r="Y46" s="38" t="str">
        <f ca="1">IFERROR(__xludf.DUMMYFUNCTION("""COMPUTED_VALUE"""),"Assep")</f>
        <v>Assep</v>
      </c>
      <c r="Z46" s="6" t="str">
        <f ca="1">IFERROR(__xludf.DUMMYFUNCTION("""COMPUTED_VALUE"""),"Si")</f>
        <v>Si</v>
      </c>
      <c r="AA46" s="6" t="str">
        <f ca="1">IFERROR(__xludf.DUMMYFUNCTION("""COMPUTED_VALUE"""),"Acepto")</f>
        <v>Acepto</v>
      </c>
      <c r="AB46" s="6" t="str">
        <f ca="1">IFERROR(__xludf.DUMMYFUNCTION("""COMPUTED_VALUE"""),"Terminado")</f>
        <v>Terminado</v>
      </c>
      <c r="AC46" s="6">
        <f ca="1">IFERROR(__xludf.DUMMYFUNCTION("""COMPUTED_VALUE"""),42500)</f>
        <v>42500</v>
      </c>
      <c r="AD46" s="6">
        <f ca="1">IFERROR(__xludf.DUMMYFUNCTION("""COMPUTED_VALUE"""),205391)</f>
        <v>205391</v>
      </c>
      <c r="AE46" s="6" t="str">
        <f ca="1">IFERROR(__xludf.DUMMYFUNCTION("""COMPUTED_VALUE"""),"TRF 02-09")</f>
        <v>TRF 02-09</v>
      </c>
      <c r="AF46" s="38"/>
      <c r="AG46" s="38"/>
    </row>
    <row r="47" spans="2:33" ht="15.75" customHeight="1">
      <c r="B47" s="35">
        <f ca="1">IFERROR(__xludf.DUMMYFUNCTION("""COMPUTED_VALUE"""),45531.792457905)</f>
        <v>45531.792457905001</v>
      </c>
      <c r="C47" s="36" t="str">
        <f ca="1">IFERROR(__xludf.DUMMYFUNCTION("""COMPUTED_VALUE"""),"Agustin")</f>
        <v>Agustin</v>
      </c>
      <c r="D47" s="36" t="str">
        <f ca="1">IFERROR(__xludf.DUMMYFUNCTION("""COMPUTED_VALUE"""),"Lemos Viviant")</f>
        <v>Lemos Viviant</v>
      </c>
      <c r="E47" s="36" t="str">
        <f ca="1">IFERROR(__xludf.DUMMYFUNCTION("""COMPUTED_VALUE"""),"CABA")</f>
        <v>CABA</v>
      </c>
      <c r="F47" s="6" t="str">
        <f ca="1">IFERROR(__xludf.DUMMYFUNCTION("""COMPUTED_VALUE"""),"ARG")</f>
        <v>ARG</v>
      </c>
      <c r="G47" s="6">
        <f ca="1">IFERROR(__xludf.DUMMYFUNCTION("""COMPUTED_VALUE"""),20185318)</f>
        <v>20185318</v>
      </c>
      <c r="H47" s="37">
        <f ca="1">IFERROR(__xludf.DUMMYFUNCTION("""COMPUTED_VALUE"""),40754)</f>
        <v>40754</v>
      </c>
      <c r="I47" s="38">
        <f ca="1">IFERROR(__xludf.DUMMYFUNCTION("""COMPUTED_VALUE"""),1122407512)</f>
        <v>1122407512</v>
      </c>
      <c r="J47" s="38" t="str">
        <f ca="1">IFERROR(__xludf.DUMMYFUNCTION("""COMPUTED_VALUE"""),"01122407512")</f>
        <v>01122407512</v>
      </c>
      <c r="K47" s="38" t="str">
        <f ca="1">IFERROR(__xludf.DUMMYFUNCTION("""COMPUTED_VALUE"""),"jlemos@cema.edu.ar")</f>
        <v>jlemos@cema.edu.ar</v>
      </c>
      <c r="L47" s="38" t="str">
        <f ca="1">IFERROR(__xludf.DUMMYFUNCTION("""COMPUTED_VALUE"""),"Masculino")</f>
        <v>Masculino</v>
      </c>
      <c r="M47" s="38" t="str">
        <f ca="1">IFERROR(__xludf.DUMMYFUNCTION("""COMPUTED_VALUE"""),"CVB")</f>
        <v>CVB</v>
      </c>
      <c r="N47" s="38" t="str">
        <f ca="1">IFERROR(__xludf.DUMMYFUNCTION("""COMPUTED_VALUE"""),"Interior (Optimist)")</f>
        <v>Interior (Optimist)</v>
      </c>
      <c r="O47" s="38" t="str">
        <f ca="1">IFERROR(__xludf.DUMMYFUNCTION("""COMPUTED_VALUE"""),"OPTIMIST PRINCIPIANTES")</f>
        <v>OPTIMIST PRINCIPIANTES</v>
      </c>
      <c r="P47" s="38"/>
      <c r="Q47" s="38">
        <f ca="1">IFERROR(__xludf.DUMMYFUNCTION("""COMPUTED_VALUE"""),3856)</f>
        <v>3856</v>
      </c>
      <c r="R47" s="38" t="str">
        <f ca="1">IFERROR(__xludf.DUMMYFUNCTION("""COMPUTED_VALUE"""),"Agustin lemos viviant")</f>
        <v>Agustin lemos viviant</v>
      </c>
      <c r="S47" s="38"/>
      <c r="T47" s="38"/>
      <c r="U47" s="38"/>
      <c r="V47" s="38"/>
      <c r="W47" s="38"/>
      <c r="X47" s="38"/>
      <c r="Y47" s="38" t="str">
        <f ca="1">IFERROR(__xludf.DUMMYFUNCTION("""COMPUTED_VALUE"""),"Swiss medical")</f>
        <v>Swiss medical</v>
      </c>
      <c r="Z47" s="6" t="str">
        <f ca="1">IFERROR(__xludf.DUMMYFUNCTION("""COMPUTED_VALUE"""),"Si")</f>
        <v>Si</v>
      </c>
      <c r="AA47" s="6" t="str">
        <f ca="1">IFERROR(__xludf.DUMMYFUNCTION("""COMPUTED_VALUE"""),"Acepto")</f>
        <v>Acepto</v>
      </c>
      <c r="AB47" s="6" t="str">
        <f ca="1">IFERROR(__xludf.DUMMYFUNCTION("""COMPUTED_VALUE"""),"Terminado")</f>
        <v>Terminado</v>
      </c>
      <c r="AC47" s="6">
        <f ca="1">IFERROR(__xludf.DUMMYFUNCTION("""COMPUTED_VALUE"""),50000)</f>
        <v>50000</v>
      </c>
      <c r="AD47" s="6">
        <f ca="1">IFERROR(__xludf.DUMMYFUNCTION("""COMPUTED_VALUE"""),205062)</f>
        <v>205062</v>
      </c>
      <c r="AE47" s="6" t="str">
        <f ca="1">IFERROR(__xludf.DUMMYFUNCTION("""COMPUTED_VALUE"""),"TRF 27-08")</f>
        <v>TRF 27-08</v>
      </c>
      <c r="AF47" s="38"/>
      <c r="AG47" s="38"/>
    </row>
    <row r="48" spans="2:33" ht="15.75" customHeight="1">
      <c r="B48" s="35">
        <f ca="1">IFERROR(__xludf.DUMMYFUNCTION("""COMPUTED_VALUE"""),45536.5725109606)</f>
        <v>45536.572510960599</v>
      </c>
      <c r="C48" s="36" t="str">
        <f ca="1">IFERROR(__xludf.DUMMYFUNCTION("""COMPUTED_VALUE"""),"Felipe")</f>
        <v>Felipe</v>
      </c>
      <c r="D48" s="36" t="str">
        <f ca="1">IFERROR(__xludf.DUMMYFUNCTION("""COMPUTED_VALUE"""),"Lerner")</f>
        <v>Lerner</v>
      </c>
      <c r="E48" s="36" t="str">
        <f ca="1">IFERROR(__xludf.DUMMYFUNCTION("""COMPUTED_VALUE"""),"Buenos Aires")</f>
        <v>Buenos Aires</v>
      </c>
      <c r="F48" s="6" t="str">
        <f ca="1">IFERROR(__xludf.DUMMYFUNCTION("""COMPUTED_VALUE"""),"ARG")</f>
        <v>ARG</v>
      </c>
      <c r="G48" s="6">
        <f ca="1">IFERROR(__xludf.DUMMYFUNCTION("""COMPUTED_VALUE"""),50419847)</f>
        <v>50419847</v>
      </c>
      <c r="H48" s="37">
        <f ca="1">IFERROR(__xludf.DUMMYFUNCTION("""COMPUTED_VALUE"""),40408)</f>
        <v>40408</v>
      </c>
      <c r="I48" s="38">
        <f ca="1">IFERROR(__xludf.DUMMYFUNCTION("""COMPUTED_VALUE"""),1155813709)</f>
        <v>1155813709</v>
      </c>
      <c r="J48" s="38">
        <f ca="1">IFERROR(__xludf.DUMMYFUNCTION("""COMPUTED_VALUE"""),1136512492)</f>
        <v>1136512492</v>
      </c>
      <c r="K48" s="38" t="str">
        <f ca="1">IFERROR(__xludf.DUMMYFUNCTION("""COMPUTED_VALUE"""),"nitoler@gmail.com")</f>
        <v>nitoler@gmail.com</v>
      </c>
      <c r="L48" s="38" t="str">
        <f ca="1">IFERROR(__xludf.DUMMYFUNCTION("""COMPUTED_VALUE"""),"Masculino")</f>
        <v>Masculino</v>
      </c>
      <c r="M48" s="38" t="str">
        <f ca="1">IFERROR(__xludf.DUMMYFUNCTION("""COMPUTED_VALUE"""),"CNAz")</f>
        <v>CNAz</v>
      </c>
      <c r="N48" s="38" t="str">
        <f ca="1">IFERROR(__xludf.DUMMYFUNCTION("""COMPUTED_VALUE"""),"Interior (Optimist)")</f>
        <v>Interior (Optimist)</v>
      </c>
      <c r="O48" s="38" t="str">
        <f ca="1">IFERROR(__xludf.DUMMYFUNCTION("""COMPUTED_VALUE"""),"OPTIMIST PRINCIPIANTES")</f>
        <v>OPTIMIST PRINCIPIANTES</v>
      </c>
      <c r="P48" s="38"/>
      <c r="Q48" s="38">
        <f ca="1">IFERROR(__xludf.DUMMYFUNCTION("""COMPUTED_VALUE"""),3405)</f>
        <v>3405</v>
      </c>
      <c r="R48" s="38" t="str">
        <f ca="1">IFERROR(__xludf.DUMMYFUNCTION("""COMPUTED_VALUE"""),"VALTRIEK")</f>
        <v>VALTRIEK</v>
      </c>
      <c r="S48" s="38"/>
      <c r="T48" s="38"/>
      <c r="U48" s="38"/>
      <c r="V48" s="38"/>
      <c r="W48" s="38"/>
      <c r="X48" s="38"/>
      <c r="Y48" s="38" t="str">
        <f ca="1">IFERROR(__xludf.DUMMYFUNCTION("""COMPUTED_VALUE"""),"OSDE")</f>
        <v>OSDE</v>
      </c>
      <c r="Z48" s="6" t="str">
        <f ca="1">IFERROR(__xludf.DUMMYFUNCTION("""COMPUTED_VALUE"""),"Si")</f>
        <v>Si</v>
      </c>
      <c r="AA48" s="6" t="str">
        <f ca="1">IFERROR(__xludf.DUMMYFUNCTION("""COMPUTED_VALUE"""),"Acepto")</f>
        <v>Acepto</v>
      </c>
      <c r="AB48" s="6" t="str">
        <f ca="1">IFERROR(__xludf.DUMMYFUNCTION("""COMPUTED_VALUE"""),"Pendiente")</f>
        <v>Pendiente</v>
      </c>
      <c r="AC48" s="6"/>
      <c r="AD48" s="6"/>
      <c r="AE48" s="6"/>
      <c r="AF48" s="38"/>
      <c r="AG48" s="38"/>
    </row>
    <row r="49" spans="2:33" ht="15.75" customHeight="1">
      <c r="B49" s="35">
        <f ca="1">IFERROR(__xludf.DUMMYFUNCTION("""COMPUTED_VALUE"""),45530.6397907175)</f>
        <v>45530.639790717498</v>
      </c>
      <c r="C49" s="36" t="str">
        <f ca="1">IFERROR(__xludf.DUMMYFUNCTION("""COMPUTED_VALUE"""),"JOAQUINA")</f>
        <v>JOAQUINA</v>
      </c>
      <c r="D49" s="36" t="str">
        <f ca="1">IFERROR(__xludf.DUMMYFUNCTION("""COMPUTED_VALUE"""),"LOUREYRO MORGENSTERN")</f>
        <v>LOUREYRO MORGENSTERN</v>
      </c>
      <c r="E49" s="36" t="str">
        <f ca="1">IFERROR(__xludf.DUMMYFUNCTION("""COMPUTED_VALUE"""),"NUÑEZ")</f>
        <v>NUÑEZ</v>
      </c>
      <c r="F49" s="6" t="str">
        <f ca="1">IFERROR(__xludf.DUMMYFUNCTION("""COMPUTED_VALUE"""),"ARG")</f>
        <v>ARG</v>
      </c>
      <c r="G49" s="6">
        <f ca="1">IFERROR(__xludf.DUMMYFUNCTION("""COMPUTED_VALUE"""),54383455)</f>
        <v>54383455</v>
      </c>
      <c r="H49" s="37">
        <f ca="1">IFERROR(__xludf.DUMMYFUNCTION("""COMPUTED_VALUE"""),41935)</f>
        <v>41935</v>
      </c>
      <c r="I49" s="38">
        <f ca="1">IFERROR(__xludf.DUMMYFUNCTION("""COMPUTED_VALUE"""),1552210801)</f>
        <v>1552210801</v>
      </c>
      <c r="J49" s="38">
        <f ca="1">IFERROR(__xludf.DUMMYFUNCTION("""COMPUTED_VALUE"""),1552210801)</f>
        <v>1552210801</v>
      </c>
      <c r="K49" s="38" t="str">
        <f ca="1">IFERROR(__xludf.DUMMYFUNCTION("""COMPUTED_VALUE"""),"laspenelopes2011@gmail.com")</f>
        <v>laspenelopes2011@gmail.com</v>
      </c>
      <c r="L49" s="38" t="str">
        <f ca="1">IFERROR(__xludf.DUMMYFUNCTION("""COMPUTED_VALUE"""),"Femenino")</f>
        <v>Femenino</v>
      </c>
      <c r="M49" s="38" t="str">
        <f ca="1">IFERROR(__xludf.DUMMYFUNCTION("""COMPUTED_VALUE"""),"CVB")</f>
        <v>CVB</v>
      </c>
      <c r="N49" s="38" t="str">
        <f ca="1">IFERROR(__xludf.DUMMYFUNCTION("""COMPUTED_VALUE"""),"Femenino")</f>
        <v>Femenino</v>
      </c>
      <c r="O49" s="38" t="str">
        <f ca="1">IFERROR(__xludf.DUMMYFUNCTION("""COMPUTED_VALUE"""),"OPTIMIST PRINCIPIANTES")</f>
        <v>OPTIMIST PRINCIPIANTES</v>
      </c>
      <c r="P49" s="38"/>
      <c r="Q49" s="38">
        <f ca="1">IFERROR(__xludf.DUMMYFUNCTION("""COMPUTED_VALUE"""),3431)</f>
        <v>3431</v>
      </c>
      <c r="R49" s="38" t="str">
        <f ca="1">IFERROR(__xludf.DUMMYFUNCTION("""COMPUTED_VALUE"""),"REMOLINO")</f>
        <v>REMOLINO</v>
      </c>
      <c r="S49" s="38"/>
      <c r="T49" s="38"/>
      <c r="U49" s="38"/>
      <c r="V49" s="38"/>
      <c r="W49" s="38"/>
      <c r="X49" s="38"/>
      <c r="Y49" s="38" t="str">
        <f ca="1">IFERROR(__xludf.DUMMYFUNCTION("""COMPUTED_VALUE"""),"OSDE CREDENCIAL 61758693304")</f>
        <v>OSDE CREDENCIAL 61758693304</v>
      </c>
      <c r="Z49" s="6" t="str">
        <f ca="1">IFERROR(__xludf.DUMMYFUNCTION("""COMPUTED_VALUE"""),"Si")</f>
        <v>Si</v>
      </c>
      <c r="AA49" s="6" t="str">
        <f ca="1">IFERROR(__xludf.DUMMYFUNCTION("""COMPUTED_VALUE"""),"Acepto")</f>
        <v>Acepto</v>
      </c>
      <c r="AB49" s="6" t="str">
        <f ca="1">IFERROR(__xludf.DUMMYFUNCTION("""COMPUTED_VALUE"""),"Terminado")</f>
        <v>Terminado</v>
      </c>
      <c r="AC49" s="6">
        <f ca="1">IFERROR(__xludf.DUMMYFUNCTION("""COMPUTED_VALUE"""),50000)</f>
        <v>50000</v>
      </c>
      <c r="AD49" s="6">
        <f ca="1">IFERROR(__xludf.DUMMYFUNCTION("""COMPUTED_VALUE"""),205071)</f>
        <v>205071</v>
      </c>
      <c r="AE49" s="6" t="str">
        <f ca="1">IFERROR(__xludf.DUMMYFUNCTION("""COMPUTED_VALUE"""),"TRF 28-08")</f>
        <v>TRF 28-08</v>
      </c>
      <c r="AF49" s="38"/>
      <c r="AG49" s="38"/>
    </row>
    <row r="50" spans="2:33" ht="15.75" customHeight="1">
      <c r="B50" s="35">
        <f ca="1">IFERROR(__xludf.DUMMYFUNCTION("""COMPUTED_VALUE"""),45530.6352040972)</f>
        <v>45530.635204097198</v>
      </c>
      <c r="C50" s="36" t="str">
        <f ca="1">IFERROR(__xludf.DUMMYFUNCTION("""COMPUTED_VALUE"""),"Lorenzo Agustín")</f>
        <v>Lorenzo Agustín</v>
      </c>
      <c r="D50" s="36" t="str">
        <f ca="1">IFERROR(__xludf.DUMMYFUNCTION("""COMPUTED_VALUE"""),"Luzuriaga")</f>
        <v>Luzuriaga</v>
      </c>
      <c r="E50" s="36" t="str">
        <f ca="1">IFERROR(__xludf.DUMMYFUNCTION("""COMPUTED_VALUE"""),"CABA")</f>
        <v>CABA</v>
      </c>
      <c r="F50" s="6" t="str">
        <f ca="1">IFERROR(__xludf.DUMMYFUNCTION("""COMPUTED_VALUE"""),"ARG")</f>
        <v>ARG</v>
      </c>
      <c r="G50" s="6">
        <f ca="1">IFERROR(__xludf.DUMMYFUNCTION("""COMPUTED_VALUE"""),53412958)</f>
        <v>53412958</v>
      </c>
      <c r="H50" s="37">
        <f ca="1">IFERROR(__xludf.DUMMYFUNCTION("""COMPUTED_VALUE"""),41501)</f>
        <v>41501</v>
      </c>
      <c r="I50" s="38">
        <f ca="1">IFERROR(__xludf.DUMMYFUNCTION("""COMPUTED_VALUE"""),1155882998)</f>
        <v>1155882998</v>
      </c>
      <c r="J50" s="38">
        <f ca="1">IFERROR(__xludf.DUMMYFUNCTION("""COMPUTED_VALUE"""),1155882998)</f>
        <v>1155882998</v>
      </c>
      <c r="K50" s="38" t="str">
        <f ca="1">IFERROR(__xludf.DUMMYFUNCTION("""COMPUTED_VALUE"""),"matiasluzuriaga@gmail.com")</f>
        <v>matiasluzuriaga@gmail.com</v>
      </c>
      <c r="L50" s="38" t="str">
        <f ca="1">IFERROR(__xludf.DUMMYFUNCTION("""COMPUTED_VALUE"""),"Masculino")</f>
        <v>Masculino</v>
      </c>
      <c r="M50" s="38" t="str">
        <f ca="1">IFERROR(__xludf.DUMMYFUNCTION("""COMPUTED_VALUE"""),"CUBA")</f>
        <v>CUBA</v>
      </c>
      <c r="N50" s="38" t="str">
        <f ca="1">IFERROR(__xludf.DUMMYFUNCTION("""COMPUTED_VALUE"""),"Optimist Principiantes")</f>
        <v>Optimist Principiantes</v>
      </c>
      <c r="O50" s="38" t="str">
        <f ca="1">IFERROR(__xludf.DUMMYFUNCTION("""COMPUTED_VALUE"""),"OPTIMIST PRINCIPIANTES")</f>
        <v>OPTIMIST PRINCIPIANTES</v>
      </c>
      <c r="P50" s="38"/>
      <c r="Q50" s="38">
        <f ca="1">IFERROR(__xludf.DUMMYFUNCTION("""COMPUTED_VALUE"""),3749)</f>
        <v>3749</v>
      </c>
      <c r="R50" s="38" t="str">
        <f ca="1">IFERROR(__xludf.DUMMYFUNCTION("""COMPUTED_VALUE"""),"POLAR")</f>
        <v>POLAR</v>
      </c>
      <c r="S50" s="38" t="str">
        <f ca="1">IFERROR(__xludf.DUMMYFUNCTION("""COMPUTED_VALUE"""),"Lorenzo Agustín Luzuriaga")</f>
        <v>Lorenzo Agustín Luzuriaga</v>
      </c>
      <c r="T50" s="38"/>
      <c r="U50" s="38"/>
      <c r="V50" s="38"/>
      <c r="W50" s="38"/>
      <c r="X50" s="38"/>
      <c r="Y50" s="38" t="str">
        <f ca="1">IFERROR(__xludf.DUMMYFUNCTION("""COMPUTED_VALUE"""),"Accord Salud nº 00649274 020")</f>
        <v>Accord Salud nº 00649274 020</v>
      </c>
      <c r="Z50" s="6" t="str">
        <f ca="1">IFERROR(__xludf.DUMMYFUNCTION("""COMPUTED_VALUE"""),"Si")</f>
        <v>Si</v>
      </c>
      <c r="AA50" s="6" t="str">
        <f ca="1">IFERROR(__xludf.DUMMYFUNCTION("""COMPUTED_VALUE"""),"Acepto")</f>
        <v>Acepto</v>
      </c>
      <c r="AB50" s="6" t="str">
        <f ca="1">IFERROR(__xludf.DUMMYFUNCTION("""COMPUTED_VALUE"""),"Terminado")</f>
        <v>Terminado</v>
      </c>
      <c r="AC50" s="6">
        <f ca="1">IFERROR(__xludf.DUMMYFUNCTION("""COMPUTED_VALUE"""),60000)</f>
        <v>60000</v>
      </c>
      <c r="AD50" s="6">
        <f ca="1">IFERROR(__xludf.DUMMYFUNCTION("""COMPUTED_VALUE"""),205511)</f>
        <v>205511</v>
      </c>
      <c r="AE50" s="6" t="str">
        <f ca="1">IFERROR(__xludf.DUMMYFUNCTION("""COMPUTED_VALUE"""),"TRF 05-09")</f>
        <v>TRF 05-09</v>
      </c>
      <c r="AF50" s="38"/>
      <c r="AG50" s="38"/>
    </row>
    <row r="51" spans="2:33" ht="15.75" customHeight="1">
      <c r="B51" s="35">
        <f ca="1">IFERROR(__xludf.DUMMYFUNCTION("""COMPUTED_VALUE"""),45535.7001180555)</f>
        <v>45535.700118055502</v>
      </c>
      <c r="C51" s="36" t="str">
        <f ca="1">IFERROR(__xludf.DUMMYFUNCTION("""COMPUTED_VALUE"""),"Evangelina")</f>
        <v>Evangelina</v>
      </c>
      <c r="D51" s="36" t="str">
        <f ca="1">IFERROR(__xludf.DUMMYFUNCTION("""COMPUTED_VALUE"""),"Maeso")</f>
        <v>Maeso</v>
      </c>
      <c r="E51" s="36" t="str">
        <f ca="1">IFERROR(__xludf.DUMMYFUNCTION("""COMPUTED_VALUE"""),"Buenos Aires")</f>
        <v>Buenos Aires</v>
      </c>
      <c r="F51" s="6" t="str">
        <f ca="1">IFERROR(__xludf.DUMMYFUNCTION("""COMPUTED_VALUE"""),"ARG")</f>
        <v>ARG</v>
      </c>
      <c r="G51" s="6">
        <f ca="1">IFERROR(__xludf.DUMMYFUNCTION("""COMPUTED_VALUE"""),51069814)</f>
        <v>51069814</v>
      </c>
      <c r="H51" s="37">
        <f ca="1">IFERROR(__xludf.DUMMYFUNCTION("""COMPUTED_VALUE"""),40635)</f>
        <v>40635</v>
      </c>
      <c r="I51" s="38">
        <f ca="1">IFERROR(__xludf.DUMMYFUNCTION("""COMPUTED_VALUE"""),1131501011)</f>
        <v>1131501011</v>
      </c>
      <c r="J51" s="38">
        <f ca="1">IFERROR(__xludf.DUMMYFUNCTION("""COMPUTED_VALUE"""),1131501011)</f>
        <v>1131501011</v>
      </c>
      <c r="K51" s="38" t="str">
        <f ca="1">IFERROR(__xludf.DUMMYFUNCTION("""COMPUTED_VALUE"""),"Emiliastrunz@hotmail.com")</f>
        <v>Emiliastrunz@hotmail.com</v>
      </c>
      <c r="L51" s="38" t="str">
        <f ca="1">IFERROR(__xludf.DUMMYFUNCTION("""COMPUTED_VALUE"""),"Femenino")</f>
        <v>Femenino</v>
      </c>
      <c r="M51" s="38" t="str">
        <f ca="1">IFERROR(__xludf.DUMMYFUNCTION("""COMPUTED_VALUE"""),"CUBA")</f>
        <v>CUBA</v>
      </c>
      <c r="N51" s="38" t="str">
        <f ca="1">IFERROR(__xludf.DUMMYFUNCTION("""COMPUTED_VALUE"""),"Interior (Optimist)")</f>
        <v>Interior (Optimist)</v>
      </c>
      <c r="O51" s="38" t="str">
        <f ca="1">IFERROR(__xludf.DUMMYFUNCTION("""COMPUTED_VALUE"""),"OPTIMIST PRINCIPIANTES")</f>
        <v>OPTIMIST PRINCIPIANTES</v>
      </c>
      <c r="P51" s="38"/>
      <c r="Q51" s="38">
        <f ca="1">IFERROR(__xludf.DUMMYFUNCTION("""COMPUTED_VALUE"""),4091)</f>
        <v>4091</v>
      </c>
      <c r="R51" s="38"/>
      <c r="S51" s="38"/>
      <c r="T51" s="38"/>
      <c r="U51" s="38"/>
      <c r="V51" s="38"/>
      <c r="W51" s="38"/>
      <c r="X51" s="38"/>
      <c r="Y51" s="38">
        <f ca="1">IFERROR(__xludf.DUMMYFUNCTION("""COMPUTED_VALUE"""),61142218103)</f>
        <v>61142218103</v>
      </c>
      <c r="Z51" s="6" t="str">
        <f ca="1">IFERROR(__xludf.DUMMYFUNCTION("""COMPUTED_VALUE"""),"No")</f>
        <v>No</v>
      </c>
      <c r="AA51" s="6" t="str">
        <f ca="1">IFERROR(__xludf.DUMMYFUNCTION("""COMPUTED_VALUE"""),"Acepto")</f>
        <v>Acepto</v>
      </c>
      <c r="AB51" s="6" t="str">
        <f ca="1">IFERROR(__xludf.DUMMYFUNCTION("""COMPUTED_VALUE"""),"Terminado")</f>
        <v>Terminado</v>
      </c>
      <c r="AC51" s="6">
        <f ca="1">IFERROR(__xludf.DUMMYFUNCTION("""COMPUTED_VALUE"""),50000)</f>
        <v>50000</v>
      </c>
      <c r="AD51" s="6">
        <f ca="1">IFERROR(__xludf.DUMMYFUNCTION("""COMPUTED_VALUE"""),205366)</f>
        <v>205366</v>
      </c>
      <c r="AE51" s="6" t="str">
        <f ca="1">IFERROR(__xludf.DUMMYFUNCTION("""COMPUTED_VALUE"""),"TRF 31-08")</f>
        <v>TRF 31-08</v>
      </c>
      <c r="AF51" s="38"/>
      <c r="AG51" s="38"/>
    </row>
    <row r="52" spans="2:33" ht="15.75" customHeight="1">
      <c r="B52" s="35">
        <f ca="1">IFERROR(__xludf.DUMMYFUNCTION("""COMPUTED_VALUE"""),45535.9740820833)</f>
        <v>45535.974082083303</v>
      </c>
      <c r="C52" s="36" t="str">
        <f ca="1">IFERROR(__xludf.DUMMYFUNCTION("""COMPUTED_VALUE"""),"Maria Victoria")</f>
        <v>Maria Victoria</v>
      </c>
      <c r="D52" s="36" t="str">
        <f ca="1">IFERROR(__xludf.DUMMYFUNCTION("""COMPUTED_VALUE"""),"Maffei")</f>
        <v>Maffei</v>
      </c>
      <c r="E52" s="36" t="str">
        <f ca="1">IFERROR(__xludf.DUMMYFUNCTION("""COMPUTED_VALUE"""),"CABA")</f>
        <v>CABA</v>
      </c>
      <c r="F52" s="6" t="str">
        <f ca="1">IFERROR(__xludf.DUMMYFUNCTION("""COMPUTED_VALUE"""),"ARG")</f>
        <v>ARG</v>
      </c>
      <c r="G52" s="6">
        <f ca="1">IFERROR(__xludf.DUMMYFUNCTION("""COMPUTED_VALUE"""),52440150)</f>
        <v>52440150</v>
      </c>
      <c r="H52" s="37">
        <f ca="1">IFERROR(__xludf.DUMMYFUNCTION("""COMPUTED_VALUE"""),41011)</f>
        <v>41011</v>
      </c>
      <c r="I52" s="38">
        <f ca="1">IFERROR(__xludf.DUMMYFUNCTION("""COMPUTED_VALUE"""),1153638464)</f>
        <v>1153638464</v>
      </c>
      <c r="J52" s="38">
        <f ca="1">IFERROR(__xludf.DUMMYFUNCTION("""COMPUTED_VALUE"""),1121894758)</f>
        <v>1121894758</v>
      </c>
      <c r="K52" s="38" t="str">
        <f ca="1">IFERROR(__xludf.DUMMYFUNCTION("""COMPUTED_VALUE"""),"dmemergencias@gmail.com")</f>
        <v>dmemergencias@gmail.com</v>
      </c>
      <c r="L52" s="38" t="str">
        <f ca="1">IFERROR(__xludf.DUMMYFUNCTION("""COMPUTED_VALUE"""),"Femenino")</f>
        <v>Femenino</v>
      </c>
      <c r="M52" s="38" t="str">
        <f ca="1">IFERROR(__xludf.DUMMYFUNCTION("""COMPUTED_VALUE"""),"CVB")</f>
        <v>CVB</v>
      </c>
      <c r="N52" s="38" t="str">
        <f ca="1">IFERROR(__xludf.DUMMYFUNCTION("""COMPUTED_VALUE"""),"Femenino")</f>
        <v>Femenino</v>
      </c>
      <c r="O52" s="38" t="str">
        <f ca="1">IFERROR(__xludf.DUMMYFUNCTION("""COMPUTED_VALUE"""),"OPTIMIST PRINCIPIANTES")</f>
        <v>OPTIMIST PRINCIPIANTES</v>
      </c>
      <c r="P52" s="38"/>
      <c r="Q52" s="38">
        <f ca="1">IFERROR(__xludf.DUMMYFUNCTION("""COMPUTED_VALUE"""),3950)</f>
        <v>3950</v>
      </c>
      <c r="R52" s="38"/>
      <c r="S52" s="38"/>
      <c r="T52" s="38"/>
      <c r="U52" s="38"/>
      <c r="V52" s="38"/>
      <c r="W52" s="38"/>
      <c r="X52" s="38"/>
      <c r="Y52" s="38" t="str">
        <f ca="1">IFERROR(__xludf.DUMMYFUNCTION("""COMPUTED_VALUE"""),"MEDICUS")</f>
        <v>MEDICUS</v>
      </c>
      <c r="Z52" s="6" t="str">
        <f ca="1">IFERROR(__xludf.DUMMYFUNCTION("""COMPUTED_VALUE"""),"No")</f>
        <v>No</v>
      </c>
      <c r="AA52" s="6" t="str">
        <f ca="1">IFERROR(__xludf.DUMMYFUNCTION("""COMPUTED_VALUE"""),"Acepto")</f>
        <v>Acepto</v>
      </c>
      <c r="AB52" s="6" t="str">
        <f ca="1">IFERROR(__xludf.DUMMYFUNCTION("""COMPUTED_VALUE"""),"Terminado")</f>
        <v>Terminado</v>
      </c>
      <c r="AC52" s="6">
        <f ca="1">IFERROR(__xludf.DUMMYFUNCTION("""COMPUTED_VALUE"""),50000)</f>
        <v>50000</v>
      </c>
      <c r="AD52" s="6">
        <f ca="1">IFERROR(__xludf.DUMMYFUNCTION("""COMPUTED_VALUE"""),205339)</f>
        <v>205339</v>
      </c>
      <c r="AE52" s="6" t="str">
        <f ca="1">IFERROR(__xludf.DUMMYFUNCTION("""COMPUTED_VALUE"""),"TRF 31-08")</f>
        <v>TRF 31-08</v>
      </c>
      <c r="AF52" s="38"/>
      <c r="AG52" s="38"/>
    </row>
    <row r="53" spans="2:33" ht="13.2">
      <c r="B53" s="35">
        <f ca="1">IFERROR(__xludf.DUMMYFUNCTION("""COMPUTED_VALUE"""),45538.8106862384)</f>
        <v>45538.810686238401</v>
      </c>
      <c r="C53" s="36" t="str">
        <f ca="1">IFERROR(__xludf.DUMMYFUNCTION("""COMPUTED_VALUE"""),"Francesco")</f>
        <v>Francesco</v>
      </c>
      <c r="D53" s="36" t="str">
        <f ca="1">IFERROR(__xludf.DUMMYFUNCTION("""COMPUTED_VALUE"""),"Maffei")</f>
        <v>Maffei</v>
      </c>
      <c r="E53" s="36" t="str">
        <f ca="1">IFERROR(__xludf.DUMMYFUNCTION("""COMPUTED_VALUE"""),"Buenos Aires")</f>
        <v>Buenos Aires</v>
      </c>
      <c r="F53" s="6" t="str">
        <f ca="1">IFERROR(__xludf.DUMMYFUNCTION("""COMPUTED_VALUE"""),"ARG")</f>
        <v>ARG</v>
      </c>
      <c r="G53" s="6">
        <f ca="1">IFERROR(__xludf.DUMMYFUNCTION("""COMPUTED_VALUE"""),54055585)</f>
        <v>54055585</v>
      </c>
      <c r="H53" s="37">
        <f ca="1">IFERROR(__xludf.DUMMYFUNCTION("""COMPUTED_VALUE"""),41801)</f>
        <v>41801</v>
      </c>
      <c r="I53" s="38">
        <f ca="1">IFERROR(__xludf.DUMMYFUNCTION("""COMPUTED_VALUE"""),1159763843)</f>
        <v>1159763843</v>
      </c>
      <c r="J53" s="38">
        <f ca="1">IFERROR(__xludf.DUMMYFUNCTION("""COMPUTED_VALUE"""),1151261100)</f>
        <v>1151261100</v>
      </c>
      <c r="K53" s="38" t="str">
        <f ca="1">IFERROR(__xludf.DUMMYFUNCTION("""COMPUTED_VALUE"""),"carinafarinelli@hotmail.com")</f>
        <v>carinafarinelli@hotmail.com</v>
      </c>
      <c r="L53" s="38" t="str">
        <f ca="1">IFERROR(__xludf.DUMMYFUNCTION("""COMPUTED_VALUE"""),"Masculino")</f>
        <v>Masculino</v>
      </c>
      <c r="M53" s="38" t="str">
        <f ca="1">IFERROR(__xludf.DUMMYFUNCTION("""COMPUTED_VALUE"""),"CPNLB")</f>
        <v>CPNLB</v>
      </c>
      <c r="N53" s="38" t="str">
        <f ca="1">IFERROR(__xludf.DUMMYFUNCTION("""COMPUTED_VALUE"""),"Sub 12")</f>
        <v>Sub 12</v>
      </c>
      <c r="O53" s="38" t="str">
        <f ca="1">IFERROR(__xludf.DUMMYFUNCTION("""COMPUTED_VALUE"""),"OPTIMIST PRINCIPIANTES")</f>
        <v>OPTIMIST PRINCIPIANTES</v>
      </c>
      <c r="P53" s="38"/>
      <c r="Q53" s="38">
        <f ca="1">IFERROR(__xludf.DUMMYFUNCTION("""COMPUTED_VALUE"""),3602)</f>
        <v>3602</v>
      </c>
      <c r="R53" s="38" t="str">
        <f ca="1">IFERROR(__xludf.DUMMYFUNCTION("""COMPUTED_VALUE"""),"Phoenixheart")</f>
        <v>Phoenixheart</v>
      </c>
      <c r="S53" s="38"/>
      <c r="T53" s="38"/>
      <c r="U53" s="38"/>
      <c r="V53" s="38"/>
      <c r="W53" s="38"/>
      <c r="X53" s="38"/>
      <c r="Y53" s="38" t="str">
        <f ca="1">IFERROR(__xludf.DUMMYFUNCTION("""COMPUTED_VALUE"""),"OSDE 310")</f>
        <v>OSDE 310</v>
      </c>
      <c r="Z53" s="6" t="str">
        <f ca="1">IFERROR(__xludf.DUMMYFUNCTION("""COMPUTED_VALUE"""),"Si")</f>
        <v>Si</v>
      </c>
      <c r="AA53" s="6" t="str">
        <f ca="1">IFERROR(__xludf.DUMMYFUNCTION("""COMPUTED_VALUE"""),"Acepto")</f>
        <v>Acepto</v>
      </c>
      <c r="AB53" s="6" t="str">
        <f ca="1">IFERROR(__xludf.DUMMYFUNCTION("""COMPUTED_VALUE"""),"Pendiente")</f>
        <v>Pendiente</v>
      </c>
      <c r="AC53" s="6"/>
      <c r="AD53" s="6"/>
      <c r="AE53" s="6"/>
      <c r="AF53" s="38"/>
      <c r="AG53" s="38"/>
    </row>
    <row r="54" spans="2:33" ht="13.2">
      <c r="B54" s="35">
        <f ca="1">IFERROR(__xludf.DUMMYFUNCTION("""COMPUTED_VALUE"""),45533.836279375)</f>
        <v>45533.836279374998</v>
      </c>
      <c r="C54" s="36" t="str">
        <f ca="1">IFERROR(__xludf.DUMMYFUNCTION("""COMPUTED_VALUE"""),"Nicolás María ")</f>
        <v xml:space="preserve">Nicolás María </v>
      </c>
      <c r="D54" s="36" t="str">
        <f ca="1">IFERROR(__xludf.DUMMYFUNCTION("""COMPUTED_VALUE"""),"Marchegiani ")</f>
        <v xml:space="preserve">Marchegiani </v>
      </c>
      <c r="E54" s="36" t="str">
        <f ca="1">IFERROR(__xludf.DUMMYFUNCTION("""COMPUTED_VALUE"""),"Caba")</f>
        <v>Caba</v>
      </c>
      <c r="F54" s="6" t="str">
        <f ca="1">IFERROR(__xludf.DUMMYFUNCTION("""COMPUTED_VALUE"""),"ARG")</f>
        <v>ARG</v>
      </c>
      <c r="G54" s="6">
        <f ca="1">IFERROR(__xludf.DUMMYFUNCTION("""COMPUTED_VALUE"""),52445954)</f>
        <v>52445954</v>
      </c>
      <c r="H54" s="37">
        <f ca="1">IFERROR(__xludf.DUMMYFUNCTION("""COMPUTED_VALUE"""),41017)</f>
        <v>41017</v>
      </c>
      <c r="I54" s="38">
        <f ca="1">IFERROR(__xludf.DUMMYFUNCTION("""COMPUTED_VALUE"""),1131991095)</f>
        <v>1131991095</v>
      </c>
      <c r="J54" s="38" t="str">
        <f ca="1">IFERROR(__xludf.DUMMYFUNCTION("""COMPUTED_VALUE"""),"+54 9 11 5601-3069")</f>
        <v>+54 9 11 5601-3069</v>
      </c>
      <c r="K54" s="38" t="str">
        <f ca="1">IFERROR(__xludf.DUMMYFUNCTION("""COMPUTED_VALUE"""),"emarchegiani@outlook.com")</f>
        <v>emarchegiani@outlook.com</v>
      </c>
      <c r="L54" s="38" t="str">
        <f ca="1">IFERROR(__xludf.DUMMYFUNCTION("""COMPUTED_VALUE"""),"Masculino")</f>
        <v>Masculino</v>
      </c>
      <c r="M54" s="38" t="str">
        <f ca="1">IFERROR(__xludf.DUMMYFUNCTION("""COMPUTED_VALUE"""),"YCA")</f>
        <v>YCA</v>
      </c>
      <c r="N54" s="38"/>
      <c r="O54" s="38" t="str">
        <f ca="1">IFERROR(__xludf.DUMMYFUNCTION("""COMPUTED_VALUE"""),"OPTIMIST PRINCIPIANTES")</f>
        <v>OPTIMIST PRINCIPIANTES</v>
      </c>
      <c r="P54" s="38"/>
      <c r="Q54" s="38">
        <f ca="1">IFERROR(__xludf.DUMMYFUNCTION("""COMPUTED_VALUE"""),3820)</f>
        <v>3820</v>
      </c>
      <c r="R54" s="38" t="str">
        <f ca="1">IFERROR(__xludf.DUMMYFUNCTION("""COMPUTED_VALUE"""),"Veloce")</f>
        <v>Veloce</v>
      </c>
      <c r="S54" s="38"/>
      <c r="T54" s="38"/>
      <c r="U54" s="38"/>
      <c r="V54" s="38"/>
      <c r="W54" s="38"/>
      <c r="X54" s="38"/>
      <c r="Y54" s="38" t="str">
        <f ca="1">IFERROR(__xludf.DUMMYFUNCTION("""COMPUTED_VALUE"""),"Plan Médico H.Aleman 530204942503 5 OI")</f>
        <v>Plan Médico H.Aleman 530204942503 5 OI</v>
      </c>
      <c r="Z54" s="6" t="str">
        <f ca="1">IFERROR(__xludf.DUMMYFUNCTION("""COMPUTED_VALUE"""),"No")</f>
        <v>No</v>
      </c>
      <c r="AA54" s="6" t="str">
        <f ca="1">IFERROR(__xludf.DUMMYFUNCTION("""COMPUTED_VALUE"""),"Acepto")</f>
        <v>Acepto</v>
      </c>
      <c r="AB54" s="6" t="str">
        <f ca="1">IFERROR(__xludf.DUMMYFUNCTION("""COMPUTED_VALUE"""),"Pendiente")</f>
        <v>Pendiente</v>
      </c>
      <c r="AC54" s="6"/>
      <c r="AD54" s="6"/>
      <c r="AE54" s="6"/>
      <c r="AF54" s="38"/>
      <c r="AG54" s="38"/>
    </row>
    <row r="55" spans="2:33" ht="13.2">
      <c r="B55" s="35">
        <f ca="1">IFERROR(__xludf.DUMMYFUNCTION("""COMPUTED_VALUE"""),45533.4263124305)</f>
        <v>45533.4263124305</v>
      </c>
      <c r="C55" s="36" t="str">
        <f ca="1">IFERROR(__xludf.DUMMYFUNCTION("""COMPUTED_VALUE"""),"Eugenia")</f>
        <v>Eugenia</v>
      </c>
      <c r="D55" s="36" t="str">
        <f ca="1">IFERROR(__xludf.DUMMYFUNCTION("""COMPUTED_VALUE"""),"Mazzone")</f>
        <v>Mazzone</v>
      </c>
      <c r="E55" s="36" t="str">
        <f ca="1">IFERROR(__xludf.DUMMYFUNCTION("""COMPUTED_VALUE"""),"Quilmes")</f>
        <v>Quilmes</v>
      </c>
      <c r="F55" s="6" t="str">
        <f ca="1">IFERROR(__xludf.DUMMYFUNCTION("""COMPUTED_VALUE"""),"ARG")</f>
        <v>ARG</v>
      </c>
      <c r="G55" s="6">
        <f ca="1">IFERROR(__xludf.DUMMYFUNCTION("""COMPUTED_VALUE"""),49918962)</f>
        <v>49918962</v>
      </c>
      <c r="H55" s="37">
        <f ca="1">IFERROR(__xludf.DUMMYFUNCTION("""COMPUTED_VALUE"""),40119)</f>
        <v>40119</v>
      </c>
      <c r="I55" s="38" t="str">
        <f ca="1">IFERROR(__xludf.DUMMYFUNCTION("""COMPUTED_VALUE"""),"113055 3942")</f>
        <v>113055 3942</v>
      </c>
      <c r="J55" s="38" t="str">
        <f ca="1">IFERROR(__xludf.DUMMYFUNCTION("""COMPUTED_VALUE"""),"113055 3942")</f>
        <v>113055 3942</v>
      </c>
      <c r="K55" s="38" t="str">
        <f ca="1">IFERROR(__xludf.DUMMYFUNCTION("""COMPUTED_VALUE"""),"arianapro@hotmail.com")</f>
        <v>arianapro@hotmail.com</v>
      </c>
      <c r="L55" s="38" t="str">
        <f ca="1">IFERROR(__xludf.DUMMYFUNCTION("""COMPUTED_VALUE"""),"Femenino")</f>
        <v>Femenino</v>
      </c>
      <c r="M55" s="38" t="str">
        <f ca="1">IFERROR(__xludf.DUMMYFUNCTION("""COMPUTED_VALUE"""),"CNQ")</f>
        <v>CNQ</v>
      </c>
      <c r="N55" s="38" t="str">
        <f ca="1">IFERROR(__xludf.DUMMYFUNCTION("""COMPUTED_VALUE"""),"Femenino")</f>
        <v>Femenino</v>
      </c>
      <c r="O55" s="38" t="str">
        <f ca="1">IFERROR(__xludf.DUMMYFUNCTION("""COMPUTED_VALUE"""),"OPTIMIST PRINCIPIANTES")</f>
        <v>OPTIMIST PRINCIPIANTES</v>
      </c>
      <c r="P55" s="38"/>
      <c r="Q55" s="38">
        <f ca="1">IFERROR(__xludf.DUMMYFUNCTION("""COMPUTED_VALUE"""),3914)</f>
        <v>3914</v>
      </c>
      <c r="R55" s="38"/>
      <c r="S55" s="38"/>
      <c r="T55" s="38"/>
      <c r="U55" s="38"/>
      <c r="V55" s="38"/>
      <c r="W55" s="38"/>
      <c r="X55" s="38"/>
      <c r="Y55" s="38" t="str">
        <f ca="1">IFERROR(__xludf.DUMMYFUNCTION("""COMPUTED_VALUE"""),"Galeno ")</f>
        <v xml:space="preserve">Galeno </v>
      </c>
      <c r="Z55" s="6" t="str">
        <f ca="1">IFERROR(__xludf.DUMMYFUNCTION("""COMPUTED_VALUE"""),"Si")</f>
        <v>Si</v>
      </c>
      <c r="AA55" s="6" t="str">
        <f ca="1">IFERROR(__xludf.DUMMYFUNCTION("""COMPUTED_VALUE"""),"Acepto")</f>
        <v>Acepto</v>
      </c>
      <c r="AB55" s="6" t="str">
        <f ca="1">IFERROR(__xludf.DUMMYFUNCTION("""COMPUTED_VALUE"""),"Terminado")</f>
        <v>Terminado</v>
      </c>
      <c r="AC55" s="6">
        <f ca="1">IFERROR(__xludf.DUMMYFUNCTION("""COMPUTED_VALUE"""),50000)</f>
        <v>50000</v>
      </c>
      <c r="AD55" s="6">
        <f ca="1">IFERROR(__xludf.DUMMYFUNCTION("""COMPUTED_VALUE"""),205372)</f>
        <v>205372</v>
      </c>
      <c r="AE55" s="6" t="str">
        <f ca="1">IFERROR(__xludf.DUMMYFUNCTION("""COMPUTED_VALUE"""),"TRF 02-09")</f>
        <v>TRF 02-09</v>
      </c>
      <c r="AF55" s="38"/>
      <c r="AG55" s="38"/>
    </row>
    <row r="56" spans="2:33" ht="13.2">
      <c r="B56" s="35">
        <f ca="1">IFERROR(__xludf.DUMMYFUNCTION("""COMPUTED_VALUE"""),45532.5368578819)</f>
        <v>45532.536857881903</v>
      </c>
      <c r="C56" s="36" t="str">
        <f ca="1">IFERROR(__xludf.DUMMYFUNCTION("""COMPUTED_VALUE"""),"Bernarda")</f>
        <v>Bernarda</v>
      </c>
      <c r="D56" s="36" t="str">
        <f ca="1">IFERROR(__xludf.DUMMYFUNCTION("""COMPUTED_VALUE"""),"Mercerat")</f>
        <v>Mercerat</v>
      </c>
      <c r="E56" s="36" t="str">
        <f ca="1">IFERROR(__xludf.DUMMYFUNCTION("""COMPUTED_VALUE"""),"LA Plata")</f>
        <v>LA Plata</v>
      </c>
      <c r="F56" s="6" t="str">
        <f ca="1">IFERROR(__xludf.DUMMYFUNCTION("""COMPUTED_VALUE"""),"ARG")</f>
        <v>ARG</v>
      </c>
      <c r="G56" s="6">
        <f ca="1">IFERROR(__xludf.DUMMYFUNCTION("""COMPUTED_VALUE"""),52725071)</f>
        <v>52725071</v>
      </c>
      <c r="H56" s="37">
        <f ca="1">IFERROR(__xludf.DUMMYFUNCTION("""COMPUTED_VALUE"""),41200)</f>
        <v>41200</v>
      </c>
      <c r="I56" s="38">
        <f ca="1">IFERROR(__xludf.DUMMYFUNCTION("""COMPUTED_VALUE"""),1125860224)</f>
        <v>1125860224</v>
      </c>
      <c r="J56" s="38">
        <f ca="1">IFERROR(__xludf.DUMMYFUNCTION("""COMPUTED_VALUE"""),1125860224)</f>
        <v>1125860224</v>
      </c>
      <c r="K56" s="38" t="str">
        <f ca="1">IFERROR(__xludf.DUMMYFUNCTION("""COMPUTED_VALUE"""),"noeliafmartinez@gmail.com")</f>
        <v>noeliafmartinez@gmail.com</v>
      </c>
      <c r="L56" s="38" t="str">
        <f ca="1">IFERROR(__xludf.DUMMYFUNCTION("""COMPUTED_VALUE"""),"Femenino")</f>
        <v>Femenino</v>
      </c>
      <c r="M56" s="38" t="str">
        <f ca="1">IFERROR(__xludf.DUMMYFUNCTION("""COMPUTED_VALUE"""),"CRLP")</f>
        <v>CRLP</v>
      </c>
      <c r="N56" s="38" t="str">
        <f ca="1">IFERROR(__xludf.DUMMYFUNCTION("""COMPUTED_VALUE"""),"Femenino")</f>
        <v>Femenino</v>
      </c>
      <c r="O56" s="38" t="str">
        <f ca="1">IFERROR(__xludf.DUMMYFUNCTION("""COMPUTED_VALUE"""),"OPTIMIST PRINCIPIANTES")</f>
        <v>OPTIMIST PRINCIPIANTES</v>
      </c>
      <c r="P56" s="38"/>
      <c r="Q56" s="38">
        <f ca="1">IFERROR(__xludf.DUMMYFUNCTION("""COMPUTED_VALUE"""),2695)</f>
        <v>2695</v>
      </c>
      <c r="R56" s="38" t="str">
        <f ca="1">IFERROR(__xludf.DUMMYFUNCTION("""COMPUTED_VALUE"""),"Eternauta")</f>
        <v>Eternauta</v>
      </c>
      <c r="S56" s="38"/>
      <c r="T56" s="38"/>
      <c r="U56" s="38"/>
      <c r="V56" s="38"/>
      <c r="W56" s="38"/>
      <c r="X56" s="38"/>
      <c r="Y56" s="38" t="str">
        <f ca="1">IFERROR(__xludf.DUMMYFUNCTION("""COMPUTED_VALUE"""),"IOMA - 2271464756/02")</f>
        <v>IOMA - 2271464756/02</v>
      </c>
      <c r="Z56" s="6" t="str">
        <f ca="1">IFERROR(__xludf.DUMMYFUNCTION("""COMPUTED_VALUE"""),"Si")</f>
        <v>Si</v>
      </c>
      <c r="AA56" s="6" t="str">
        <f ca="1">IFERROR(__xludf.DUMMYFUNCTION("""COMPUTED_VALUE"""),"Acepto")</f>
        <v>Acepto</v>
      </c>
      <c r="AB56" s="6" t="str">
        <f ca="1">IFERROR(__xludf.DUMMYFUNCTION("""COMPUTED_VALUE"""),"Terminado")</f>
        <v>Terminado</v>
      </c>
      <c r="AC56" s="6">
        <f ca="1">IFERROR(__xludf.DUMMYFUNCTION("""COMPUTED_VALUE"""),60000)</f>
        <v>60000</v>
      </c>
      <c r="AD56" s="6">
        <f ca="1">IFERROR(__xludf.DUMMYFUNCTION("""COMPUTED_VALUE"""),205401)</f>
        <v>205401</v>
      </c>
      <c r="AE56" s="6" t="str">
        <f ca="1">IFERROR(__xludf.DUMMYFUNCTION("""COMPUTED_VALUE"""),"TRF02-09")</f>
        <v>TRF02-09</v>
      </c>
      <c r="AF56" s="38"/>
      <c r="AG56" s="38"/>
    </row>
    <row r="57" spans="2:33" ht="13.2">
      <c r="B57" s="35">
        <f ca="1">IFERROR(__xludf.DUMMYFUNCTION("""COMPUTED_VALUE"""),45535.5904626504)</f>
        <v>45535.590462650398</v>
      </c>
      <c r="C57" s="36" t="str">
        <f ca="1">IFERROR(__xludf.DUMMYFUNCTION("""COMPUTED_VALUE"""),"Juan Francisco ")</f>
        <v xml:space="preserve">Juan Francisco </v>
      </c>
      <c r="D57" s="36" t="str">
        <f ca="1">IFERROR(__xludf.DUMMYFUNCTION("""COMPUTED_VALUE"""),"Mirey")</f>
        <v>Mirey</v>
      </c>
      <c r="E57" s="36" t="str">
        <f ca="1">IFERROR(__xludf.DUMMYFUNCTION("""COMPUTED_VALUE"""),"Zarate")</f>
        <v>Zarate</v>
      </c>
      <c r="F57" s="6" t="str">
        <f ca="1">IFERROR(__xludf.DUMMYFUNCTION("""COMPUTED_VALUE"""),"ARG")</f>
        <v>ARG</v>
      </c>
      <c r="G57" s="6">
        <f ca="1">IFERROR(__xludf.DUMMYFUNCTION("""COMPUTED_VALUE"""),53610165)</f>
        <v>53610165</v>
      </c>
      <c r="H57" s="37">
        <f ca="1">IFERROR(__xludf.DUMMYFUNCTION("""COMPUTED_VALUE"""),41594)</f>
        <v>41594</v>
      </c>
      <c r="I57" s="38" t="str">
        <f ca="1">IFERROR(__xludf.DUMMYFUNCTION("""COMPUTED_VALUE"""),"3487-308488")</f>
        <v>3487-308488</v>
      </c>
      <c r="J57" s="38" t="str">
        <f ca="1">IFERROR(__xludf.DUMMYFUNCTION("""COMPUTED_VALUE"""),"3487-308487")</f>
        <v>3487-308487</v>
      </c>
      <c r="K57" s="38" t="str">
        <f ca="1">IFERROR(__xludf.DUMMYFUNCTION("""COMPUTED_VALUE"""),"marcelomirey@hotmail.com")</f>
        <v>marcelomirey@hotmail.com</v>
      </c>
      <c r="L57" s="38" t="str">
        <f ca="1">IFERROR(__xludf.DUMMYFUNCTION("""COMPUTED_VALUE"""),"Masculino")</f>
        <v>Masculino</v>
      </c>
      <c r="M57" s="38" t="str">
        <f ca="1">IFERROR(__xludf.DUMMYFUNCTION("""COMPUTED_VALUE"""),"CNZ")</f>
        <v>CNZ</v>
      </c>
      <c r="N57" s="38"/>
      <c r="O57" s="38" t="str">
        <f ca="1">IFERROR(__xludf.DUMMYFUNCTION("""COMPUTED_VALUE"""),"OPTIMIST PRINCIPIANTES")</f>
        <v>OPTIMIST PRINCIPIANTES</v>
      </c>
      <c r="P57" s="38"/>
      <c r="Q57" s="38">
        <f ca="1">IFERROR(__xludf.DUMMYFUNCTION("""COMPUTED_VALUE"""),3538)</f>
        <v>3538</v>
      </c>
      <c r="R57" s="38" t="str">
        <f ca="1">IFERROR(__xludf.DUMMYFUNCTION("""COMPUTED_VALUE"""),"Infinito")</f>
        <v>Infinito</v>
      </c>
      <c r="S57" s="38"/>
      <c r="T57" s="38"/>
      <c r="U57" s="38"/>
      <c r="V57" s="38"/>
      <c r="W57" s="38"/>
      <c r="X57" s="38"/>
      <c r="Y57" s="38" t="str">
        <f ca="1">IFERROR(__xludf.DUMMYFUNCTION("""COMPUTED_VALUE"""),"COMEI 050863-03-7 ")</f>
        <v xml:space="preserve">COMEI 050863-03-7 </v>
      </c>
      <c r="Z57" s="6" t="str">
        <f ca="1">IFERROR(__xludf.DUMMYFUNCTION("""COMPUTED_VALUE"""),"Si")</f>
        <v>Si</v>
      </c>
      <c r="AA57" s="6" t="str">
        <f ca="1">IFERROR(__xludf.DUMMYFUNCTION("""COMPUTED_VALUE"""),"Acepto")</f>
        <v>Acepto</v>
      </c>
      <c r="AB57" s="6" t="str">
        <f ca="1">IFERROR(__xludf.DUMMYFUNCTION("""COMPUTED_VALUE"""),"Terminado")</f>
        <v>Terminado</v>
      </c>
      <c r="AC57" s="6">
        <f ca="1">IFERROR(__xludf.DUMMYFUNCTION("""COMPUTED_VALUE"""),50000)</f>
        <v>50000</v>
      </c>
      <c r="AD57" s="6">
        <f ca="1">IFERROR(__xludf.DUMMYFUNCTION("""COMPUTED_VALUE"""),205151)</f>
        <v>205151</v>
      </c>
      <c r="AE57" s="6" t="str">
        <f ca="1">IFERROR(__xludf.DUMMYFUNCTION("""COMPUTED_VALUE"""),"TRF 31-08")</f>
        <v>TRF 31-08</v>
      </c>
      <c r="AF57" s="38"/>
      <c r="AG57" s="38"/>
    </row>
    <row r="58" spans="2:33" ht="13.2">
      <c r="B58" s="35">
        <f ca="1">IFERROR(__xludf.DUMMYFUNCTION("""COMPUTED_VALUE"""),45536.5266219676)</f>
        <v>45536.526621967598</v>
      </c>
      <c r="C58" s="36" t="str">
        <f ca="1">IFERROR(__xludf.DUMMYFUNCTION("""COMPUTED_VALUE"""),"Rafael")</f>
        <v>Rafael</v>
      </c>
      <c r="D58" s="36" t="str">
        <f ca="1">IFERROR(__xludf.DUMMYFUNCTION("""COMPUTED_VALUE"""),"Mones")</f>
        <v>Mones</v>
      </c>
      <c r="E58" s="36" t="str">
        <f ca="1">IFERROR(__xludf.DUMMYFUNCTION("""COMPUTED_VALUE"""),"Buenos Aires")</f>
        <v>Buenos Aires</v>
      </c>
      <c r="F58" s="6" t="str">
        <f ca="1">IFERROR(__xludf.DUMMYFUNCTION("""COMPUTED_VALUE"""),"ARG")</f>
        <v>ARG</v>
      </c>
      <c r="G58" s="6">
        <f ca="1">IFERROR(__xludf.DUMMYFUNCTION("""COMPUTED_VALUE"""),51723975)</f>
        <v>51723975</v>
      </c>
      <c r="H58" s="37">
        <f ca="1">IFERROR(__xludf.DUMMYFUNCTION("""COMPUTED_VALUE"""),41808)</f>
        <v>41808</v>
      </c>
      <c r="I58" s="38">
        <f ca="1">IFERROR(__xludf.DUMMYFUNCTION("""COMPUTED_VALUE"""),13057933880)</f>
        <v>13057933880</v>
      </c>
      <c r="J58" s="38">
        <f ca="1">IFERROR(__xludf.DUMMYFUNCTION("""COMPUTED_VALUE"""),1171632121)</f>
        <v>1171632121</v>
      </c>
      <c r="K58" s="38" t="str">
        <f ca="1">IFERROR(__xludf.DUMMYFUNCTION("""COMPUTED_VALUE"""),"Mones1050@gmail.com")</f>
        <v>Mones1050@gmail.com</v>
      </c>
      <c r="L58" s="38" t="str">
        <f ca="1">IFERROR(__xludf.DUMMYFUNCTION("""COMPUTED_VALUE"""),"Masculino")</f>
        <v>Masculino</v>
      </c>
      <c r="M58" s="38" t="str">
        <f ca="1">IFERROR(__xludf.DUMMYFUNCTION("""COMPUTED_VALUE"""),"YCA")</f>
        <v>YCA</v>
      </c>
      <c r="N58" s="38"/>
      <c r="O58" s="38" t="str">
        <f ca="1">IFERROR(__xludf.DUMMYFUNCTION("""COMPUTED_VALUE"""),"OPTIMIST PRINCIPIANTES")</f>
        <v>OPTIMIST PRINCIPIANTES</v>
      </c>
      <c r="P58" s="38"/>
      <c r="Q58" s="38">
        <f ca="1">IFERROR(__xludf.DUMMYFUNCTION("""COMPUTED_VALUE"""),4118)</f>
        <v>4118</v>
      </c>
      <c r="R58" s="38"/>
      <c r="S58" s="38"/>
      <c r="T58" s="38"/>
      <c r="U58" s="38"/>
      <c r="V58" s="38"/>
      <c r="W58" s="38"/>
      <c r="X58" s="38"/>
      <c r="Y58" s="38" t="str">
        <f ca="1">IFERROR(__xludf.DUMMYFUNCTION("""COMPUTED_VALUE"""),"Swiss Medical")</f>
        <v>Swiss Medical</v>
      </c>
      <c r="Z58" s="6" t="str">
        <f ca="1">IFERROR(__xludf.DUMMYFUNCTION("""COMPUTED_VALUE"""),"No")</f>
        <v>No</v>
      </c>
      <c r="AA58" s="6" t="str">
        <f ca="1">IFERROR(__xludf.DUMMYFUNCTION("""COMPUTED_VALUE"""),"Acepto")</f>
        <v>Acepto</v>
      </c>
      <c r="AB58" s="6" t="str">
        <f ca="1">IFERROR(__xludf.DUMMYFUNCTION("""COMPUTED_VALUE"""),"Terminado")</f>
        <v>Terminado</v>
      </c>
      <c r="AC58" s="6">
        <f ca="1">IFERROR(__xludf.DUMMYFUNCTION("""COMPUTED_VALUE"""),50000)</f>
        <v>50000</v>
      </c>
      <c r="AD58" s="6">
        <f ca="1">IFERROR(__xludf.DUMMYFUNCTION("""COMPUTED_VALUE"""),205385)</f>
        <v>205385</v>
      </c>
      <c r="AE58" s="6" t="str">
        <f ca="1">IFERROR(__xludf.DUMMYFUNCTION("""COMPUTED_VALUE"""),"TRF 02-09")</f>
        <v>TRF 02-09</v>
      </c>
      <c r="AF58" s="38"/>
      <c r="AG58" s="38"/>
    </row>
    <row r="59" spans="2:33" ht="13.2">
      <c r="B59" s="35">
        <f ca="1">IFERROR(__xludf.DUMMYFUNCTION("""COMPUTED_VALUE"""),45535.8503857291)</f>
        <v>45535.8503857291</v>
      </c>
      <c r="C59" s="36" t="str">
        <f ca="1">IFERROR(__xludf.DUMMYFUNCTION("""COMPUTED_VALUE"""),"Carlota")</f>
        <v>Carlota</v>
      </c>
      <c r="D59" s="36" t="str">
        <f ca="1">IFERROR(__xludf.DUMMYFUNCTION("""COMPUTED_VALUE"""),"Moreno Cantillana")</f>
        <v>Moreno Cantillana</v>
      </c>
      <c r="E59" s="36" t="str">
        <f ca="1">IFERROR(__xludf.DUMMYFUNCTION("""COMPUTED_VALUE"""),"Buenos Aires")</f>
        <v>Buenos Aires</v>
      </c>
      <c r="F59" s="6" t="str">
        <f ca="1">IFERROR(__xludf.DUMMYFUNCTION("""COMPUTED_VALUE"""),"ARG")</f>
        <v>ARG</v>
      </c>
      <c r="G59" s="6">
        <f ca="1">IFERROR(__xludf.DUMMYFUNCTION("""COMPUTED_VALUE"""),95632462)</f>
        <v>95632462</v>
      </c>
      <c r="H59" s="37">
        <f ca="1">IFERROR(__xludf.DUMMYFUNCTION("""COMPUTED_VALUE"""),41462)</f>
        <v>41462</v>
      </c>
      <c r="I59" s="38">
        <f ca="1">IFERROR(__xludf.DUMMYFUNCTION("""COMPUTED_VALUE"""),1163559460)</f>
        <v>1163559460</v>
      </c>
      <c r="J59" s="38">
        <f ca="1">IFERROR(__xludf.DUMMYFUNCTION("""COMPUTED_VALUE"""),1139075016)</f>
        <v>1139075016</v>
      </c>
      <c r="K59" s="38" t="str">
        <f ca="1">IFERROR(__xludf.DUMMYFUNCTION("""COMPUTED_VALUE"""),"barbaracantillana@gmail.com")</f>
        <v>barbaracantillana@gmail.com</v>
      </c>
      <c r="L59" s="38" t="str">
        <f ca="1">IFERROR(__xludf.DUMMYFUNCTION("""COMPUTED_VALUE"""),"Femenino")</f>
        <v>Femenino</v>
      </c>
      <c r="M59" s="38" t="str">
        <f ca="1">IFERROR(__xludf.DUMMYFUNCTION("""COMPUTED_VALUE"""),"YCCN")</f>
        <v>YCCN</v>
      </c>
      <c r="N59" s="38" t="str">
        <f ca="1">IFERROR(__xludf.DUMMYFUNCTION("""COMPUTED_VALUE"""),"Femenino, Interior (Optimist)")</f>
        <v>Femenino, Interior (Optimist)</v>
      </c>
      <c r="O59" s="38" t="str">
        <f ca="1">IFERROR(__xludf.DUMMYFUNCTION("""COMPUTED_VALUE"""),"OPTIMIST PRINCIPIANTES")</f>
        <v>OPTIMIST PRINCIPIANTES</v>
      </c>
      <c r="P59" s="38"/>
      <c r="Q59" s="38">
        <f ca="1">IFERROR(__xludf.DUMMYFUNCTION("""COMPUTED_VALUE"""),4090)</f>
        <v>4090</v>
      </c>
      <c r="R59" s="38" t="str">
        <f ca="1">IFERROR(__xludf.DUMMYFUNCTION("""COMPUTED_VALUE"""),"Bala")</f>
        <v>Bala</v>
      </c>
      <c r="S59" s="38"/>
      <c r="T59" s="38"/>
      <c r="U59" s="38"/>
      <c r="V59" s="38"/>
      <c r="W59" s="38"/>
      <c r="X59" s="38"/>
      <c r="Y59" s="38">
        <f ca="1">IFERROR(__xludf.DUMMYFUNCTION("""COMPUTED_VALUE"""),62792242104)</f>
        <v>62792242104</v>
      </c>
      <c r="Z59" s="6" t="str">
        <f ca="1">IFERROR(__xludf.DUMMYFUNCTION("""COMPUTED_VALUE"""),"Si")</f>
        <v>Si</v>
      </c>
      <c r="AA59" s="6" t="str">
        <f ca="1">IFERROR(__xludf.DUMMYFUNCTION("""COMPUTED_VALUE"""),"Acepto")</f>
        <v>Acepto</v>
      </c>
      <c r="AB59" s="6" t="str">
        <f ca="1">IFERROR(__xludf.DUMMYFUNCTION("""COMPUTED_VALUE"""),"Terminado")</f>
        <v>Terminado</v>
      </c>
      <c r="AC59" s="6">
        <f ca="1">IFERROR(__xludf.DUMMYFUNCTION("""COMPUTED_VALUE"""),60000)</f>
        <v>60000</v>
      </c>
      <c r="AD59" s="6">
        <f ca="1">IFERROR(__xludf.DUMMYFUNCTION("""COMPUTED_VALUE"""),205356)</f>
        <v>205356</v>
      </c>
      <c r="AE59" s="6" t="str">
        <f ca="1">IFERROR(__xludf.DUMMYFUNCTION("""COMPUTED_VALUE"""),"TRF 02-09")</f>
        <v>TRF 02-09</v>
      </c>
      <c r="AF59" s="38"/>
      <c r="AG59" s="38"/>
    </row>
    <row r="60" spans="2:33" ht="13.2">
      <c r="B60" s="35">
        <f ca="1">IFERROR(__xludf.DUMMYFUNCTION("""COMPUTED_VALUE"""),45537.5403152546)</f>
        <v>45537.540315254599</v>
      </c>
      <c r="C60" s="36" t="str">
        <f ca="1">IFERROR(__xludf.DUMMYFUNCTION("""COMPUTED_VALUE"""),"Michelle ")</f>
        <v xml:space="preserve">Michelle </v>
      </c>
      <c r="D60" s="36" t="str">
        <f ca="1">IFERROR(__xludf.DUMMYFUNCTION("""COMPUTED_VALUE"""),"Moriceau")</f>
        <v>Moriceau</v>
      </c>
      <c r="E60" s="36" t="str">
        <f ca="1">IFERROR(__xludf.DUMMYFUNCTION("""COMPUTED_VALUE"""),"Olivos ")</f>
        <v xml:space="preserve">Olivos </v>
      </c>
      <c r="F60" s="6" t="str">
        <f ca="1">IFERROR(__xludf.DUMMYFUNCTION("""COMPUTED_VALUE"""),"ARG")</f>
        <v>ARG</v>
      </c>
      <c r="G60" s="6">
        <f ca="1">IFERROR(__xludf.DUMMYFUNCTION("""COMPUTED_VALUE"""),54300994)</f>
        <v>54300994</v>
      </c>
      <c r="H60" s="37">
        <f ca="1">IFERROR(__xludf.DUMMYFUNCTION("""COMPUTED_VALUE"""),41915)</f>
        <v>41915</v>
      </c>
      <c r="I60" s="38">
        <f ca="1">IFERROR(__xludf.DUMMYFUNCTION("""COMPUTED_VALUE"""),1156454666)</f>
        <v>1156454666</v>
      </c>
      <c r="J60" s="38">
        <f ca="1">IFERROR(__xludf.DUMMYFUNCTION("""COMPUTED_VALUE"""),1156454666)</f>
        <v>1156454666</v>
      </c>
      <c r="K60" s="38" t="str">
        <f ca="1">IFERROR(__xludf.DUMMYFUNCTION("""COMPUTED_VALUE"""),"karengreniuk@gmail.com")</f>
        <v>karengreniuk@gmail.com</v>
      </c>
      <c r="L60" s="38" t="str">
        <f ca="1">IFERROR(__xludf.DUMMYFUNCTION("""COMPUTED_VALUE"""),"Femenino")</f>
        <v>Femenino</v>
      </c>
      <c r="M60" s="38" t="str">
        <f ca="1">IFERROR(__xludf.DUMMYFUNCTION("""COMPUTED_VALUE"""),"YCA")</f>
        <v>YCA</v>
      </c>
      <c r="N60" s="38" t="str">
        <f ca="1">IFERROR(__xludf.DUMMYFUNCTION("""COMPUTED_VALUE"""),"Femenino")</f>
        <v>Femenino</v>
      </c>
      <c r="O60" s="38" t="str">
        <f ca="1">IFERROR(__xludf.DUMMYFUNCTION("""COMPUTED_VALUE"""),"OPTIMIST PRINCIPIANTES")</f>
        <v>OPTIMIST PRINCIPIANTES</v>
      </c>
      <c r="P60" s="38"/>
      <c r="Q60" s="38">
        <f ca="1">IFERROR(__xludf.DUMMYFUNCTION("""COMPUTED_VALUE"""),3523)</f>
        <v>3523</v>
      </c>
      <c r="R60" s="38" t="str">
        <f ca="1">IFERROR(__xludf.DUMMYFUNCTION("""COMPUTED_VALUE"""),"Michirena")</f>
        <v>Michirena</v>
      </c>
      <c r="S60" s="38"/>
      <c r="T60" s="38"/>
      <c r="U60" s="38"/>
      <c r="V60" s="38"/>
      <c r="W60" s="38"/>
      <c r="X60" s="38"/>
      <c r="Y60" s="38" t="str">
        <f ca="1">IFERROR(__xludf.DUMMYFUNCTION("""COMPUTED_VALUE"""),"Medicus MC 14730220000")</f>
        <v>Medicus MC 14730220000</v>
      </c>
      <c r="Z60" s="6" t="str">
        <f ca="1">IFERROR(__xludf.DUMMYFUNCTION("""COMPUTED_VALUE"""),"No")</f>
        <v>No</v>
      </c>
      <c r="AA60" s="6" t="str">
        <f ca="1">IFERROR(__xludf.DUMMYFUNCTION("""COMPUTED_VALUE"""),"Acepto")</f>
        <v>Acepto</v>
      </c>
      <c r="AB60" s="6" t="str">
        <f ca="1">IFERROR(__xludf.DUMMYFUNCTION("""COMPUTED_VALUE"""),"Pendiente")</f>
        <v>Pendiente</v>
      </c>
      <c r="AC60" s="6"/>
      <c r="AD60" s="6"/>
      <c r="AE60" s="6"/>
      <c r="AF60" s="38"/>
      <c r="AG60" s="38"/>
    </row>
    <row r="61" spans="2:33" ht="13.2">
      <c r="B61" s="35">
        <f ca="1">IFERROR(__xludf.DUMMYFUNCTION("""COMPUTED_VALUE"""),45535.6265690046)</f>
        <v>45535.626569004598</v>
      </c>
      <c r="C61" s="36" t="str">
        <f ca="1">IFERROR(__xludf.DUMMYFUNCTION("""COMPUTED_VALUE"""),"Martín ")</f>
        <v xml:space="preserve">Martín </v>
      </c>
      <c r="D61" s="36" t="str">
        <f ca="1">IFERROR(__xludf.DUMMYFUNCTION("""COMPUTED_VALUE"""),"Mul")</f>
        <v>Mul</v>
      </c>
      <c r="E61" s="36" t="str">
        <f ca="1">IFERROR(__xludf.DUMMYFUNCTION("""COMPUTED_VALUE"""),"Zarate")</f>
        <v>Zarate</v>
      </c>
      <c r="F61" s="6" t="str">
        <f ca="1">IFERROR(__xludf.DUMMYFUNCTION("""COMPUTED_VALUE"""),"ARG")</f>
        <v>ARG</v>
      </c>
      <c r="G61" s="6">
        <f ca="1">IFERROR(__xludf.DUMMYFUNCTION("""COMPUTED_VALUE"""),53417016)</f>
        <v>53417016</v>
      </c>
      <c r="H61" s="37">
        <f ca="1">IFERROR(__xludf.DUMMYFUNCTION("""COMPUTED_VALUE"""),41536)</f>
        <v>41536</v>
      </c>
      <c r="I61" s="38">
        <f ca="1">IFERROR(__xludf.DUMMYFUNCTION("""COMPUTED_VALUE"""),3487330394)</f>
        <v>3487330394</v>
      </c>
      <c r="J61" s="38"/>
      <c r="K61" s="38" t="str">
        <f ca="1">IFERROR(__xludf.DUMMYFUNCTION("""COMPUTED_VALUE"""),"Malala_18g@hotmail.com")</f>
        <v>Malala_18g@hotmail.com</v>
      </c>
      <c r="L61" s="38" t="str">
        <f ca="1">IFERROR(__xludf.DUMMYFUNCTION("""COMPUTED_VALUE"""),"Masculino")</f>
        <v>Masculino</v>
      </c>
      <c r="M61" s="38" t="str">
        <f ca="1">IFERROR(__xludf.DUMMYFUNCTION("""COMPUTED_VALUE"""),"CNZ")</f>
        <v>CNZ</v>
      </c>
      <c r="N61" s="38" t="str">
        <f ca="1">IFERROR(__xludf.DUMMYFUNCTION("""COMPUTED_VALUE"""),"Interior (Optimist)")</f>
        <v>Interior (Optimist)</v>
      </c>
      <c r="O61" s="38" t="str">
        <f ca="1">IFERROR(__xludf.DUMMYFUNCTION("""COMPUTED_VALUE"""),"OPTIMIST PRINCIPIANTES")</f>
        <v>OPTIMIST PRINCIPIANTES</v>
      </c>
      <c r="P61" s="38"/>
      <c r="Q61" s="38">
        <f ca="1">IFERROR(__xludf.DUMMYFUNCTION("""COMPUTED_VALUE"""),2865)</f>
        <v>2865</v>
      </c>
      <c r="R61" s="38" t="str">
        <f ca="1">IFERROR(__xludf.DUMMYFUNCTION("""COMPUTED_VALUE"""),"Rayo")</f>
        <v>Rayo</v>
      </c>
      <c r="S61" s="38"/>
      <c r="T61" s="38"/>
      <c r="U61" s="38"/>
      <c r="V61" s="38"/>
      <c r="W61" s="38"/>
      <c r="X61" s="38"/>
      <c r="Y61" s="38" t="str">
        <f ca="1">IFERROR(__xludf.DUMMYFUNCTION("""COMPUTED_VALUE"""),"Osdipp")</f>
        <v>Osdipp</v>
      </c>
      <c r="Z61" s="6" t="str">
        <f ca="1">IFERROR(__xludf.DUMMYFUNCTION("""COMPUTED_VALUE"""),"Si")</f>
        <v>Si</v>
      </c>
      <c r="AA61" s="6" t="str">
        <f ca="1">IFERROR(__xludf.DUMMYFUNCTION("""COMPUTED_VALUE"""),"Acepto")</f>
        <v>Acepto</v>
      </c>
      <c r="AB61" s="6" t="str">
        <f ca="1">IFERROR(__xludf.DUMMYFUNCTION("""COMPUTED_VALUE"""),"Terminado")</f>
        <v>Terminado</v>
      </c>
      <c r="AC61" s="6">
        <f ca="1">IFERROR(__xludf.DUMMYFUNCTION("""COMPUTED_VALUE"""),50000)</f>
        <v>50000</v>
      </c>
      <c r="AD61" s="6">
        <f ca="1">IFERROR(__xludf.DUMMYFUNCTION("""COMPUTED_VALUE"""),205357)</f>
        <v>205357</v>
      </c>
      <c r="AE61" s="6" t="str">
        <f ca="1">IFERROR(__xludf.DUMMYFUNCTION("""COMPUTED_VALUE"""),"TRF 31-08")</f>
        <v>TRF 31-08</v>
      </c>
      <c r="AF61" s="38"/>
      <c r="AG61" s="38"/>
    </row>
    <row r="62" spans="2:33" ht="13.2">
      <c r="B62" s="35">
        <f ca="1">IFERROR(__xludf.DUMMYFUNCTION("""COMPUTED_VALUE"""),45535.516484155)</f>
        <v>45535.516484154999</v>
      </c>
      <c r="C62" s="36" t="str">
        <f ca="1">IFERROR(__xludf.DUMMYFUNCTION("""COMPUTED_VALUE"""),"Olivia ")</f>
        <v xml:space="preserve">Olivia </v>
      </c>
      <c r="D62" s="36" t="str">
        <f ca="1">IFERROR(__xludf.DUMMYFUNCTION("""COMPUTED_VALUE"""),"MUSSEL")</f>
        <v>MUSSEL</v>
      </c>
      <c r="E62" s="36" t="str">
        <f ca="1">IFERROR(__xludf.DUMMYFUNCTION("""COMPUTED_VALUE"""),"CABA")</f>
        <v>CABA</v>
      </c>
      <c r="F62" s="6" t="str">
        <f ca="1">IFERROR(__xludf.DUMMYFUNCTION("""COMPUTED_VALUE"""),"ARG")</f>
        <v>ARG</v>
      </c>
      <c r="G62" s="6">
        <f ca="1">IFERROR(__xludf.DUMMYFUNCTION("""COMPUTED_VALUE"""),51269548)</f>
        <v>51269548</v>
      </c>
      <c r="H62" s="37">
        <f ca="1">IFERROR(__xludf.DUMMYFUNCTION("""COMPUTED_VALUE"""),40733)</f>
        <v>40733</v>
      </c>
      <c r="I62" s="38">
        <f ca="1">IFERROR(__xludf.DUMMYFUNCTION("""COMPUTED_VALUE"""),1158303299)</f>
        <v>1158303299</v>
      </c>
      <c r="J62" s="38" t="str">
        <f ca="1">IFERROR(__xludf.DUMMYFUNCTION("""COMPUTED_VALUE"""),"01134640808")</f>
        <v>01134640808</v>
      </c>
      <c r="K62" s="38" t="str">
        <f ca="1">IFERROR(__xludf.DUMMYFUNCTION("""COMPUTED_VALUE"""),"mpakrause@gmail.com")</f>
        <v>mpakrause@gmail.com</v>
      </c>
      <c r="L62" s="38" t="str">
        <f ca="1">IFERROR(__xludf.DUMMYFUNCTION("""COMPUTED_VALUE"""),"Femenino")</f>
        <v>Femenino</v>
      </c>
      <c r="M62" s="38" t="str">
        <f ca="1">IFERROR(__xludf.DUMMYFUNCTION("""COMPUTED_VALUE"""),"CUBA")</f>
        <v>CUBA</v>
      </c>
      <c r="N62" s="38" t="str">
        <f ca="1">IFERROR(__xludf.DUMMYFUNCTION("""COMPUTED_VALUE"""),"Femenino, Interior (Optimist)")</f>
        <v>Femenino, Interior (Optimist)</v>
      </c>
      <c r="O62" s="38" t="str">
        <f ca="1">IFERROR(__xludf.DUMMYFUNCTION("""COMPUTED_VALUE"""),"OPTIMIST PRINCIPIANTES")</f>
        <v>OPTIMIST PRINCIPIANTES</v>
      </c>
      <c r="P62" s="38"/>
      <c r="Q62" s="38" t="str">
        <f ca="1">IFERROR(__xludf.DUMMYFUNCTION("""COMPUTED_VALUE"""),"ARG 4132")</f>
        <v>ARG 4132</v>
      </c>
      <c r="R62" s="38"/>
      <c r="S62" s="38"/>
      <c r="T62" s="38"/>
      <c r="U62" s="38"/>
      <c r="V62" s="38"/>
      <c r="W62" s="38"/>
      <c r="X62" s="38"/>
      <c r="Y62" s="38" t="str">
        <f ca="1">IFERROR(__xludf.DUMMYFUNCTION("""COMPUTED_VALUE"""),"Swis Medical Docthos ")</f>
        <v xml:space="preserve">Swis Medical Docthos </v>
      </c>
      <c r="Z62" s="6" t="str">
        <f ca="1">IFERROR(__xludf.DUMMYFUNCTION("""COMPUTED_VALUE"""),"No")</f>
        <v>No</v>
      </c>
      <c r="AA62" s="6" t="str">
        <f ca="1">IFERROR(__xludf.DUMMYFUNCTION("""COMPUTED_VALUE"""),"Acepto")</f>
        <v>Acepto</v>
      </c>
      <c r="AB62" s="6" t="str">
        <f ca="1">IFERROR(__xludf.DUMMYFUNCTION("""COMPUTED_VALUE"""),"Terminado")</f>
        <v>Terminado</v>
      </c>
      <c r="AC62" s="6">
        <f ca="1">IFERROR(__xludf.DUMMYFUNCTION("""COMPUTED_VALUE"""),60000)</f>
        <v>60000</v>
      </c>
      <c r="AD62" s="6">
        <f ca="1">IFERROR(__xludf.DUMMYFUNCTION("""COMPUTED_VALUE"""),205169)</f>
        <v>205169</v>
      </c>
      <c r="AE62" s="6" t="str">
        <f ca="1">IFERROR(__xludf.DUMMYFUNCTION("""COMPUTED_VALUE"""),"TRF 31-08")</f>
        <v>TRF 31-08</v>
      </c>
      <c r="AF62" s="38"/>
      <c r="AG62" s="38"/>
    </row>
    <row r="63" spans="2:33" ht="13.2">
      <c r="B63" s="35">
        <f ca="1">IFERROR(__xludf.DUMMYFUNCTION("""COMPUTED_VALUE"""),45537.7381342245)</f>
        <v>45537.738134224499</v>
      </c>
      <c r="C63" s="36" t="str">
        <f ca="1">IFERROR(__xludf.DUMMYFUNCTION("""COMPUTED_VALUE"""),"Francisco ")</f>
        <v xml:space="preserve">Francisco </v>
      </c>
      <c r="D63" s="36" t="str">
        <f ca="1">IFERROR(__xludf.DUMMYFUNCTION("""COMPUTED_VALUE"""),"Neira")</f>
        <v>Neira</v>
      </c>
      <c r="E63" s="36" t="str">
        <f ca="1">IFERROR(__xludf.DUMMYFUNCTION("""COMPUTED_VALUE"""),"Montevideo")</f>
        <v>Montevideo</v>
      </c>
      <c r="F63" s="6" t="str">
        <f ca="1">IFERROR(__xludf.DUMMYFUNCTION("""COMPUTED_VALUE"""),"URU")</f>
        <v>URU</v>
      </c>
      <c r="G63" s="6">
        <f ca="1">IFERROR(__xludf.DUMMYFUNCTION("""COMPUTED_VALUE"""),59600158)</f>
        <v>59600158</v>
      </c>
      <c r="H63" s="37">
        <f ca="1">IFERROR(__xludf.DUMMYFUNCTION("""COMPUTED_VALUE"""),41033)</f>
        <v>41033</v>
      </c>
      <c r="I63" s="38">
        <f ca="1">IFERROR(__xludf.DUMMYFUNCTION("""COMPUTED_VALUE"""),59899546638)</f>
        <v>59899546638</v>
      </c>
      <c r="J63" s="38">
        <f ca="1">IFERROR(__xludf.DUMMYFUNCTION("""COMPUTED_VALUE"""),59899546638)</f>
        <v>59899546638</v>
      </c>
      <c r="K63" s="38" t="str">
        <f ca="1">IFERROR(__xludf.DUMMYFUNCTION("""COMPUTED_VALUE"""),"carolina.meikle@gmail.com")</f>
        <v>carolina.meikle@gmail.com</v>
      </c>
      <c r="L63" s="38" t="str">
        <f ca="1">IFERROR(__xludf.DUMMYFUNCTION("""COMPUTED_VALUE"""),"Masculino")</f>
        <v>Masculino</v>
      </c>
      <c r="M63" s="38" t="str">
        <f ca="1">IFERROR(__xludf.DUMMYFUNCTION("""COMPUTED_VALUE"""),"NYC")</f>
        <v>NYC</v>
      </c>
      <c r="N63" s="38" t="str">
        <f ca="1">IFERROR(__xludf.DUMMYFUNCTION("""COMPUTED_VALUE"""),"Interior (Optimist)")</f>
        <v>Interior (Optimist)</v>
      </c>
      <c r="O63" s="38" t="str">
        <f ca="1">IFERROR(__xludf.DUMMYFUNCTION("""COMPUTED_VALUE"""),"OPTIMIST PRINCIPIANTES")</f>
        <v>OPTIMIST PRINCIPIANTES</v>
      </c>
      <c r="P63" s="38"/>
      <c r="Q63" s="38">
        <f ca="1">IFERROR(__xludf.DUMMYFUNCTION("""COMPUTED_VALUE"""),433)</f>
        <v>433</v>
      </c>
      <c r="R63" s="38"/>
      <c r="S63" s="38"/>
      <c r="T63" s="38"/>
      <c r="U63" s="38"/>
      <c r="V63" s="38"/>
      <c r="W63" s="38"/>
      <c r="X63" s="38"/>
      <c r="Y63" s="38"/>
      <c r="Z63" s="6" t="str">
        <f ca="1">IFERROR(__xludf.DUMMYFUNCTION("""COMPUTED_VALUE"""),"Si")</f>
        <v>Si</v>
      </c>
      <c r="AA63" s="6" t="str">
        <f ca="1">IFERROR(__xludf.DUMMYFUNCTION("""COMPUTED_VALUE"""),"Acepto")</f>
        <v>Acepto</v>
      </c>
      <c r="AB63" s="6" t="str">
        <f ca="1">IFERROR(__xludf.DUMMYFUNCTION("""COMPUTED_VALUE"""),"Terminado")</f>
        <v>Terminado</v>
      </c>
      <c r="AC63" s="6">
        <f ca="1">IFERROR(__xludf.DUMMYFUNCTION("""COMPUTED_VALUE"""),42500)</f>
        <v>42500</v>
      </c>
      <c r="AD63" s="6">
        <f ca="1">IFERROR(__xludf.DUMMYFUNCTION("""COMPUTED_VALUE"""),205391)</f>
        <v>205391</v>
      </c>
      <c r="AE63" s="6" t="str">
        <f ca="1">IFERROR(__xludf.DUMMYFUNCTION("""COMPUTED_VALUE"""),"TRF 02-09")</f>
        <v>TRF 02-09</v>
      </c>
      <c r="AF63" s="38"/>
      <c r="AG63" s="38"/>
    </row>
    <row r="64" spans="2:33" ht="13.2">
      <c r="B64" s="35">
        <f ca="1">IFERROR(__xludf.DUMMYFUNCTION("""COMPUTED_VALUE"""),45538.4782519444)</f>
        <v>45538.478251944398</v>
      </c>
      <c r="C64" s="36" t="str">
        <f ca="1">IFERROR(__xludf.DUMMYFUNCTION("""COMPUTED_VALUE"""),"Romeo")</f>
        <v>Romeo</v>
      </c>
      <c r="D64" s="36" t="str">
        <f ca="1">IFERROR(__xludf.DUMMYFUNCTION("""COMPUTED_VALUE"""),"Nieva Orellana")</f>
        <v>Nieva Orellana</v>
      </c>
      <c r="E64" s="36" t="str">
        <f ca="1">IFERROR(__xludf.DUMMYFUNCTION("""COMPUTED_VALUE"""),"San Isidro")</f>
        <v>San Isidro</v>
      </c>
      <c r="F64" s="6" t="str">
        <f ca="1">IFERROR(__xludf.DUMMYFUNCTION("""COMPUTED_VALUE"""),"ARG")</f>
        <v>ARG</v>
      </c>
      <c r="G64" s="6">
        <f ca="1">IFERROR(__xludf.DUMMYFUNCTION("""COMPUTED_VALUE"""),53825401)</f>
        <v>53825401</v>
      </c>
      <c r="H64" s="37">
        <f ca="1">IFERROR(__xludf.DUMMYFUNCTION("""COMPUTED_VALUE"""),41687)</f>
        <v>41687</v>
      </c>
      <c r="I64" s="38" t="str">
        <f ca="1">IFERROR(__xludf.DUMMYFUNCTION("""COMPUTED_VALUE"""),"+54 9 11 3394-3846")</f>
        <v>+54 9 11 3394-3846</v>
      </c>
      <c r="J64" s="38"/>
      <c r="K64" s="38" t="str">
        <f ca="1">IFERROR(__xludf.DUMMYFUNCTION("""COMPUTED_VALUE"""),"ignacio.varisco@gmail.com")</f>
        <v>ignacio.varisco@gmail.com</v>
      </c>
      <c r="L64" s="38" t="str">
        <f ca="1">IFERROR(__xludf.DUMMYFUNCTION("""COMPUTED_VALUE"""),"Masculino")</f>
        <v>Masculino</v>
      </c>
      <c r="M64" s="38" t="str">
        <f ca="1">IFERROR(__xludf.DUMMYFUNCTION("""COMPUTED_VALUE"""),"CPNLB- CBRIO")</f>
        <v>CPNLB- CBRIO</v>
      </c>
      <c r="N64" s="38"/>
      <c r="O64" s="38" t="str">
        <f ca="1">IFERROR(__xludf.DUMMYFUNCTION("""COMPUTED_VALUE"""),"OPTIMIST PRINCIPIANTES")</f>
        <v>OPTIMIST PRINCIPIANTES</v>
      </c>
      <c r="P64" s="38"/>
      <c r="Q64" s="38" t="str">
        <f ca="1">IFERROR(__xludf.DUMMYFUNCTION("""COMPUTED_VALUE"""),"USA 23061")</f>
        <v>USA 23061</v>
      </c>
      <c r="R64" s="38" t="str">
        <f ca="1">IFERROR(__xludf.DUMMYFUNCTION("""COMPUTED_VALUE"""),"Freddie")</f>
        <v>Freddie</v>
      </c>
      <c r="S64" s="38"/>
      <c r="T64" s="38"/>
      <c r="U64" s="38"/>
      <c r="V64" s="38"/>
      <c r="W64" s="38"/>
      <c r="X64" s="38"/>
      <c r="Y64" s="38"/>
      <c r="Z64" s="6" t="str">
        <f ca="1">IFERROR(__xludf.DUMMYFUNCTION("""COMPUTED_VALUE"""),"Si")</f>
        <v>Si</v>
      </c>
      <c r="AA64" s="6" t="str">
        <f ca="1">IFERROR(__xludf.DUMMYFUNCTION("""COMPUTED_VALUE"""),"Acepto")</f>
        <v>Acepto</v>
      </c>
      <c r="AB64" s="6" t="str">
        <f ca="1">IFERROR(__xludf.DUMMYFUNCTION("""COMPUTED_VALUE"""),"Pendiente")</f>
        <v>Pendiente</v>
      </c>
      <c r="AC64" s="6"/>
      <c r="AD64" s="6"/>
      <c r="AE64" s="6"/>
      <c r="AF64" s="38"/>
      <c r="AG64" s="38"/>
    </row>
    <row r="65" spans="2:33" ht="13.2">
      <c r="B65" s="35">
        <f ca="1">IFERROR(__xludf.DUMMYFUNCTION("""COMPUTED_VALUE"""),45535.877351331)</f>
        <v>45535.877351331001</v>
      </c>
      <c r="C65" s="36" t="str">
        <f ca="1">IFERROR(__xludf.DUMMYFUNCTION("""COMPUTED_VALUE"""),"Ignacio")</f>
        <v>Ignacio</v>
      </c>
      <c r="D65" s="36" t="str">
        <f ca="1">IFERROR(__xludf.DUMMYFUNCTION("""COMPUTED_VALUE"""),"Ojeda Lois")</f>
        <v>Ojeda Lois</v>
      </c>
      <c r="E65" s="36" t="str">
        <f ca="1">IFERROR(__xludf.DUMMYFUNCTION("""COMPUTED_VALUE"""),"Ciudad Autonoma de Buenos Aires")</f>
        <v>Ciudad Autonoma de Buenos Aires</v>
      </c>
      <c r="F65" s="6" t="str">
        <f ca="1">IFERROR(__xludf.DUMMYFUNCTION("""COMPUTED_VALUE"""),"ARG")</f>
        <v>ARG</v>
      </c>
      <c r="G65" s="6">
        <f ca="1">IFERROR(__xludf.DUMMYFUNCTION("""COMPUTED_VALUE"""),52697921)</f>
        <v>52697921</v>
      </c>
      <c r="H65" s="37">
        <f ca="1">IFERROR(__xludf.DUMMYFUNCTION("""COMPUTED_VALUE"""),41152)</f>
        <v>41152</v>
      </c>
      <c r="I65" s="38">
        <f ca="1">IFERROR(__xludf.DUMMYFUNCTION("""COMPUTED_VALUE"""),1156244452)</f>
        <v>1156244452</v>
      </c>
      <c r="J65" s="38">
        <f ca="1">IFERROR(__xludf.DUMMYFUNCTION("""COMPUTED_VALUE"""),1156244452)</f>
        <v>1156244452</v>
      </c>
      <c r="K65" s="38" t="str">
        <f ca="1">IFERROR(__xludf.DUMMYFUNCTION("""COMPUTED_VALUE"""),"ojeda.diego@gmail.com")</f>
        <v>ojeda.diego@gmail.com</v>
      </c>
      <c r="L65" s="38" t="str">
        <f ca="1">IFERROR(__xludf.DUMMYFUNCTION("""COMPUTED_VALUE"""),"Masculino")</f>
        <v>Masculino</v>
      </c>
      <c r="M65" s="38" t="str">
        <f ca="1">IFERROR(__xludf.DUMMYFUNCTION("""COMPUTED_VALUE"""),"YCCN")</f>
        <v>YCCN</v>
      </c>
      <c r="N65" s="38" t="str">
        <f ca="1">IFERROR(__xludf.DUMMYFUNCTION("""COMPUTED_VALUE"""),"Interior (Optimist)")</f>
        <v>Interior (Optimist)</v>
      </c>
      <c r="O65" s="38" t="str">
        <f ca="1">IFERROR(__xludf.DUMMYFUNCTION("""COMPUTED_VALUE"""),"OPTIMIST PRINCIPIANTES")</f>
        <v>OPTIMIST PRINCIPIANTES</v>
      </c>
      <c r="P65" s="38"/>
      <c r="Q65" s="38">
        <f ca="1">IFERROR(__xludf.DUMMYFUNCTION("""COMPUTED_VALUE"""),4076)</f>
        <v>4076</v>
      </c>
      <c r="R65" s="38" t="str">
        <f ca="1">IFERROR(__xludf.DUMMYFUNCTION("""COMPUTED_VALUE"""),"Camorrerito")</f>
        <v>Camorrerito</v>
      </c>
      <c r="S65" s="38"/>
      <c r="T65" s="38"/>
      <c r="U65" s="38"/>
      <c r="V65" s="38"/>
      <c r="W65" s="38"/>
      <c r="X65" s="38"/>
      <c r="Y65" s="38" t="str">
        <f ca="1">IFERROR(__xludf.DUMMYFUNCTION("""COMPUTED_VALUE"""),"OSDE410 60907365503")</f>
        <v>OSDE410 60907365503</v>
      </c>
      <c r="Z65" s="6" t="str">
        <f ca="1">IFERROR(__xludf.DUMMYFUNCTION("""COMPUTED_VALUE"""),"No")</f>
        <v>No</v>
      </c>
      <c r="AA65" s="6" t="str">
        <f ca="1">IFERROR(__xludf.DUMMYFUNCTION("""COMPUTED_VALUE"""),"Acepto")</f>
        <v>Acepto</v>
      </c>
      <c r="AB65" s="6" t="str">
        <f ca="1">IFERROR(__xludf.DUMMYFUNCTION("""COMPUTED_VALUE"""),"Terminado")</f>
        <v>Terminado</v>
      </c>
      <c r="AC65" s="6">
        <f ca="1">IFERROR(__xludf.DUMMYFUNCTION("""COMPUTED_VALUE"""),60000)</f>
        <v>60000</v>
      </c>
      <c r="AD65" s="6">
        <f ca="1">IFERROR(__xludf.DUMMYFUNCTION("""COMPUTED_VALUE"""),205343)</f>
        <v>205343</v>
      </c>
      <c r="AE65" s="6" t="str">
        <f ca="1">IFERROR(__xludf.DUMMYFUNCTION("""COMPUTED_VALUE"""),"TRF 31-08")</f>
        <v>TRF 31-08</v>
      </c>
      <c r="AF65" s="38"/>
      <c r="AG65" s="38"/>
    </row>
    <row r="66" spans="2:33" ht="13.2">
      <c r="B66" s="35">
        <f ca="1">IFERROR(__xludf.DUMMYFUNCTION("""COMPUTED_VALUE"""),45534.8990794444)</f>
        <v>45534.899079444403</v>
      </c>
      <c r="C66" s="36" t="str">
        <f ca="1">IFERROR(__xludf.DUMMYFUNCTION("""COMPUTED_VALUE"""),"Ramiro")</f>
        <v>Ramiro</v>
      </c>
      <c r="D66" s="36" t="str">
        <f ca="1">IFERROR(__xludf.DUMMYFUNCTION("""COMPUTED_VALUE"""),"Padilla")</f>
        <v>Padilla</v>
      </c>
      <c r="E66" s="36" t="str">
        <f ca="1">IFERROR(__xludf.DUMMYFUNCTION("""COMPUTED_VALUE"""),"San Isidro")</f>
        <v>San Isidro</v>
      </c>
      <c r="F66" s="6" t="str">
        <f ca="1">IFERROR(__xludf.DUMMYFUNCTION("""COMPUTED_VALUE"""),"ARG")</f>
        <v>ARG</v>
      </c>
      <c r="G66" s="6">
        <f ca="1">IFERROR(__xludf.DUMMYFUNCTION("""COMPUTED_VALUE"""),53593300)</f>
        <v>53593300</v>
      </c>
      <c r="H66" s="37">
        <f ca="1">IFERROR(__xludf.DUMMYFUNCTION("""COMPUTED_VALUE"""),41612)</f>
        <v>41612</v>
      </c>
      <c r="I66" s="38">
        <f ca="1">IFERROR(__xludf.DUMMYFUNCTION("""COMPUTED_VALUE"""),1162446486)</f>
        <v>1162446486</v>
      </c>
      <c r="J66" s="38">
        <f ca="1">IFERROR(__xludf.DUMMYFUNCTION("""COMPUTED_VALUE"""),1130070219)</f>
        <v>1130070219</v>
      </c>
      <c r="K66" s="38" t="str">
        <f ca="1">IFERROR(__xludf.DUMMYFUNCTION("""COMPUTED_VALUE"""),"javierignaciopadilla@gmail.com")</f>
        <v>javierignaciopadilla@gmail.com</v>
      </c>
      <c r="L66" s="38" t="str">
        <f ca="1">IFERROR(__xludf.DUMMYFUNCTION("""COMPUTED_VALUE"""),"Masculino")</f>
        <v>Masculino</v>
      </c>
      <c r="M66" s="38" t="str">
        <f ca="1">IFERROR(__xludf.DUMMYFUNCTION("""COMPUTED_VALUE"""),"CNSI")</f>
        <v>CNSI</v>
      </c>
      <c r="N66" s="38"/>
      <c r="O66" s="38" t="str">
        <f ca="1">IFERROR(__xludf.DUMMYFUNCTION("""COMPUTED_VALUE"""),"OPTIMIST PRINCIPIANTES")</f>
        <v>OPTIMIST PRINCIPIANTES</v>
      </c>
      <c r="P66" s="38"/>
      <c r="Q66" s="38">
        <f ca="1">IFERROR(__xludf.DUMMYFUNCTION("""COMPUTED_VALUE"""),3579)</f>
        <v>3579</v>
      </c>
      <c r="R66" s="38" t="str">
        <f ca="1">IFERROR(__xludf.DUMMYFUNCTION("""COMPUTED_VALUE"""),"AQUA")</f>
        <v>AQUA</v>
      </c>
      <c r="S66" s="38"/>
      <c r="T66" s="38"/>
      <c r="U66" s="38"/>
      <c r="V66" s="38"/>
      <c r="W66" s="38"/>
      <c r="X66" s="38"/>
      <c r="Y66" s="38">
        <f ca="1">IFERROR(__xludf.DUMMYFUNCTION("""COMPUTED_VALUE"""),61728138504)</f>
        <v>61728138504</v>
      </c>
      <c r="Z66" s="6" t="str">
        <f ca="1">IFERROR(__xludf.DUMMYFUNCTION("""COMPUTED_VALUE"""),"No")</f>
        <v>No</v>
      </c>
      <c r="AA66" s="6" t="str">
        <f ca="1">IFERROR(__xludf.DUMMYFUNCTION("""COMPUTED_VALUE"""),"Acepto")</f>
        <v>Acepto</v>
      </c>
      <c r="AB66" s="6" t="str">
        <f ca="1">IFERROR(__xludf.DUMMYFUNCTION("""COMPUTED_VALUE"""),"Terminado")</f>
        <v>Terminado</v>
      </c>
      <c r="AC66" s="6">
        <f ca="1">IFERROR(__xludf.DUMMYFUNCTION("""COMPUTED_VALUE"""),50000)</f>
        <v>50000</v>
      </c>
      <c r="AD66" s="6">
        <f ca="1">IFERROR(__xludf.DUMMYFUNCTION("""COMPUTED_VALUE"""),205135)</f>
        <v>205135</v>
      </c>
      <c r="AE66" s="6" t="str">
        <f ca="1">IFERROR(__xludf.DUMMYFUNCTION("""COMPUTED_VALUE"""),"TRF 30-08")</f>
        <v>TRF 30-08</v>
      </c>
      <c r="AF66" s="38"/>
      <c r="AG66" s="38"/>
    </row>
    <row r="67" spans="2:33" ht="13.2">
      <c r="B67" s="35">
        <f ca="1">IFERROR(__xludf.DUMMYFUNCTION("""COMPUTED_VALUE"""),45537.4014728356)</f>
        <v>45537.401472835598</v>
      </c>
      <c r="C67" s="36" t="str">
        <f ca="1">IFERROR(__xludf.DUMMYFUNCTION("""COMPUTED_VALUE"""),"Tintin")</f>
        <v>Tintin</v>
      </c>
      <c r="D67" s="36" t="str">
        <f ca="1">IFERROR(__xludf.DUMMYFUNCTION("""COMPUTED_VALUE"""),"Panasci")</f>
        <v>Panasci</v>
      </c>
      <c r="E67" s="36" t="str">
        <f ca="1">IFERROR(__xludf.DUMMYFUNCTION("""COMPUTED_VALUE"""),"caba")</f>
        <v>caba</v>
      </c>
      <c r="F67" s="6" t="str">
        <f ca="1">IFERROR(__xludf.DUMMYFUNCTION("""COMPUTED_VALUE"""),"ARG")</f>
        <v>ARG</v>
      </c>
      <c r="G67" s="6">
        <f ca="1">IFERROR(__xludf.DUMMYFUNCTION("""COMPUTED_VALUE"""),54627320)</f>
        <v>54627320</v>
      </c>
      <c r="H67" s="37">
        <f ca="1">IFERROR(__xludf.DUMMYFUNCTION("""COMPUTED_VALUE"""),42249)</f>
        <v>42249</v>
      </c>
      <c r="I67" s="38">
        <f ca="1">IFERROR(__xludf.DUMMYFUNCTION("""COMPUTED_VALUE"""),1162296144)</f>
        <v>1162296144</v>
      </c>
      <c r="J67" s="38">
        <f ca="1">IFERROR(__xludf.DUMMYFUNCTION("""COMPUTED_VALUE"""),1162292995)</f>
        <v>1162292995</v>
      </c>
      <c r="K67" s="38" t="str">
        <f ca="1">IFERROR(__xludf.DUMMYFUNCTION("""COMPUTED_VALUE"""),"cristinadubra@gmail.com")</f>
        <v>cristinadubra@gmail.com</v>
      </c>
      <c r="L67" s="38" t="str">
        <f ca="1">IFERROR(__xludf.DUMMYFUNCTION("""COMPUTED_VALUE"""),"Masculino")</f>
        <v>Masculino</v>
      </c>
      <c r="M67" s="38" t="str">
        <f ca="1">IFERROR(__xludf.DUMMYFUNCTION("""COMPUTED_VALUE"""),"CUBA")</f>
        <v>CUBA</v>
      </c>
      <c r="N67" s="38"/>
      <c r="O67" s="38" t="str">
        <f ca="1">IFERROR(__xludf.DUMMYFUNCTION("""COMPUTED_VALUE"""),"OPTIMIST PRINCIPIANTES")</f>
        <v>OPTIMIST PRINCIPIANTES</v>
      </c>
      <c r="P67" s="38"/>
      <c r="Q67" s="38">
        <f ca="1">IFERROR(__xludf.DUMMYFUNCTION("""COMPUTED_VALUE"""),3603)</f>
        <v>3603</v>
      </c>
      <c r="R67" s="38"/>
      <c r="S67" s="38"/>
      <c r="T67" s="38"/>
      <c r="U67" s="38"/>
      <c r="V67" s="38"/>
      <c r="W67" s="38"/>
      <c r="X67" s="38"/>
      <c r="Y67" s="38" t="str">
        <f ca="1">IFERROR(__xludf.DUMMYFUNCTION("""COMPUTED_VALUE"""),"0447732 05 1034")</f>
        <v>0447732 05 1034</v>
      </c>
      <c r="Z67" s="6" t="str">
        <f ca="1">IFERROR(__xludf.DUMMYFUNCTION("""COMPUTED_VALUE"""),"No")</f>
        <v>No</v>
      </c>
      <c r="AA67" s="6" t="str">
        <f ca="1">IFERROR(__xludf.DUMMYFUNCTION("""COMPUTED_VALUE"""),"Acepto")</f>
        <v>Acepto</v>
      </c>
      <c r="AB67" s="6" t="str">
        <f ca="1">IFERROR(__xludf.DUMMYFUNCTION("""COMPUTED_VALUE"""),"Terminado")</f>
        <v>Terminado</v>
      </c>
      <c r="AC67" s="6">
        <f ca="1">IFERROR(__xludf.DUMMYFUNCTION("""COMPUTED_VALUE"""),50000)</f>
        <v>50000</v>
      </c>
      <c r="AD67" s="6">
        <f ca="1">IFERROR(__xludf.DUMMYFUNCTION("""COMPUTED_VALUE"""),205532)</f>
        <v>205532</v>
      </c>
      <c r="AE67" s="6" t="str">
        <f ca="1">IFERROR(__xludf.DUMMYFUNCTION("""COMPUTED_VALUE"""),"TRF 06-09")</f>
        <v>TRF 06-09</v>
      </c>
      <c r="AF67" s="38"/>
      <c r="AG67" s="38"/>
    </row>
    <row r="68" spans="2:33" ht="13.2">
      <c r="B68" s="35">
        <f ca="1">IFERROR(__xludf.DUMMYFUNCTION("""COMPUTED_VALUE"""),45535.4659524074)</f>
        <v>45535.465952407401</v>
      </c>
      <c r="C68" s="36" t="str">
        <f ca="1">IFERROR(__xludf.DUMMYFUNCTION("""COMPUTED_VALUE"""),"Tomas")</f>
        <v>Tomas</v>
      </c>
      <c r="D68" s="36" t="str">
        <f ca="1">IFERROR(__xludf.DUMMYFUNCTION("""COMPUTED_VALUE"""),"Paoli")</f>
        <v>Paoli</v>
      </c>
      <c r="E68" s="36" t="str">
        <f ca="1">IFERROR(__xludf.DUMMYFUNCTION("""COMPUTED_VALUE"""),"San isidro")</f>
        <v>San isidro</v>
      </c>
      <c r="F68" s="6" t="str">
        <f ca="1">IFERROR(__xludf.DUMMYFUNCTION("""COMPUTED_VALUE"""),"ARG")</f>
        <v>ARG</v>
      </c>
      <c r="G68" s="6">
        <f ca="1">IFERROR(__xludf.DUMMYFUNCTION("""COMPUTED_VALUE"""),52168000)</f>
        <v>52168000</v>
      </c>
      <c r="H68" s="37">
        <f ca="1">IFERROR(__xludf.DUMMYFUNCTION("""COMPUTED_VALUE"""),40986)</f>
        <v>40986</v>
      </c>
      <c r="I68" s="38">
        <f ca="1">IFERROR(__xludf.DUMMYFUNCTION("""COMPUTED_VALUE"""),1155770173)</f>
        <v>1155770173</v>
      </c>
      <c r="J68" s="38" t="str">
        <f ca="1">IFERROR(__xludf.DUMMYFUNCTION("""COMPUTED_VALUE"""),"11-5577-0173 ")</f>
        <v xml:space="preserve">11-5577-0173 </v>
      </c>
      <c r="K68" s="38" t="str">
        <f ca="1">IFERROR(__xludf.DUMMYFUNCTION("""COMPUTED_VALUE"""),"paolilucas@gmail.com")</f>
        <v>paolilucas@gmail.com</v>
      </c>
      <c r="L68" s="38" t="str">
        <f ca="1">IFERROR(__xludf.DUMMYFUNCTION("""COMPUTED_VALUE"""),"Masculino")</f>
        <v>Masculino</v>
      </c>
      <c r="M68" s="38" t="str">
        <f ca="1">IFERROR(__xludf.DUMMYFUNCTION("""COMPUTED_VALUE"""),"CNSI")</f>
        <v>CNSI</v>
      </c>
      <c r="N68" s="38" t="str">
        <f ca="1">IFERROR(__xludf.DUMMYFUNCTION("""COMPUTED_VALUE"""),"Interior (Optimist)")</f>
        <v>Interior (Optimist)</v>
      </c>
      <c r="O68" s="38" t="str">
        <f ca="1">IFERROR(__xludf.DUMMYFUNCTION("""COMPUTED_VALUE"""),"OPTIMIST PRINCIPIANTES")</f>
        <v>OPTIMIST PRINCIPIANTES</v>
      </c>
      <c r="P68" s="38"/>
      <c r="Q68" s="38" t="str">
        <f ca="1">IFERROR(__xludf.DUMMYFUNCTION("""COMPUTED_VALUE"""),"036")</f>
        <v>036</v>
      </c>
      <c r="R68" s="38"/>
      <c r="S68" s="38"/>
      <c r="T68" s="38"/>
      <c r="U68" s="38"/>
      <c r="V68" s="38"/>
      <c r="W68" s="38"/>
      <c r="X68" s="38"/>
      <c r="Y68" s="38"/>
      <c r="Z68" s="6" t="str">
        <f ca="1">IFERROR(__xludf.DUMMYFUNCTION("""COMPUTED_VALUE"""),"No")</f>
        <v>No</v>
      </c>
      <c r="AA68" s="6" t="str">
        <f ca="1">IFERROR(__xludf.DUMMYFUNCTION("""COMPUTED_VALUE"""),"Acepto")</f>
        <v>Acepto</v>
      </c>
      <c r="AB68" s="6" t="str">
        <f ca="1">IFERROR(__xludf.DUMMYFUNCTION("""COMPUTED_VALUE"""),"Terminado")</f>
        <v>Terminado</v>
      </c>
      <c r="AC68" s="6">
        <f ca="1">IFERROR(__xludf.DUMMYFUNCTION("""COMPUTED_VALUE"""),50000)</f>
        <v>50000</v>
      </c>
      <c r="AD68" s="6">
        <f ca="1">IFERROR(__xludf.DUMMYFUNCTION("""COMPUTED_VALUE"""),205117)</f>
        <v>205117</v>
      </c>
      <c r="AE68" s="6" t="str">
        <f ca="1">IFERROR(__xludf.DUMMYFUNCTION("""COMPUTED_VALUE"""),"Tarj 31-08")</f>
        <v>Tarj 31-08</v>
      </c>
      <c r="AF68" s="38"/>
      <c r="AG68" s="38"/>
    </row>
    <row r="69" spans="2:33" ht="13.2">
      <c r="B69" s="35">
        <f ca="1">IFERROR(__xludf.DUMMYFUNCTION("""COMPUTED_VALUE"""),45535.4684024652)</f>
        <v>45535.468402465202</v>
      </c>
      <c r="C69" s="36" t="str">
        <f ca="1">IFERROR(__xludf.DUMMYFUNCTION("""COMPUTED_VALUE"""),"Santiago")</f>
        <v>Santiago</v>
      </c>
      <c r="D69" s="36" t="str">
        <f ca="1">IFERROR(__xludf.DUMMYFUNCTION("""COMPUTED_VALUE"""),"Paoli")</f>
        <v>Paoli</v>
      </c>
      <c r="E69" s="36" t="str">
        <f ca="1">IFERROR(__xludf.DUMMYFUNCTION("""COMPUTED_VALUE"""),"San isidro")</f>
        <v>San isidro</v>
      </c>
      <c r="F69" s="6" t="str">
        <f ca="1">IFERROR(__xludf.DUMMYFUNCTION("""COMPUTED_VALUE"""),"ARG")</f>
        <v>ARG</v>
      </c>
      <c r="G69" s="6">
        <f ca="1">IFERROR(__xludf.DUMMYFUNCTION("""COMPUTED_VALUE"""),53972454)</f>
        <v>53972454</v>
      </c>
      <c r="H69" s="37">
        <f ca="1">IFERROR(__xludf.DUMMYFUNCTION("""COMPUTED_VALUE"""),41839)</f>
        <v>41839</v>
      </c>
      <c r="I69" s="38">
        <f ca="1">IFERROR(__xludf.DUMMYFUNCTION("""COMPUTED_VALUE"""),1155770173)</f>
        <v>1155770173</v>
      </c>
      <c r="J69" s="38">
        <f ca="1">IFERROR(__xludf.DUMMYFUNCTION("""COMPUTED_VALUE"""),1155770173)</f>
        <v>1155770173</v>
      </c>
      <c r="K69" s="38" t="str">
        <f ca="1">IFERROR(__xludf.DUMMYFUNCTION("""COMPUTED_VALUE"""),"paolilucas@gmail.com")</f>
        <v>paolilucas@gmail.com</v>
      </c>
      <c r="L69" s="38" t="str">
        <f ca="1">IFERROR(__xludf.DUMMYFUNCTION("""COMPUTED_VALUE"""),"Masculino")</f>
        <v>Masculino</v>
      </c>
      <c r="M69" s="38" t="str">
        <f ca="1">IFERROR(__xludf.DUMMYFUNCTION("""COMPUTED_VALUE"""),"CNSI")</f>
        <v>CNSI</v>
      </c>
      <c r="N69" s="38" t="str">
        <f ca="1">IFERROR(__xludf.DUMMYFUNCTION("""COMPUTED_VALUE"""),"Interior (Optimist)")</f>
        <v>Interior (Optimist)</v>
      </c>
      <c r="O69" s="38" t="str">
        <f ca="1">IFERROR(__xludf.DUMMYFUNCTION("""COMPUTED_VALUE"""),"OPTIMIST PRINCIPIANTES")</f>
        <v>OPTIMIST PRINCIPIANTES</v>
      </c>
      <c r="P69" s="38"/>
      <c r="Q69" s="38">
        <f ca="1">IFERROR(__xludf.DUMMYFUNCTION("""COMPUTED_VALUE"""),3620)</f>
        <v>3620</v>
      </c>
      <c r="R69" s="38"/>
      <c r="S69" s="38"/>
      <c r="T69" s="38"/>
      <c r="U69" s="38"/>
      <c r="V69" s="38"/>
      <c r="W69" s="38"/>
      <c r="X69" s="38"/>
      <c r="Y69" s="38"/>
      <c r="Z69" s="6" t="str">
        <f ca="1">IFERROR(__xludf.DUMMYFUNCTION("""COMPUTED_VALUE"""),"No")</f>
        <v>No</v>
      </c>
      <c r="AA69" s="6" t="str">
        <f ca="1">IFERROR(__xludf.DUMMYFUNCTION("""COMPUTED_VALUE"""),"Acepto")</f>
        <v>Acepto</v>
      </c>
      <c r="AB69" s="6" t="str">
        <f ca="1">IFERROR(__xludf.DUMMYFUNCTION("""COMPUTED_VALUE"""),"Terminado")</f>
        <v>Terminado</v>
      </c>
      <c r="AC69" s="6">
        <f ca="1">IFERROR(__xludf.DUMMYFUNCTION("""COMPUTED_VALUE"""),50000)</f>
        <v>50000</v>
      </c>
      <c r="AD69" s="6">
        <f ca="1">IFERROR(__xludf.DUMMYFUNCTION("""COMPUTED_VALUE"""),205117)</f>
        <v>205117</v>
      </c>
      <c r="AE69" s="6" t="str">
        <f ca="1">IFERROR(__xludf.DUMMYFUNCTION("""COMPUTED_VALUE"""),"Tarj 31-08")</f>
        <v>Tarj 31-08</v>
      </c>
      <c r="AF69" s="38"/>
      <c r="AG69" s="38"/>
    </row>
    <row r="70" spans="2:33" ht="13.2">
      <c r="B70" s="35">
        <f ca="1">IFERROR(__xludf.DUMMYFUNCTION("""COMPUTED_VALUE"""),45534.7078764351)</f>
        <v>45534.707876435103</v>
      </c>
      <c r="C70" s="36" t="str">
        <f ca="1">IFERROR(__xludf.DUMMYFUNCTION("""COMPUTED_VALUE"""),"Antonella")</f>
        <v>Antonella</v>
      </c>
      <c r="D70" s="36" t="str">
        <f ca="1">IFERROR(__xludf.DUMMYFUNCTION("""COMPUTED_VALUE"""),"Pastori")</f>
        <v>Pastori</v>
      </c>
      <c r="E70" s="36" t="str">
        <f ca="1">IFERROR(__xludf.DUMMYFUNCTION("""COMPUTED_VALUE"""),"La Plata")</f>
        <v>La Plata</v>
      </c>
      <c r="F70" s="6" t="str">
        <f ca="1">IFERROR(__xludf.DUMMYFUNCTION("""COMPUTED_VALUE"""),"ARG")</f>
        <v>ARG</v>
      </c>
      <c r="G70" s="6">
        <f ca="1">IFERROR(__xludf.DUMMYFUNCTION("""COMPUTED_VALUE"""),51261460)</f>
        <v>51261460</v>
      </c>
      <c r="H70" s="37">
        <f ca="1">IFERROR(__xludf.DUMMYFUNCTION("""COMPUTED_VALUE"""),40791)</f>
        <v>40791</v>
      </c>
      <c r="I70" s="38">
        <f ca="1">IFERROR(__xludf.DUMMYFUNCTION("""COMPUTED_VALUE"""),2216145790)</f>
        <v>2216145790</v>
      </c>
      <c r="J70" s="38">
        <f ca="1">IFERROR(__xludf.DUMMYFUNCTION("""COMPUTED_VALUE"""),2216145790)</f>
        <v>2216145790</v>
      </c>
      <c r="K70" s="38" t="str">
        <f ca="1">IFERROR(__xludf.DUMMYFUNCTION("""COMPUTED_VALUE"""),"mpaulavelazco@gmail.com")</f>
        <v>mpaulavelazco@gmail.com</v>
      </c>
      <c r="L70" s="38" t="str">
        <f ca="1">IFERROR(__xludf.DUMMYFUNCTION("""COMPUTED_VALUE"""),"Femenino")</f>
        <v>Femenino</v>
      </c>
      <c r="M70" s="38" t="str">
        <f ca="1">IFERROR(__xludf.DUMMYFUNCTION("""COMPUTED_VALUE"""),"CRLP")</f>
        <v>CRLP</v>
      </c>
      <c r="N70" s="38" t="str">
        <f ca="1">IFERROR(__xludf.DUMMYFUNCTION("""COMPUTED_VALUE"""),"Femenino, Principiantes Optimist ")</f>
        <v xml:space="preserve">Femenino, Principiantes Optimist </v>
      </c>
      <c r="O70" s="38" t="str">
        <f ca="1">IFERROR(__xludf.DUMMYFUNCTION("""COMPUTED_VALUE"""),"OPTIMIST PRINCIPIANTES")</f>
        <v>OPTIMIST PRINCIPIANTES</v>
      </c>
      <c r="P70" s="38"/>
      <c r="Q70" s="38">
        <f ca="1">IFERROR(__xludf.DUMMYFUNCTION("""COMPUTED_VALUE"""),3286)</f>
        <v>3286</v>
      </c>
      <c r="R70" s="38"/>
      <c r="S70" s="38"/>
      <c r="T70" s="38"/>
      <c r="U70" s="38"/>
      <c r="V70" s="38"/>
      <c r="W70" s="38"/>
      <c r="X70" s="38"/>
      <c r="Y70" s="38" t="str">
        <f ca="1">IFERROR(__xludf.DUMMYFUNCTION("""COMPUTED_VALUE"""),"IOMA K255203229/02")</f>
        <v>IOMA K255203229/02</v>
      </c>
      <c r="Z70" s="6" t="str">
        <f ca="1">IFERROR(__xludf.DUMMYFUNCTION("""COMPUTED_VALUE"""),"Si")</f>
        <v>Si</v>
      </c>
      <c r="AA70" s="6" t="str">
        <f ca="1">IFERROR(__xludf.DUMMYFUNCTION("""COMPUTED_VALUE"""),"Acepto")</f>
        <v>Acepto</v>
      </c>
      <c r="AB70" s="6" t="str">
        <f ca="1">IFERROR(__xludf.DUMMYFUNCTION("""COMPUTED_VALUE"""),"Terminado")</f>
        <v>Terminado</v>
      </c>
      <c r="AC70" s="6">
        <f ca="1">IFERROR(__xludf.DUMMYFUNCTION("""COMPUTED_VALUE"""),50000)</f>
        <v>50000</v>
      </c>
      <c r="AD70" s="6">
        <f ca="1">IFERROR(__xludf.DUMMYFUNCTION("""COMPUTED_VALUE"""),205122)</f>
        <v>205122</v>
      </c>
      <c r="AE70" s="6" t="str">
        <f ca="1">IFERROR(__xludf.DUMMYFUNCTION("""COMPUTED_VALUE"""),"TRF 30-08")</f>
        <v>TRF 30-08</v>
      </c>
      <c r="AF70" s="38"/>
      <c r="AG70" s="38"/>
    </row>
    <row r="71" spans="2:33" ht="13.2">
      <c r="B71" s="35">
        <f ca="1">IFERROR(__xludf.DUMMYFUNCTION("""COMPUTED_VALUE"""),45536.4677509375)</f>
        <v>45536.467750937503</v>
      </c>
      <c r="C71" s="36" t="str">
        <f ca="1">IFERROR(__xludf.DUMMYFUNCTION("""COMPUTED_VALUE"""),"Matilde")</f>
        <v>Matilde</v>
      </c>
      <c r="D71" s="36" t="str">
        <f ca="1">IFERROR(__xludf.DUMMYFUNCTION("""COMPUTED_VALUE"""),"Pini Bellaubi ")</f>
        <v xml:space="preserve">Pini Bellaubi </v>
      </c>
      <c r="E71" s="36" t="str">
        <f ca="1">IFERROR(__xludf.DUMMYFUNCTION("""COMPUTED_VALUE"""),"La plata ")</f>
        <v xml:space="preserve">La plata </v>
      </c>
      <c r="F71" s="6" t="str">
        <f ca="1">IFERROR(__xludf.DUMMYFUNCTION("""COMPUTED_VALUE"""),"ARG")</f>
        <v>ARG</v>
      </c>
      <c r="G71" s="6">
        <f ca="1">IFERROR(__xludf.DUMMYFUNCTION("""COMPUTED_VALUE"""),52618403)</f>
        <v>52618403</v>
      </c>
      <c r="H71" s="37">
        <f ca="1">IFERROR(__xludf.DUMMYFUNCTION("""COMPUTED_VALUE"""),41136)</f>
        <v>41136</v>
      </c>
      <c r="I71" s="38">
        <f ca="1">IFERROR(__xludf.DUMMYFUNCTION("""COMPUTED_VALUE"""),2215229881)</f>
        <v>2215229881</v>
      </c>
      <c r="J71" s="38">
        <f ca="1">IFERROR(__xludf.DUMMYFUNCTION("""COMPUTED_VALUE"""),2214777851)</f>
        <v>2214777851</v>
      </c>
      <c r="K71" s="38" t="str">
        <f ca="1">IFERROR(__xludf.DUMMYFUNCTION("""COMPUTED_VALUE"""),"mansilla_laura@hotmail.com")</f>
        <v>mansilla_laura@hotmail.com</v>
      </c>
      <c r="L71" s="38" t="str">
        <f ca="1">IFERROR(__xludf.DUMMYFUNCTION("""COMPUTED_VALUE"""),"Femenino")</f>
        <v>Femenino</v>
      </c>
      <c r="M71" s="38" t="str">
        <f ca="1">IFERROR(__xludf.DUMMYFUNCTION("""COMPUTED_VALUE"""),"CRLP")</f>
        <v>CRLP</v>
      </c>
      <c r="N71" s="38" t="str">
        <f ca="1">IFERROR(__xludf.DUMMYFUNCTION("""COMPUTED_VALUE"""),"Interior (Optimist)")</f>
        <v>Interior (Optimist)</v>
      </c>
      <c r="O71" s="38" t="str">
        <f ca="1">IFERROR(__xludf.DUMMYFUNCTION("""COMPUTED_VALUE"""),"OPTIMIST PRINCIPIANTES")</f>
        <v>OPTIMIST PRINCIPIANTES</v>
      </c>
      <c r="P71" s="38"/>
      <c r="Q71" s="38">
        <f ca="1">IFERROR(__xludf.DUMMYFUNCTION("""COMPUTED_VALUE"""),3754)</f>
        <v>3754</v>
      </c>
      <c r="R71" s="38"/>
      <c r="S71" s="38"/>
      <c r="T71" s="38"/>
      <c r="U71" s="38"/>
      <c r="V71" s="38"/>
      <c r="W71" s="38"/>
      <c r="X71" s="38"/>
      <c r="Y71" s="38" t="str">
        <f ca="1">IFERROR(__xludf.DUMMYFUNCTION("""COMPUTED_VALUE"""),"IOMA")</f>
        <v>IOMA</v>
      </c>
      <c r="Z71" s="6" t="str">
        <f ca="1">IFERROR(__xludf.DUMMYFUNCTION("""COMPUTED_VALUE"""),"Si")</f>
        <v>Si</v>
      </c>
      <c r="AA71" s="6" t="str">
        <f ca="1">IFERROR(__xludf.DUMMYFUNCTION("""COMPUTED_VALUE"""),"Acepto")</f>
        <v>Acepto</v>
      </c>
      <c r="AB71" s="6" t="str">
        <f ca="1">IFERROR(__xludf.DUMMYFUNCTION("""COMPUTED_VALUE"""),"Terminado")</f>
        <v>Terminado</v>
      </c>
      <c r="AC71" s="6">
        <f ca="1">IFERROR(__xludf.DUMMYFUNCTION("""COMPUTED_VALUE"""),60000)</f>
        <v>60000</v>
      </c>
      <c r="AD71" s="6">
        <f ca="1">IFERROR(__xludf.DUMMYFUNCTION("""COMPUTED_VALUE"""),205384)</f>
        <v>205384</v>
      </c>
      <c r="AE71" s="6" t="str">
        <f ca="1">IFERROR(__xludf.DUMMYFUNCTION("""COMPUTED_VALUE"""),"TRF 02-09")</f>
        <v>TRF 02-09</v>
      </c>
      <c r="AF71" s="38"/>
      <c r="AG71" s="38"/>
    </row>
    <row r="72" spans="2:33" ht="13.2">
      <c r="B72" s="35">
        <f ca="1">IFERROR(__xludf.DUMMYFUNCTION("""COMPUTED_VALUE"""),45534.456698993)</f>
        <v>45534.456698993003</v>
      </c>
      <c r="C72" s="36" t="str">
        <f ca="1">IFERROR(__xludf.DUMMYFUNCTION("""COMPUTED_VALUE"""),"Nicolas ")</f>
        <v xml:space="preserve">Nicolas </v>
      </c>
      <c r="D72" s="36" t="str">
        <f ca="1">IFERROR(__xludf.DUMMYFUNCTION("""COMPUTED_VALUE"""),"Pinosa Percossi")</f>
        <v>Pinosa Percossi</v>
      </c>
      <c r="E72" s="36" t="str">
        <f ca="1">IFERROR(__xludf.DUMMYFUNCTION("""COMPUTED_VALUE"""),"bs as ")</f>
        <v xml:space="preserve">bs as </v>
      </c>
      <c r="F72" s="6" t="str">
        <f ca="1">IFERROR(__xludf.DUMMYFUNCTION("""COMPUTED_VALUE"""),"ARG")</f>
        <v>ARG</v>
      </c>
      <c r="G72" s="6">
        <f ca="1">IFERROR(__xludf.DUMMYFUNCTION("""COMPUTED_VALUE"""),52768323)</f>
        <v>52768323</v>
      </c>
      <c r="H72" s="37">
        <f ca="1">IFERROR(__xludf.DUMMYFUNCTION("""COMPUTED_VALUE"""),41198)</f>
        <v>41198</v>
      </c>
      <c r="I72" s="38" t="str">
        <f ca="1">IFERROR(__xludf.DUMMYFUNCTION("""COMPUTED_VALUE"""),"54 9 11 5410 7295")</f>
        <v>54 9 11 5410 7295</v>
      </c>
      <c r="J72" s="38" t="str">
        <f ca="1">IFERROR(__xludf.DUMMYFUNCTION("""COMPUTED_VALUE"""),"54 9 11 4417 5793")</f>
        <v>54 9 11 4417 5793</v>
      </c>
      <c r="K72" s="38" t="str">
        <f ca="1">IFERROR(__xludf.DUMMYFUNCTION("""COMPUTED_VALUE"""),"dpinosa@hotmail.com")</f>
        <v>dpinosa@hotmail.com</v>
      </c>
      <c r="L72" s="38" t="str">
        <f ca="1">IFERROR(__xludf.DUMMYFUNCTION("""COMPUTED_VALUE"""),"Masculino")</f>
        <v>Masculino</v>
      </c>
      <c r="M72" s="38" t="str">
        <f ca="1">IFERROR(__xludf.DUMMYFUNCTION("""COMPUTED_VALUE"""),"club nautico olivos ( c.n.o )")</f>
        <v>club nautico olivos ( c.n.o )</v>
      </c>
      <c r="N72" s="38" t="str">
        <f ca="1">IFERROR(__xludf.DUMMYFUNCTION("""COMPUTED_VALUE"""),"Interior (Optimist)")</f>
        <v>Interior (Optimist)</v>
      </c>
      <c r="O72" s="38" t="str">
        <f ca="1">IFERROR(__xludf.DUMMYFUNCTION("""COMPUTED_VALUE"""),"OPTIMIST PRINCIPIANTES")</f>
        <v>OPTIMIST PRINCIPIANTES</v>
      </c>
      <c r="P72" s="38"/>
      <c r="Q72" s="38">
        <f ca="1">IFERROR(__xludf.DUMMYFUNCTION("""COMPUTED_VALUE"""),3287)</f>
        <v>3287</v>
      </c>
      <c r="R72" s="38" t="str">
        <f ca="1">IFERROR(__xludf.DUMMYFUNCTION("""COMPUTED_VALUE"""),"fofoca junior")</f>
        <v>fofoca junior</v>
      </c>
      <c r="S72" s="38" t="str">
        <f ca="1">IFERROR(__xludf.DUMMYFUNCTION("""COMPUTED_VALUE"""),"Nicolas Pinosa Percossi")</f>
        <v>Nicolas Pinosa Percossi</v>
      </c>
      <c r="T72" s="38"/>
      <c r="U72" s="38"/>
      <c r="V72" s="38"/>
      <c r="W72" s="38"/>
      <c r="X72" s="38"/>
      <c r="Y72" s="38" t="str">
        <f ca="1">IFERROR(__xludf.DUMMYFUNCTION("""COMPUTED_VALUE"""),"osde 410")</f>
        <v>osde 410</v>
      </c>
      <c r="Z72" s="6" t="str">
        <f ca="1">IFERROR(__xludf.DUMMYFUNCTION("""COMPUTED_VALUE"""),"No")</f>
        <v>No</v>
      </c>
      <c r="AA72" s="6" t="str">
        <f ca="1">IFERROR(__xludf.DUMMYFUNCTION("""COMPUTED_VALUE"""),"Acepto")</f>
        <v>Acepto</v>
      </c>
      <c r="AB72" s="6" t="str">
        <f ca="1">IFERROR(__xludf.DUMMYFUNCTION("""COMPUTED_VALUE"""),"Terminado")</f>
        <v>Terminado</v>
      </c>
      <c r="AC72" s="6">
        <f ca="1">IFERROR(__xludf.DUMMYFUNCTION("""COMPUTED_VALUE"""),50000)</f>
        <v>50000</v>
      </c>
      <c r="AD72" s="6">
        <f ca="1">IFERROR(__xludf.DUMMYFUNCTION("""COMPUTED_VALUE"""),205389)</f>
        <v>205389</v>
      </c>
      <c r="AE72" s="6" t="str">
        <f ca="1">IFERROR(__xludf.DUMMYFUNCTION("""COMPUTED_VALUE"""),"TRF 30-08")</f>
        <v>TRF 30-08</v>
      </c>
      <c r="AF72" s="38"/>
      <c r="AG72" s="38"/>
    </row>
    <row r="73" spans="2:33" ht="13.2">
      <c r="B73" s="35">
        <f ca="1">IFERROR(__xludf.DUMMYFUNCTION("""COMPUTED_VALUE"""),45533.3957129051)</f>
        <v>45533.395712905098</v>
      </c>
      <c r="C73" s="36" t="str">
        <f ca="1">IFERROR(__xludf.DUMMYFUNCTION("""COMPUTED_VALUE"""),"Felicitas")</f>
        <v>Felicitas</v>
      </c>
      <c r="D73" s="36" t="str">
        <f ca="1">IFERROR(__xludf.DUMMYFUNCTION("""COMPUTED_VALUE"""),"Rooney")</f>
        <v>Rooney</v>
      </c>
      <c r="E73" s="36" t="str">
        <f ca="1">IFERROR(__xludf.DUMMYFUNCTION("""COMPUTED_VALUE"""),"Buenos Aires")</f>
        <v>Buenos Aires</v>
      </c>
      <c r="F73" s="6" t="str">
        <f ca="1">IFERROR(__xludf.DUMMYFUNCTION("""COMPUTED_VALUE"""),"ARG")</f>
        <v>ARG</v>
      </c>
      <c r="G73" s="6">
        <f ca="1">IFERROR(__xludf.DUMMYFUNCTION("""COMPUTED_VALUE"""),52951933)</f>
        <v>52951933</v>
      </c>
      <c r="H73" s="37">
        <f ca="1">IFERROR(__xludf.DUMMYFUNCTION("""COMPUTED_VALUE"""),41274)</f>
        <v>41274</v>
      </c>
      <c r="I73" s="38" t="str">
        <f ca="1">IFERROR(__xludf.DUMMYFUNCTION("""COMPUTED_VALUE"""),"011 5514 4722")</f>
        <v>011 5514 4722</v>
      </c>
      <c r="J73" s="38" t="str">
        <f ca="1">IFERROR(__xludf.DUMMYFUNCTION("""COMPUTED_VALUE"""),"011 5867 2903")</f>
        <v>011 5867 2903</v>
      </c>
      <c r="K73" s="38" t="str">
        <f ca="1">IFERROR(__xludf.DUMMYFUNCTION("""COMPUTED_VALUE"""),"julianrooney@yahoo.com")</f>
        <v>julianrooney@yahoo.com</v>
      </c>
      <c r="L73" s="38" t="str">
        <f ca="1">IFERROR(__xludf.DUMMYFUNCTION("""COMPUTED_VALUE"""),"Femenino")</f>
        <v>Femenino</v>
      </c>
      <c r="M73" s="38" t="str">
        <f ca="1">IFERROR(__xludf.DUMMYFUNCTION("""COMPUTED_VALUE"""),"CNSI")</f>
        <v>CNSI</v>
      </c>
      <c r="N73" s="38" t="str">
        <f ca="1">IFERROR(__xludf.DUMMYFUNCTION("""COMPUTED_VALUE"""),"Femenino")</f>
        <v>Femenino</v>
      </c>
      <c r="O73" s="38" t="str">
        <f ca="1">IFERROR(__xludf.DUMMYFUNCTION("""COMPUTED_VALUE"""),"OPTIMIST PRINCIPIANTES")</f>
        <v>OPTIMIST PRINCIPIANTES</v>
      </c>
      <c r="P73" s="38"/>
      <c r="Q73" s="38" t="str">
        <f ca="1">IFERROR(__xludf.DUMMYFUNCTION("""COMPUTED_VALUE"""),"ARG 3954")</f>
        <v>ARG 3954</v>
      </c>
      <c r="R73" s="38"/>
      <c r="S73" s="38"/>
      <c r="T73" s="38"/>
      <c r="U73" s="38"/>
      <c r="V73" s="38"/>
      <c r="W73" s="38"/>
      <c r="X73" s="38"/>
      <c r="Y73" s="38" t="str">
        <f ca="1">IFERROR(__xludf.DUMMYFUNCTION("""COMPUTED_VALUE"""),"OSDE AZUL")</f>
        <v>OSDE AZUL</v>
      </c>
      <c r="Z73" s="6" t="str">
        <f ca="1">IFERROR(__xludf.DUMMYFUNCTION("""COMPUTED_VALUE"""),"Si")</f>
        <v>Si</v>
      </c>
      <c r="AA73" s="6" t="str">
        <f ca="1">IFERROR(__xludf.DUMMYFUNCTION("""COMPUTED_VALUE"""),"Acepto")</f>
        <v>Acepto</v>
      </c>
      <c r="AB73" s="6" t="str">
        <f ca="1">IFERROR(__xludf.DUMMYFUNCTION("""COMPUTED_VALUE"""),"Terminado")</f>
        <v>Terminado</v>
      </c>
      <c r="AC73" s="6">
        <f ca="1">IFERROR(__xludf.DUMMYFUNCTION("""COMPUTED_VALUE"""),50000)</f>
        <v>50000</v>
      </c>
      <c r="AD73" s="6">
        <f ca="1">IFERROR(__xludf.DUMMYFUNCTION("""COMPUTED_VALUE"""),205072)</f>
        <v>205072</v>
      </c>
      <c r="AE73" s="6" t="str">
        <f ca="1">IFERROR(__xludf.DUMMYFUNCTION("""COMPUTED_VALUE"""),"TRF 29-08")</f>
        <v>TRF 29-08</v>
      </c>
      <c r="AF73" s="38"/>
      <c r="AG73" s="38"/>
    </row>
    <row r="74" spans="2:33" ht="13.2">
      <c r="B74" s="35">
        <f ca="1">IFERROR(__xludf.DUMMYFUNCTION("""COMPUTED_VALUE"""),45534.9621542824)</f>
        <v>45534.962154282402</v>
      </c>
      <c r="C74" s="36" t="str">
        <f ca="1">IFERROR(__xludf.DUMMYFUNCTION("""COMPUTED_VALUE"""),"Catalina ")</f>
        <v xml:space="preserve">Catalina </v>
      </c>
      <c r="D74" s="36" t="str">
        <f ca="1">IFERROR(__xludf.DUMMYFUNCTION("""COMPUTED_VALUE"""),"Ruiz Stepancic")</f>
        <v>Ruiz Stepancic</v>
      </c>
      <c r="E74" s="36" t="str">
        <f ca="1">IFERROR(__xludf.DUMMYFUNCTION("""COMPUTED_VALUE"""),"Hurlingham ")</f>
        <v xml:space="preserve">Hurlingham </v>
      </c>
      <c r="F74" s="6" t="str">
        <f ca="1">IFERROR(__xludf.DUMMYFUNCTION("""COMPUTED_VALUE"""),"ARG")</f>
        <v>ARG</v>
      </c>
      <c r="G74" s="6">
        <f ca="1">IFERROR(__xludf.DUMMYFUNCTION("""COMPUTED_VALUE"""),52954005)</f>
        <v>52954005</v>
      </c>
      <c r="H74" s="37">
        <f ca="1">IFERROR(__xludf.DUMMYFUNCTION("""COMPUTED_VALUE"""),41269)</f>
        <v>41269</v>
      </c>
      <c r="I74" s="38">
        <f ca="1">IFERROR(__xludf.DUMMYFUNCTION("""COMPUTED_VALUE"""),1140488904)</f>
        <v>1140488904</v>
      </c>
      <c r="J74" s="38">
        <f ca="1">IFERROR(__xludf.DUMMYFUNCTION("""COMPUTED_VALUE"""),1144246342)</f>
        <v>1144246342</v>
      </c>
      <c r="K74" s="38" t="str">
        <f ca="1">IFERROR(__xludf.DUMMYFUNCTION("""COMPUTED_VALUE"""),"Yesistepancic@hotmail.com ")</f>
        <v xml:space="preserve">Yesistepancic@hotmail.com </v>
      </c>
      <c r="L74" s="38" t="str">
        <f ca="1">IFERROR(__xludf.DUMMYFUNCTION("""COMPUTED_VALUE"""),"Femenino")</f>
        <v>Femenino</v>
      </c>
      <c r="M74" s="38" t="str">
        <f ca="1">IFERROR(__xludf.DUMMYFUNCTION("""COMPUTED_VALUE"""),"CVB ")</f>
        <v xml:space="preserve">CVB </v>
      </c>
      <c r="N74" s="38" t="str">
        <f ca="1">IFERROR(__xludf.DUMMYFUNCTION("""COMPUTED_VALUE"""),"Femenino, Sub 12")</f>
        <v>Femenino, Sub 12</v>
      </c>
      <c r="O74" s="38" t="str">
        <f ca="1">IFERROR(__xludf.DUMMYFUNCTION("""COMPUTED_VALUE"""),"OPTIMIST PRINCIPIANTES")</f>
        <v>OPTIMIST PRINCIPIANTES</v>
      </c>
      <c r="P74" s="38"/>
      <c r="Q74" s="38">
        <f ca="1">IFERROR(__xludf.DUMMYFUNCTION("""COMPUTED_VALUE"""),3596)</f>
        <v>3596</v>
      </c>
      <c r="R74" s="38"/>
      <c r="S74" s="38"/>
      <c r="T74" s="38"/>
      <c r="U74" s="38"/>
      <c r="V74" s="38"/>
      <c r="W74" s="38"/>
      <c r="X74" s="38"/>
      <c r="Y74" s="38" t="str">
        <f ca="1">IFERROR(__xludf.DUMMYFUNCTION("""COMPUTED_VALUE"""),"Osde 60927005103")</f>
        <v>Osde 60927005103</v>
      </c>
      <c r="Z74" s="6" t="str">
        <f ca="1">IFERROR(__xludf.DUMMYFUNCTION("""COMPUTED_VALUE"""),"Si")</f>
        <v>Si</v>
      </c>
      <c r="AA74" s="6" t="str">
        <f ca="1">IFERROR(__xludf.DUMMYFUNCTION("""COMPUTED_VALUE"""),"Acepto")</f>
        <v>Acepto</v>
      </c>
      <c r="AB74" s="6" t="str">
        <f ca="1">IFERROR(__xludf.DUMMYFUNCTION("""COMPUTED_VALUE"""),"Terminado")</f>
        <v>Terminado</v>
      </c>
      <c r="AC74" s="6">
        <f ca="1">IFERROR(__xludf.DUMMYFUNCTION("""COMPUTED_VALUE"""),50000)</f>
        <v>50000</v>
      </c>
      <c r="AD74" s="6">
        <f ca="1">IFERROR(__xludf.DUMMYFUNCTION("""COMPUTED_VALUE"""),205119)</f>
        <v>205119</v>
      </c>
      <c r="AE74" s="6" t="str">
        <f ca="1">IFERROR(__xludf.DUMMYFUNCTION("""COMPUTED_VALUE"""),"TRF 30-08")</f>
        <v>TRF 30-08</v>
      </c>
      <c r="AF74" s="38"/>
      <c r="AG74" s="38"/>
    </row>
    <row r="75" spans="2:33" ht="13.2">
      <c r="B75" s="35">
        <f ca="1">IFERROR(__xludf.DUMMYFUNCTION("""COMPUTED_VALUE"""),45536.5906115972)</f>
        <v>45536.590611597203</v>
      </c>
      <c r="C75" s="36" t="str">
        <f ca="1">IFERROR(__xludf.DUMMYFUNCTION("""COMPUTED_VALUE"""),"VIOLETA ")</f>
        <v xml:space="preserve">VIOLETA </v>
      </c>
      <c r="D75" s="36" t="str">
        <f ca="1">IFERROR(__xludf.DUMMYFUNCTION("""COMPUTED_VALUE"""),"RUSSO LACERNA ")</f>
        <v xml:space="preserve">RUSSO LACERNA </v>
      </c>
      <c r="E75" s="36" t="str">
        <f ca="1">IFERROR(__xludf.DUMMYFUNCTION("""COMPUTED_VALUE"""),"CABA ")</f>
        <v xml:space="preserve">CABA </v>
      </c>
      <c r="F75" s="6" t="str">
        <f ca="1">IFERROR(__xludf.DUMMYFUNCTION("""COMPUTED_VALUE"""),"ARG")</f>
        <v>ARG</v>
      </c>
      <c r="G75" s="6">
        <f ca="1">IFERROR(__xludf.DUMMYFUNCTION("""COMPUTED_VALUE"""),50511744)</f>
        <v>50511744</v>
      </c>
      <c r="H75" s="37">
        <f ca="1">IFERROR(__xludf.DUMMYFUNCTION("""COMPUTED_VALUE"""),40449)</f>
        <v>40449</v>
      </c>
      <c r="I75" s="38">
        <f ca="1">IFERROR(__xludf.DUMMYFUNCTION("""COMPUTED_VALUE"""),1156388263)</f>
        <v>1156388263</v>
      </c>
      <c r="J75" s="38">
        <f ca="1">IFERROR(__xludf.DUMMYFUNCTION("""COMPUTED_VALUE"""),1166031922)</f>
        <v>1166031922</v>
      </c>
      <c r="K75" s="38" t="str">
        <f ca="1">IFERROR(__xludf.DUMMYFUNCTION("""COMPUTED_VALUE"""),"vanesaamaro@gmail.com")</f>
        <v>vanesaamaro@gmail.com</v>
      </c>
      <c r="L75" s="38" t="str">
        <f ca="1">IFERROR(__xludf.DUMMYFUNCTION("""COMPUTED_VALUE"""),"Femenino")</f>
        <v>Femenino</v>
      </c>
      <c r="M75" s="38" t="str">
        <f ca="1">IFERROR(__xludf.DUMMYFUNCTION("""COMPUTED_VALUE"""),"CNAZ")</f>
        <v>CNAZ</v>
      </c>
      <c r="N75" s="38" t="str">
        <f ca="1">IFERROR(__xludf.DUMMYFUNCTION("""COMPUTED_VALUE"""),"Interior (Optimist)")</f>
        <v>Interior (Optimist)</v>
      </c>
      <c r="O75" s="38" t="str">
        <f ca="1">IFERROR(__xludf.DUMMYFUNCTION("""COMPUTED_VALUE"""),"OPTIMIST PRINCIPIANTES")</f>
        <v>OPTIMIST PRINCIPIANTES</v>
      </c>
      <c r="P75" s="38"/>
      <c r="Q75" s="38">
        <f ca="1">IFERROR(__xludf.DUMMYFUNCTION("""COMPUTED_VALUE"""),3729)</f>
        <v>3729</v>
      </c>
      <c r="R75" s="38" t="str">
        <f ca="1">IFERROR(__xludf.DUMMYFUNCTION("""COMPUTED_VALUE"""),"Amore")</f>
        <v>Amore</v>
      </c>
      <c r="S75" s="38"/>
      <c r="T75" s="38"/>
      <c r="U75" s="38"/>
      <c r="V75" s="38"/>
      <c r="W75" s="38"/>
      <c r="X75" s="38"/>
      <c r="Y75" s="38" t="str">
        <f ca="1">IFERROR(__xludf.DUMMYFUNCTION("""COMPUTED_VALUE"""),"OSDE")</f>
        <v>OSDE</v>
      </c>
      <c r="Z75" s="6" t="str">
        <f ca="1">IFERROR(__xludf.DUMMYFUNCTION("""COMPUTED_VALUE"""),"Si")</f>
        <v>Si</v>
      </c>
      <c r="AA75" s="6" t="str">
        <f ca="1">IFERROR(__xludf.DUMMYFUNCTION("""COMPUTED_VALUE"""),"Acepto")</f>
        <v>Acepto</v>
      </c>
      <c r="AB75" s="6" t="str">
        <f ca="1">IFERROR(__xludf.DUMMYFUNCTION("""COMPUTED_VALUE"""),"Pendiente")</f>
        <v>Pendiente</v>
      </c>
      <c r="AC75" s="6"/>
      <c r="AD75" s="6"/>
      <c r="AE75" s="6"/>
      <c r="AF75" s="38"/>
      <c r="AG75" s="38"/>
    </row>
    <row r="76" spans="2:33" ht="13.2">
      <c r="B76" s="35">
        <f ca="1">IFERROR(__xludf.DUMMYFUNCTION("""COMPUTED_VALUE"""),45532.442882662)</f>
        <v>45532.442882661999</v>
      </c>
      <c r="C76" s="36" t="str">
        <f ca="1">IFERROR(__xludf.DUMMYFUNCTION("""COMPUTED_VALUE"""),"HILARIO")</f>
        <v>HILARIO</v>
      </c>
      <c r="D76" s="36" t="str">
        <f ca="1">IFERROR(__xludf.DUMMYFUNCTION("""COMPUTED_VALUE"""),"SACCHI")</f>
        <v>SACCHI</v>
      </c>
      <c r="E76" s="36" t="str">
        <f ca="1">IFERROR(__xludf.DUMMYFUNCTION("""COMPUTED_VALUE"""),"CABA")</f>
        <v>CABA</v>
      </c>
      <c r="F76" s="6" t="str">
        <f ca="1">IFERROR(__xludf.DUMMYFUNCTION("""COMPUTED_VALUE"""),"ARG")</f>
        <v>ARG</v>
      </c>
      <c r="G76" s="6">
        <f ca="1">IFERROR(__xludf.DUMMYFUNCTION("""COMPUTED_VALUE"""),53084239)</f>
        <v>53084239</v>
      </c>
      <c r="H76" s="37">
        <f ca="1">IFERROR(__xludf.DUMMYFUNCTION("""COMPUTED_VALUE"""),41314)</f>
        <v>41314</v>
      </c>
      <c r="I76" s="38">
        <f ca="1">IFERROR(__xludf.DUMMYFUNCTION("""COMPUTED_VALUE"""),1151232356)</f>
        <v>1151232356</v>
      </c>
      <c r="J76" s="38">
        <f ca="1">IFERROR(__xludf.DUMMYFUNCTION("""COMPUTED_VALUE"""),1151232356)</f>
        <v>1151232356</v>
      </c>
      <c r="K76" s="38" t="str">
        <f ca="1">IFERROR(__xludf.DUMMYFUNCTION("""COMPUTED_VALUE"""),"msacchi@gmail.com")</f>
        <v>msacchi@gmail.com</v>
      </c>
      <c r="L76" s="38" t="str">
        <f ca="1">IFERROR(__xludf.DUMMYFUNCTION("""COMPUTED_VALUE"""),"Masculino")</f>
        <v>Masculino</v>
      </c>
      <c r="M76" s="38" t="str">
        <f ca="1">IFERROR(__xludf.DUMMYFUNCTION("""COMPUTED_VALUE"""),"YCA")</f>
        <v>YCA</v>
      </c>
      <c r="N76" s="38"/>
      <c r="O76" s="38" t="str">
        <f ca="1">IFERROR(__xludf.DUMMYFUNCTION("""COMPUTED_VALUE"""),"OPTIMIST PRINCIPIANTES")</f>
        <v>OPTIMIST PRINCIPIANTES</v>
      </c>
      <c r="P76" s="38"/>
      <c r="Q76" s="38" t="str">
        <f ca="1">IFERROR(__xludf.DUMMYFUNCTION("""COMPUTED_VALUE"""),"ARG 3885")</f>
        <v>ARG 3885</v>
      </c>
      <c r="R76" s="38" t="str">
        <f ca="1">IFERROR(__xludf.DUMMYFUNCTION("""COMPUTED_VALUE"""),"Sejlfisk")</f>
        <v>Sejlfisk</v>
      </c>
      <c r="S76" s="38"/>
      <c r="T76" s="38"/>
      <c r="U76" s="38"/>
      <c r="V76" s="38"/>
      <c r="W76" s="38"/>
      <c r="X76" s="38"/>
      <c r="Y76" s="38" t="str">
        <f ca="1">IFERROR(__xludf.DUMMYFUNCTION("""COMPUTED_VALUE"""),"OSDE / 60 767640 9 04")</f>
        <v>OSDE / 60 767640 9 04</v>
      </c>
      <c r="Z76" s="6" t="str">
        <f ca="1">IFERROR(__xludf.DUMMYFUNCTION("""COMPUTED_VALUE"""),"Si")</f>
        <v>Si</v>
      </c>
      <c r="AA76" s="6" t="str">
        <f ca="1">IFERROR(__xludf.DUMMYFUNCTION("""COMPUTED_VALUE"""),"Acepto")</f>
        <v>Acepto</v>
      </c>
      <c r="AB76" s="6" t="str">
        <f ca="1">IFERROR(__xludf.DUMMYFUNCTION("""COMPUTED_VALUE"""),"Terminado")</f>
        <v>Terminado</v>
      </c>
      <c r="AC76" s="6">
        <f ca="1">IFERROR(__xludf.DUMMYFUNCTION("""COMPUTED_VALUE"""),50000)</f>
        <v>50000</v>
      </c>
      <c r="AD76" s="6">
        <f ca="1">IFERROR(__xludf.DUMMYFUNCTION("""COMPUTED_VALUE"""),205066)</f>
        <v>205066</v>
      </c>
      <c r="AE76" s="6" t="str">
        <f ca="1">IFERROR(__xludf.DUMMYFUNCTION("""COMPUTED_VALUE"""),"TRF 28-08")</f>
        <v>TRF 28-08</v>
      </c>
      <c r="AF76" s="38"/>
      <c r="AG76" s="38"/>
    </row>
    <row r="77" spans="2:33" ht="13.2">
      <c r="B77" s="35">
        <f ca="1">IFERROR(__xludf.DUMMYFUNCTION("""COMPUTED_VALUE"""),45534.5273338194)</f>
        <v>45534.527333819402</v>
      </c>
      <c r="C77" s="36" t="str">
        <f ca="1">IFERROR(__xludf.DUMMYFUNCTION("""COMPUTED_VALUE"""),"Alessandro Patricio")</f>
        <v>Alessandro Patricio</v>
      </c>
      <c r="D77" s="36" t="str">
        <f ca="1">IFERROR(__xludf.DUMMYFUNCTION("""COMPUTED_VALUE"""),"Saggion")</f>
        <v>Saggion</v>
      </c>
      <c r="E77" s="36" t="str">
        <f ca="1">IFERROR(__xludf.DUMMYFUNCTION("""COMPUTED_VALUE"""),"Buenos Aires")</f>
        <v>Buenos Aires</v>
      </c>
      <c r="F77" s="6" t="str">
        <f ca="1">IFERROR(__xludf.DUMMYFUNCTION("""COMPUTED_VALUE"""),"ARG")</f>
        <v>ARG</v>
      </c>
      <c r="G77" s="6">
        <f ca="1">IFERROR(__xludf.DUMMYFUNCTION("""COMPUTED_VALUE"""),51267409)</f>
        <v>51267409</v>
      </c>
      <c r="H77" s="37">
        <f ca="1">IFERROR(__xludf.DUMMYFUNCTION("""COMPUTED_VALUE"""),40705)</f>
        <v>40705</v>
      </c>
      <c r="I77" s="38">
        <f ca="1">IFERROR(__xludf.DUMMYFUNCTION("""COMPUTED_VALUE"""),1544705414)</f>
        <v>1544705414</v>
      </c>
      <c r="J77" s="38">
        <f ca="1">IFERROR(__xludf.DUMMYFUNCTION("""COMPUTED_VALUE"""),1535118500)</f>
        <v>1535118500</v>
      </c>
      <c r="K77" s="38" t="str">
        <f ca="1">IFERROR(__xludf.DUMMYFUNCTION("""COMPUTED_VALUE"""),"nancysagg@gmail.com")</f>
        <v>nancysagg@gmail.com</v>
      </c>
      <c r="L77" s="38" t="str">
        <f ca="1">IFERROR(__xludf.DUMMYFUNCTION("""COMPUTED_VALUE"""),"Masculino")</f>
        <v>Masculino</v>
      </c>
      <c r="M77" s="38" t="str">
        <f ca="1">IFERROR(__xludf.DUMMYFUNCTION("""COMPUTED_VALUE"""),"CNO")</f>
        <v>CNO</v>
      </c>
      <c r="N77" s="38" t="str">
        <f ca="1">IFERROR(__xludf.DUMMYFUNCTION("""COMPUTED_VALUE"""),"Interior (Optimist)")</f>
        <v>Interior (Optimist)</v>
      </c>
      <c r="O77" s="38" t="str">
        <f ca="1">IFERROR(__xludf.DUMMYFUNCTION("""COMPUTED_VALUE"""),"OPTIMIST PRINCIPIANTES")</f>
        <v>OPTIMIST PRINCIPIANTES</v>
      </c>
      <c r="P77" s="38"/>
      <c r="Q77" s="38">
        <f ca="1">IFERROR(__xludf.DUMMYFUNCTION("""COMPUTED_VALUE"""),3969)</f>
        <v>3969</v>
      </c>
      <c r="R77" s="38" t="str">
        <f ca="1">IFERROR(__xludf.DUMMYFUNCTION("""COMPUTED_VALUE"""),"Chimichurri")</f>
        <v>Chimichurri</v>
      </c>
      <c r="S77" s="38"/>
      <c r="T77" s="38"/>
      <c r="U77" s="38"/>
      <c r="V77" s="38"/>
      <c r="W77" s="38"/>
      <c r="X77" s="38"/>
      <c r="Y77" s="38" t="str">
        <f ca="1">IFERROR(__xludf.DUMMYFUNCTION("""COMPUTED_VALUE"""),"Luis Pasteur plan P")</f>
        <v>Luis Pasteur plan P</v>
      </c>
      <c r="Z77" s="6" t="str">
        <f ca="1">IFERROR(__xludf.DUMMYFUNCTION("""COMPUTED_VALUE"""),"No")</f>
        <v>No</v>
      </c>
      <c r="AA77" s="6" t="str">
        <f ca="1">IFERROR(__xludf.DUMMYFUNCTION("""COMPUTED_VALUE"""),"Acepto")</f>
        <v>Acepto</v>
      </c>
      <c r="AB77" s="6" t="str">
        <f ca="1">IFERROR(__xludf.DUMMYFUNCTION("""COMPUTED_VALUE"""),"Terminado")</f>
        <v>Terminado</v>
      </c>
      <c r="AC77" s="6">
        <f ca="1">IFERROR(__xludf.DUMMYFUNCTION("""COMPUTED_VALUE"""),50000)</f>
        <v>50000</v>
      </c>
      <c r="AD77" s="6">
        <f ca="1">IFERROR(__xludf.DUMMYFUNCTION("""COMPUTED_VALUE"""),205097)</f>
        <v>205097</v>
      </c>
      <c r="AE77" s="6" t="str">
        <f ca="1">IFERROR(__xludf.DUMMYFUNCTION("""COMPUTED_VALUE"""),"TRF 30-08")</f>
        <v>TRF 30-08</v>
      </c>
      <c r="AF77" s="38"/>
      <c r="AG77" s="38"/>
    </row>
    <row r="78" spans="2:33" ht="13.2">
      <c r="B78" s="35">
        <f ca="1">IFERROR(__xludf.DUMMYFUNCTION("""COMPUTED_VALUE"""),45536.6792610416)</f>
        <v>45536.679261041601</v>
      </c>
      <c r="C78" s="36" t="str">
        <f ca="1">IFERROR(__xludf.DUMMYFUNCTION("""COMPUTED_VALUE"""),"Lian ")</f>
        <v xml:space="preserve">Lian </v>
      </c>
      <c r="D78" s="36" t="str">
        <f ca="1">IFERROR(__xludf.DUMMYFUNCTION("""COMPUTED_VALUE"""),"Sahlin")</f>
        <v>Sahlin</v>
      </c>
      <c r="E78" s="36" t="str">
        <f ca="1">IFERROR(__xludf.DUMMYFUNCTION("""COMPUTED_VALUE"""),"Berisso")</f>
        <v>Berisso</v>
      </c>
      <c r="F78" s="6" t="str">
        <f ca="1">IFERROR(__xludf.DUMMYFUNCTION("""COMPUTED_VALUE"""),"ARG")</f>
        <v>ARG</v>
      </c>
      <c r="G78" s="6">
        <f ca="1">IFERROR(__xludf.DUMMYFUNCTION("""COMPUTED_VALUE"""),50977925)</f>
        <v>50977925</v>
      </c>
      <c r="H78" s="37">
        <f ca="1">IFERROR(__xludf.DUMMYFUNCTION("""COMPUTED_VALUE"""),40654)</f>
        <v>40654</v>
      </c>
      <c r="I78" s="38">
        <f ca="1">IFERROR(__xludf.DUMMYFUNCTION("""COMPUTED_VALUE"""),2213645199)</f>
        <v>2213645199</v>
      </c>
      <c r="J78" s="38">
        <f ca="1">IFERROR(__xludf.DUMMYFUNCTION("""COMPUTED_VALUE"""),2215577978)</f>
        <v>2215577978</v>
      </c>
      <c r="K78" s="38" t="str">
        <f ca="1">IFERROR(__xludf.DUMMYFUNCTION("""COMPUTED_VALUE"""),"Sanchezmariaale@gmail.com")</f>
        <v>Sanchezmariaale@gmail.com</v>
      </c>
      <c r="L78" s="38" t="str">
        <f ca="1">IFERROR(__xludf.DUMMYFUNCTION("""COMPUTED_VALUE"""),"Masculino")</f>
        <v>Masculino</v>
      </c>
      <c r="M78" s="38" t="str">
        <f ca="1">IFERROR(__xludf.DUMMYFUNCTION("""COMPUTED_VALUE"""),"CRLP")</f>
        <v>CRLP</v>
      </c>
      <c r="N78" s="38" t="str">
        <f ca="1">IFERROR(__xludf.DUMMYFUNCTION("""COMPUTED_VALUE"""),"Interior (Optimist)")</f>
        <v>Interior (Optimist)</v>
      </c>
      <c r="O78" s="38" t="str">
        <f ca="1">IFERROR(__xludf.DUMMYFUNCTION("""COMPUTED_VALUE"""),"OPTIMIST PRINCIPIANTES")</f>
        <v>OPTIMIST PRINCIPIANTES</v>
      </c>
      <c r="P78" s="38"/>
      <c r="Q78" s="38">
        <f ca="1">IFERROR(__xludf.DUMMYFUNCTION("""COMPUTED_VALUE"""),3121)</f>
        <v>3121</v>
      </c>
      <c r="R78" s="38"/>
      <c r="S78" s="38" t="str">
        <f ca="1">IFERROR(__xludf.DUMMYFUNCTION("""COMPUTED_VALUE"""),"Lian Sahlin Joaquin Ignacio ")</f>
        <v xml:space="preserve">Lian Sahlin Joaquin Ignacio </v>
      </c>
      <c r="T78" s="38"/>
      <c r="U78" s="38"/>
      <c r="V78" s="38"/>
      <c r="W78" s="38"/>
      <c r="X78" s="38"/>
      <c r="Y78" s="38"/>
      <c r="Z78" s="6" t="str">
        <f ca="1">IFERROR(__xludf.DUMMYFUNCTION("""COMPUTED_VALUE"""),"Si")</f>
        <v>Si</v>
      </c>
      <c r="AA78" s="6" t="str">
        <f ca="1">IFERROR(__xludf.DUMMYFUNCTION("""COMPUTED_VALUE"""),"Acepto")</f>
        <v>Acepto</v>
      </c>
      <c r="AB78" s="6" t="str">
        <f ca="1">IFERROR(__xludf.DUMMYFUNCTION("""COMPUTED_VALUE"""),"Terminado")</f>
        <v>Terminado</v>
      </c>
      <c r="AC78" s="6">
        <f ca="1">IFERROR(__xludf.DUMMYFUNCTION("""COMPUTED_VALUE"""),50000)</f>
        <v>50000</v>
      </c>
      <c r="AD78" s="6">
        <f ca="1">IFERROR(__xludf.DUMMYFUNCTION("""COMPUTED_VALUE"""),205439)</f>
        <v>205439</v>
      </c>
      <c r="AE78" s="6" t="str">
        <f ca="1">IFERROR(__xludf.DUMMYFUNCTION("""COMPUTED_VALUE"""),"TRF 04-09")</f>
        <v>TRF 04-09</v>
      </c>
      <c r="AF78" s="38"/>
      <c r="AG78" s="38"/>
    </row>
    <row r="79" spans="2:33" ht="13.2">
      <c r="B79" s="35">
        <f ca="1">IFERROR(__xludf.DUMMYFUNCTION("""COMPUTED_VALUE"""),45537.9006959606)</f>
        <v>45537.900695960598</v>
      </c>
      <c r="C79" s="36" t="str">
        <f ca="1">IFERROR(__xludf.DUMMYFUNCTION("""COMPUTED_VALUE"""),"Florencia")</f>
        <v>Florencia</v>
      </c>
      <c r="D79" s="36" t="str">
        <f ca="1">IFERROR(__xludf.DUMMYFUNCTION("""COMPUTED_VALUE"""),"Saldaña")</f>
        <v>Saldaña</v>
      </c>
      <c r="E79" s="36" t="str">
        <f ca="1">IFERROR(__xludf.DUMMYFUNCTION("""COMPUTED_VALUE"""),"Montevideo")</f>
        <v>Montevideo</v>
      </c>
      <c r="F79" s="6" t="str">
        <f ca="1">IFERROR(__xludf.DUMMYFUNCTION("""COMPUTED_VALUE"""),"URU")</f>
        <v>URU</v>
      </c>
      <c r="G79" s="6">
        <f ca="1">IFERROR(__xludf.DUMMYFUNCTION("""COMPUTED_VALUE"""),58083082)</f>
        <v>58083082</v>
      </c>
      <c r="H79" s="37">
        <f ca="1">IFERROR(__xludf.DUMMYFUNCTION("""COMPUTED_VALUE"""),40018)</f>
        <v>40018</v>
      </c>
      <c r="I79" s="38" t="str">
        <f ca="1">IFERROR(__xludf.DUMMYFUNCTION("""COMPUTED_VALUE"""),"+59898847424")</f>
        <v>+59898847424</v>
      </c>
      <c r="J79" s="38" t="str">
        <f ca="1">IFERROR(__xludf.DUMMYFUNCTION("""COMPUTED_VALUE"""),"+59898847424")</f>
        <v>+59898847424</v>
      </c>
      <c r="K79" s="38" t="str">
        <f ca="1">IFERROR(__xludf.DUMMYFUNCTION("""COMPUTED_VALUE"""),"Jpsaldana@berkes.com.uy")</f>
        <v>Jpsaldana@berkes.com.uy</v>
      </c>
      <c r="L79" s="38" t="str">
        <f ca="1">IFERROR(__xludf.DUMMYFUNCTION("""COMPUTED_VALUE"""),"Femenino")</f>
        <v>Femenino</v>
      </c>
      <c r="M79" s="38" t="str">
        <f ca="1">IFERROR(__xludf.DUMMYFUNCTION("""COMPUTED_VALUE"""),"NYC")</f>
        <v>NYC</v>
      </c>
      <c r="N79" s="38" t="str">
        <f ca="1">IFERROR(__xludf.DUMMYFUNCTION("""COMPUTED_VALUE"""),"Interior (Optimist)")</f>
        <v>Interior (Optimist)</v>
      </c>
      <c r="O79" s="38" t="str">
        <f ca="1">IFERROR(__xludf.DUMMYFUNCTION("""COMPUTED_VALUE"""),"OPTIMIST PRINCIPIANTES")</f>
        <v>OPTIMIST PRINCIPIANTES</v>
      </c>
      <c r="P79" s="38"/>
      <c r="Q79" s="38" t="str">
        <f ca="1">IFERROR(__xludf.DUMMYFUNCTION("""COMPUTED_VALUE"""),"NYC")</f>
        <v>NYC</v>
      </c>
      <c r="R79" s="38"/>
      <c r="S79" s="38"/>
      <c r="T79" s="38"/>
      <c r="U79" s="38"/>
      <c r="V79" s="38"/>
      <c r="W79" s="38"/>
      <c r="X79" s="38"/>
      <c r="Y79" s="38"/>
      <c r="Z79" s="6" t="str">
        <f ca="1">IFERROR(__xludf.DUMMYFUNCTION("""COMPUTED_VALUE"""),"Si")</f>
        <v>Si</v>
      </c>
      <c r="AA79" s="6" t="str">
        <f ca="1">IFERROR(__xludf.DUMMYFUNCTION("""COMPUTED_VALUE"""),"Acepto")</f>
        <v>Acepto</v>
      </c>
      <c r="AB79" s="6" t="str">
        <f ca="1">IFERROR(__xludf.DUMMYFUNCTION("""COMPUTED_VALUE"""),"Terminado")</f>
        <v>Terminado</v>
      </c>
      <c r="AC79" s="6">
        <f ca="1">IFERROR(__xludf.DUMMYFUNCTION("""COMPUTED_VALUE"""),42500)</f>
        <v>42500</v>
      </c>
      <c r="AD79" s="6">
        <f ca="1">IFERROR(__xludf.DUMMYFUNCTION("""COMPUTED_VALUE"""),205391)</f>
        <v>205391</v>
      </c>
      <c r="AE79" s="6" t="str">
        <f ca="1">IFERROR(__xludf.DUMMYFUNCTION("""COMPUTED_VALUE"""),"TRF 02-09")</f>
        <v>TRF 02-09</v>
      </c>
      <c r="AF79" s="38"/>
      <c r="AG79" s="38"/>
    </row>
    <row r="80" spans="2:33" ht="13.2">
      <c r="B80" s="35">
        <f ca="1">IFERROR(__xludf.DUMMYFUNCTION("""COMPUTED_VALUE"""),45533.7954466088)</f>
        <v>45533.795446608798</v>
      </c>
      <c r="C80" s="36" t="str">
        <f ca="1">IFERROR(__xludf.DUMMYFUNCTION("""COMPUTED_VALUE"""),"Luca")</f>
        <v>Luca</v>
      </c>
      <c r="D80" s="36" t="str">
        <f ca="1">IFERROR(__xludf.DUMMYFUNCTION("""COMPUTED_VALUE"""),"Salvatierra")</f>
        <v>Salvatierra</v>
      </c>
      <c r="E80" s="36" t="str">
        <f ca="1">IFERROR(__xludf.DUMMYFUNCTION("""COMPUTED_VALUE"""),"San Isidro")</f>
        <v>San Isidro</v>
      </c>
      <c r="F80" s="6" t="str">
        <f ca="1">IFERROR(__xludf.DUMMYFUNCTION("""COMPUTED_VALUE"""),"ARG")</f>
        <v>ARG</v>
      </c>
      <c r="G80" s="6">
        <f ca="1">IFERROR(__xludf.DUMMYFUNCTION("""COMPUTED_VALUE"""),53285019)</f>
        <v>53285019</v>
      </c>
      <c r="H80" s="37">
        <f ca="1">IFERROR(__xludf.DUMMYFUNCTION("""COMPUTED_VALUE"""),41412)</f>
        <v>41412</v>
      </c>
      <c r="I80" s="38">
        <f ca="1">IFERROR(__xludf.DUMMYFUNCTION("""COMPUTED_VALUE"""),1133688160)</f>
        <v>1133688160</v>
      </c>
      <c r="J80" s="38">
        <f ca="1">IFERROR(__xludf.DUMMYFUNCTION("""COMPUTED_VALUE"""),1160151345)</f>
        <v>1160151345</v>
      </c>
      <c r="K80" s="38" t="str">
        <f ca="1">IFERROR(__xludf.DUMMYFUNCTION("""COMPUTED_VALUE"""),"anabellasg33@gmail.com")</f>
        <v>anabellasg33@gmail.com</v>
      </c>
      <c r="L80" s="38" t="str">
        <f ca="1">IFERROR(__xludf.DUMMYFUNCTION("""COMPUTED_VALUE"""),"Masculino")</f>
        <v>Masculino</v>
      </c>
      <c r="M80" s="38" t="str">
        <f ca="1">IFERROR(__xludf.DUMMYFUNCTION("""COMPUTED_VALUE"""),"CPNLB")</f>
        <v>CPNLB</v>
      </c>
      <c r="N80" s="38" t="str">
        <f ca="1">IFERROR(__xludf.DUMMYFUNCTION("""COMPUTED_VALUE"""),"sub 12")</f>
        <v>sub 12</v>
      </c>
      <c r="O80" s="38" t="str">
        <f ca="1">IFERROR(__xludf.DUMMYFUNCTION("""COMPUTED_VALUE"""),"OPTIMIST PRINCIPIANTES")</f>
        <v>OPTIMIST PRINCIPIANTES</v>
      </c>
      <c r="P80" s="38"/>
      <c r="Q80" s="38">
        <f ca="1">IFERROR(__xludf.DUMMYFUNCTION("""COMPUTED_VALUE"""),3022)</f>
        <v>3022</v>
      </c>
      <c r="R80" s="38"/>
      <c r="S80" s="38"/>
      <c r="T80" s="38"/>
      <c r="U80" s="38"/>
      <c r="V80" s="38"/>
      <c r="W80" s="38"/>
      <c r="X80" s="38"/>
      <c r="Y80" s="38" t="str">
        <f ca="1">IFERROR(__xludf.DUMMYFUNCTION("""COMPUTED_VALUE"""),"omint 1820230900011")</f>
        <v>omint 1820230900011</v>
      </c>
      <c r="Z80" s="6" t="str">
        <f ca="1">IFERROR(__xludf.DUMMYFUNCTION("""COMPUTED_VALUE"""),"Si")</f>
        <v>Si</v>
      </c>
      <c r="AA80" s="6" t="str">
        <f ca="1">IFERROR(__xludf.DUMMYFUNCTION("""COMPUTED_VALUE"""),"Acepto")</f>
        <v>Acepto</v>
      </c>
      <c r="AB80" s="6" t="str">
        <f ca="1">IFERROR(__xludf.DUMMYFUNCTION("""COMPUTED_VALUE"""),"Terminado")</f>
        <v>Terminado</v>
      </c>
      <c r="AC80" s="6">
        <f ca="1">IFERROR(__xludf.DUMMYFUNCTION("""COMPUTED_VALUE"""),50000)</f>
        <v>50000</v>
      </c>
      <c r="AD80" s="6">
        <f ca="1">IFERROR(__xludf.DUMMYFUNCTION("""COMPUTED_VALUE"""),205084)</f>
        <v>205084</v>
      </c>
      <c r="AE80" s="6" t="str">
        <f ca="1">IFERROR(__xludf.DUMMYFUNCTION("""COMPUTED_VALUE"""),"TRF 29-08")</f>
        <v>TRF 29-08</v>
      </c>
      <c r="AF80" s="38"/>
      <c r="AG80" s="38"/>
    </row>
    <row r="81" spans="2:33" ht="13.2">
      <c r="B81" s="35">
        <f ca="1">IFERROR(__xludf.DUMMYFUNCTION("""COMPUTED_VALUE"""),45534.5610017361)</f>
        <v>45534.561001736103</v>
      </c>
      <c r="C81" s="36" t="str">
        <f ca="1">IFERROR(__xludf.DUMMYFUNCTION("""COMPUTED_VALUE"""),"Agustina")</f>
        <v>Agustina</v>
      </c>
      <c r="D81" s="36" t="str">
        <f ca="1">IFERROR(__xludf.DUMMYFUNCTION("""COMPUTED_VALUE"""),"Schere Pena")</f>
        <v>Schere Pena</v>
      </c>
      <c r="E81" s="36" t="str">
        <f ca="1">IFERROR(__xludf.DUMMYFUNCTION("""COMPUTED_VALUE"""),"CABA")</f>
        <v>CABA</v>
      </c>
      <c r="F81" s="6" t="str">
        <f ca="1">IFERROR(__xludf.DUMMYFUNCTION("""COMPUTED_VALUE"""),"ARG")</f>
        <v>ARG</v>
      </c>
      <c r="G81" s="6">
        <f ca="1">IFERROR(__xludf.DUMMYFUNCTION("""COMPUTED_VALUE"""),53087006)</f>
        <v>53087006</v>
      </c>
      <c r="H81" s="37">
        <f ca="1">IFERROR(__xludf.DUMMYFUNCTION("""COMPUTED_VALUE"""),41308)</f>
        <v>41308</v>
      </c>
      <c r="I81" s="38">
        <f ca="1">IFERROR(__xludf.DUMMYFUNCTION("""COMPUTED_VALUE"""),1144915661)</f>
        <v>1144915661</v>
      </c>
      <c r="J81" s="38">
        <f ca="1">IFERROR(__xludf.DUMMYFUNCTION("""COMPUTED_VALUE"""),1144915661)</f>
        <v>1144915661</v>
      </c>
      <c r="K81" s="38" t="str">
        <f ca="1">IFERROR(__xludf.DUMMYFUNCTION("""COMPUTED_VALUE"""),"luciano.schere@gmail.com")</f>
        <v>luciano.schere@gmail.com</v>
      </c>
      <c r="L81" s="38" t="str">
        <f ca="1">IFERROR(__xludf.DUMMYFUNCTION("""COMPUTED_VALUE"""),"Femenino")</f>
        <v>Femenino</v>
      </c>
      <c r="M81" s="38" t="str">
        <f ca="1">IFERROR(__xludf.DUMMYFUNCTION("""COMPUTED_VALUE"""),"YCA")</f>
        <v>YCA</v>
      </c>
      <c r="N81" s="38" t="str">
        <f ca="1">IFERROR(__xludf.DUMMYFUNCTION("""COMPUTED_VALUE"""),"Femenino")</f>
        <v>Femenino</v>
      </c>
      <c r="O81" s="38" t="str">
        <f ca="1">IFERROR(__xludf.DUMMYFUNCTION("""COMPUTED_VALUE"""),"OPTIMIST PRINCIPIANTES")</f>
        <v>OPTIMIST PRINCIPIANTES</v>
      </c>
      <c r="P81" s="38"/>
      <c r="Q81" s="38">
        <f ca="1">IFERROR(__xludf.DUMMYFUNCTION("""COMPUTED_VALUE"""),3681)</f>
        <v>3681</v>
      </c>
      <c r="R81" s="38" t="str">
        <f ca="1">IFERROR(__xludf.DUMMYFUNCTION("""COMPUTED_VALUE"""),"Aguamarina")</f>
        <v>Aguamarina</v>
      </c>
      <c r="S81" s="38" t="str">
        <f ca="1">IFERROR(__xludf.DUMMYFUNCTION("""COMPUTED_VALUE"""),"Agustina Schere Pena")</f>
        <v>Agustina Schere Pena</v>
      </c>
      <c r="T81" s="38"/>
      <c r="U81" s="38"/>
      <c r="V81" s="38"/>
      <c r="W81" s="38"/>
      <c r="X81" s="38"/>
      <c r="Y81" s="38" t="str">
        <f ca="1">IFERROR(__xludf.DUMMYFUNCTION("""COMPUTED_VALUE"""),"OSDE / 60 950760 4 03")</f>
        <v>OSDE / 60 950760 4 03</v>
      </c>
      <c r="Z81" s="6" t="str">
        <f ca="1">IFERROR(__xludf.DUMMYFUNCTION("""COMPUTED_VALUE"""),"Si")</f>
        <v>Si</v>
      </c>
      <c r="AA81" s="6" t="str">
        <f ca="1">IFERROR(__xludf.DUMMYFUNCTION("""COMPUTED_VALUE"""),"Acepto")</f>
        <v>Acepto</v>
      </c>
      <c r="AB81" s="6" t="str">
        <f ca="1">IFERROR(__xludf.DUMMYFUNCTION("""COMPUTED_VALUE"""),"Terminado")</f>
        <v>Terminado</v>
      </c>
      <c r="AC81" s="6">
        <f ca="1">IFERROR(__xludf.DUMMYFUNCTION("""COMPUTED_VALUE"""),50000)</f>
        <v>50000</v>
      </c>
      <c r="AD81" s="6">
        <f ca="1">IFERROR(__xludf.DUMMYFUNCTION("""COMPUTED_VALUE"""),205102)</f>
        <v>205102</v>
      </c>
      <c r="AE81" s="6" t="str">
        <f ca="1">IFERROR(__xludf.DUMMYFUNCTION("""COMPUTED_VALUE"""),"TRF 30-08")</f>
        <v>TRF 30-08</v>
      </c>
      <c r="AF81" s="38"/>
      <c r="AG81" s="38"/>
    </row>
    <row r="82" spans="2:33" ht="13.2">
      <c r="B82" s="35">
        <f ca="1">IFERROR(__xludf.DUMMYFUNCTION("""COMPUTED_VALUE"""),45537.4380198263)</f>
        <v>45537.438019826302</v>
      </c>
      <c r="C82" s="36" t="str">
        <f ca="1">IFERROR(__xludf.DUMMYFUNCTION("""COMPUTED_VALUE"""),"Juana")</f>
        <v>Juana</v>
      </c>
      <c r="D82" s="36" t="str">
        <f ca="1">IFERROR(__xludf.DUMMYFUNCTION("""COMPUTED_VALUE"""),"Stella")</f>
        <v>Stella</v>
      </c>
      <c r="E82" s="36" t="str">
        <f ca="1">IFERROR(__xludf.DUMMYFUNCTION("""COMPUTED_VALUE"""),"Caba")</f>
        <v>Caba</v>
      </c>
      <c r="F82" s="6" t="str">
        <f ca="1">IFERROR(__xludf.DUMMYFUNCTION("""COMPUTED_VALUE"""),"ARG")</f>
        <v>ARG</v>
      </c>
      <c r="G82" s="6">
        <f ca="1">IFERROR(__xludf.DUMMYFUNCTION("""COMPUTED_VALUE"""),53856601)</f>
        <v>53856601</v>
      </c>
      <c r="H82" s="37">
        <f ca="1">IFERROR(__xludf.DUMMYFUNCTION("""COMPUTED_VALUE"""),41714)</f>
        <v>41714</v>
      </c>
      <c r="I82" s="38">
        <f ca="1">IFERROR(__xludf.DUMMYFUNCTION("""COMPUTED_VALUE"""),1144006748)</f>
        <v>1144006748</v>
      </c>
      <c r="J82" s="38" t="str">
        <f ca="1">IFERROR(__xludf.DUMMYFUNCTION("""COMPUTED_VALUE"""),"1144734415 / 1144006748")</f>
        <v>1144734415 / 1144006748</v>
      </c>
      <c r="K82" s="38" t="str">
        <f ca="1">IFERROR(__xludf.DUMMYFUNCTION("""COMPUTED_VALUE"""),"Macarenafe@hotmail.com")</f>
        <v>Macarenafe@hotmail.com</v>
      </c>
      <c r="L82" s="38" t="str">
        <f ca="1">IFERROR(__xludf.DUMMYFUNCTION("""COMPUTED_VALUE"""),"Femenino")</f>
        <v>Femenino</v>
      </c>
      <c r="M82" s="38" t="str">
        <f ca="1">IFERROR(__xludf.DUMMYFUNCTION("""COMPUTED_VALUE"""),"CVB")</f>
        <v>CVB</v>
      </c>
      <c r="N82" s="38" t="str">
        <f ca="1">IFERROR(__xludf.DUMMYFUNCTION("""COMPUTED_VALUE"""),"Optimist principiante")</f>
        <v>Optimist principiante</v>
      </c>
      <c r="O82" s="38" t="str">
        <f ca="1">IFERROR(__xludf.DUMMYFUNCTION("""COMPUTED_VALUE"""),"OPTIMIST PRINCIPIANTES")</f>
        <v>OPTIMIST PRINCIPIANTES</v>
      </c>
      <c r="P82" s="38"/>
      <c r="Q82" s="38">
        <f ca="1">IFERROR(__xludf.DUMMYFUNCTION("""COMPUTED_VALUE"""),3633)</f>
        <v>3633</v>
      </c>
      <c r="R82" s="38" t="str">
        <f ca="1">IFERROR(__xludf.DUMMYFUNCTION("""COMPUTED_VALUE"""),"Tsunami")</f>
        <v>Tsunami</v>
      </c>
      <c r="S82" s="38"/>
      <c r="T82" s="38"/>
      <c r="U82" s="38"/>
      <c r="V82" s="38"/>
      <c r="W82" s="38"/>
      <c r="X82" s="38"/>
      <c r="Y82" s="38" t="str">
        <f ca="1">IFERROR(__xludf.DUMMYFUNCTION("""COMPUTED_VALUE"""),"Swiss Medical ")</f>
        <v xml:space="preserve">Swiss Medical </v>
      </c>
      <c r="Z82" s="6" t="str">
        <f ca="1">IFERROR(__xludf.DUMMYFUNCTION("""COMPUTED_VALUE"""),"Si")</f>
        <v>Si</v>
      </c>
      <c r="AA82" s="6" t="str">
        <f ca="1">IFERROR(__xludf.DUMMYFUNCTION("""COMPUTED_VALUE"""),"Acepto")</f>
        <v>Acepto</v>
      </c>
      <c r="AB82" s="6" t="str">
        <f ca="1">IFERROR(__xludf.DUMMYFUNCTION("""COMPUTED_VALUE"""),"Pendiente")</f>
        <v>Pendiente</v>
      </c>
      <c r="AC82" s="6"/>
      <c r="AD82" s="6"/>
      <c r="AE82" s="6"/>
      <c r="AF82" s="38"/>
      <c r="AG82" s="38"/>
    </row>
    <row r="83" spans="2:33" ht="13.2">
      <c r="B83" s="35">
        <f ca="1">IFERROR(__xludf.DUMMYFUNCTION("""COMPUTED_VALUE"""),45535.7493977083)</f>
        <v>45535.7493977083</v>
      </c>
      <c r="C83" s="36" t="str">
        <f ca="1">IFERROR(__xludf.DUMMYFUNCTION("""COMPUTED_VALUE"""),"Pilar")</f>
        <v>Pilar</v>
      </c>
      <c r="D83" s="36" t="str">
        <f ca="1">IFERROR(__xludf.DUMMYFUNCTION("""COMPUTED_VALUE"""),"Taborda")</f>
        <v>Taborda</v>
      </c>
      <c r="E83" s="36" t="str">
        <f ca="1">IFERROR(__xludf.DUMMYFUNCTION("""COMPUTED_VALUE"""),"Quilmes")</f>
        <v>Quilmes</v>
      </c>
      <c r="F83" s="6" t="str">
        <f ca="1">IFERROR(__xludf.DUMMYFUNCTION("""COMPUTED_VALUE"""),"ARG")</f>
        <v>ARG</v>
      </c>
      <c r="G83" s="6">
        <f ca="1">IFERROR(__xludf.DUMMYFUNCTION("""COMPUTED_VALUE"""),51124069)</f>
        <v>51124069</v>
      </c>
      <c r="H83" s="37">
        <f ca="1">IFERROR(__xludf.DUMMYFUNCTION("""COMPUTED_VALUE"""),40669)</f>
        <v>40669</v>
      </c>
      <c r="I83" s="38">
        <f ca="1">IFERROR(__xludf.DUMMYFUNCTION("""COMPUTED_VALUE"""),1161239522)</f>
        <v>1161239522</v>
      </c>
      <c r="J83" s="38">
        <f ca="1">IFERROR(__xludf.DUMMYFUNCTION("""COMPUTED_VALUE"""),1161239522)</f>
        <v>1161239522</v>
      </c>
      <c r="K83" s="38" t="str">
        <f ca="1">IFERROR(__xludf.DUMMYFUNCTION("""COMPUTED_VALUE"""),"marielavmendiburu@hotmail.com")</f>
        <v>marielavmendiburu@hotmail.com</v>
      </c>
      <c r="L83" s="38" t="str">
        <f ca="1">IFERROR(__xludf.DUMMYFUNCTION("""COMPUTED_VALUE"""),"Femenino")</f>
        <v>Femenino</v>
      </c>
      <c r="M83" s="38" t="str">
        <f ca="1">IFERROR(__xludf.DUMMYFUNCTION("""COMPUTED_VALUE"""),"CNQ")</f>
        <v>CNQ</v>
      </c>
      <c r="N83" s="38" t="str">
        <f ca="1">IFERROR(__xludf.DUMMYFUNCTION("""COMPUTED_VALUE"""),"Interior (Optimist)")</f>
        <v>Interior (Optimist)</v>
      </c>
      <c r="O83" s="38" t="str">
        <f ca="1">IFERROR(__xludf.DUMMYFUNCTION("""COMPUTED_VALUE"""),"OPTIMIST PRINCIPIANTES")</f>
        <v>OPTIMIST PRINCIPIANTES</v>
      </c>
      <c r="P83" s="38"/>
      <c r="Q83" s="38">
        <f ca="1">IFERROR(__xludf.DUMMYFUNCTION("""COMPUTED_VALUE"""),3983)</f>
        <v>3983</v>
      </c>
      <c r="R83" s="38"/>
      <c r="S83" s="38"/>
      <c r="T83" s="38"/>
      <c r="U83" s="38"/>
      <c r="V83" s="38"/>
      <c r="W83" s="38"/>
      <c r="X83" s="38"/>
      <c r="Y83" s="38" t="str">
        <f ca="1">IFERROR(__xludf.DUMMYFUNCTION("""COMPUTED_VALUE"""),"Osde")</f>
        <v>Osde</v>
      </c>
      <c r="Z83" s="6" t="str">
        <f ca="1">IFERROR(__xludf.DUMMYFUNCTION("""COMPUTED_VALUE"""),"Si")</f>
        <v>Si</v>
      </c>
      <c r="AA83" s="6" t="str">
        <f ca="1">IFERROR(__xludf.DUMMYFUNCTION("""COMPUTED_VALUE"""),"Acepto")</f>
        <v>Acepto</v>
      </c>
      <c r="AB83" s="6" t="str">
        <f ca="1">IFERROR(__xludf.DUMMYFUNCTION("""COMPUTED_VALUE"""),"Terminado")</f>
        <v>Terminado</v>
      </c>
      <c r="AC83" s="6">
        <f ca="1">IFERROR(__xludf.DUMMYFUNCTION("""COMPUTED_VALUE"""),50000)</f>
        <v>50000</v>
      </c>
      <c r="AD83" s="6">
        <f ca="1">IFERROR(__xludf.DUMMYFUNCTION("""COMPUTED_VALUE"""),205351)</f>
        <v>205351</v>
      </c>
      <c r="AE83" s="6" t="str">
        <f ca="1">IFERROR(__xludf.DUMMYFUNCTION("""COMPUTED_VALUE"""),"TRF 31-08")</f>
        <v>TRF 31-08</v>
      </c>
      <c r="AF83" s="38"/>
      <c r="AG83" s="38"/>
    </row>
    <row r="84" spans="2:33" ht="13.2">
      <c r="B84" s="35">
        <f ca="1">IFERROR(__xludf.DUMMYFUNCTION("""COMPUTED_VALUE"""),45532.7618219097)</f>
        <v>45532.761821909698</v>
      </c>
      <c r="C84" s="36" t="str">
        <f ca="1">IFERROR(__xludf.DUMMYFUNCTION("""COMPUTED_VALUE"""),"MARCOS SEBASTIÁN ")</f>
        <v xml:space="preserve">MARCOS SEBASTIÁN </v>
      </c>
      <c r="D84" s="36" t="str">
        <f ca="1">IFERROR(__xludf.DUMMYFUNCTION("""COMPUTED_VALUE"""),"TEJADA IBAÑEZ ")</f>
        <v xml:space="preserve">TEJADA IBAÑEZ </v>
      </c>
      <c r="E84" s="36" t="str">
        <f ca="1">IFERROR(__xludf.DUMMYFUNCTION("""COMPUTED_VALUE"""),"Berazategui ")</f>
        <v xml:space="preserve">Berazategui </v>
      </c>
      <c r="F84" s="6" t="str">
        <f ca="1">IFERROR(__xludf.DUMMYFUNCTION("""COMPUTED_VALUE"""),"ARG")</f>
        <v>ARG</v>
      </c>
      <c r="G84" s="6">
        <f ca="1">IFERROR(__xludf.DUMMYFUNCTION("""COMPUTED_VALUE"""),53690319)</f>
        <v>53690319</v>
      </c>
      <c r="H84" s="37">
        <f ca="1">IFERROR(__xludf.DUMMYFUNCTION("""COMPUTED_VALUE"""),41434)</f>
        <v>41434</v>
      </c>
      <c r="I84" s="38">
        <f ca="1">IFERROR(__xludf.DUMMYFUNCTION("""COMPUTED_VALUE"""),2215036037)</f>
        <v>2215036037</v>
      </c>
      <c r="J84" s="38" t="str">
        <f ca="1">IFERROR(__xludf.DUMMYFUNCTION("""COMPUTED_VALUE"""),"2215036037 / 2215700125")</f>
        <v>2215036037 / 2215700125</v>
      </c>
      <c r="K84" s="38" t="str">
        <f ca="1">IFERROR(__xludf.DUMMYFUNCTION("""COMPUTED_VALUE"""),"tifamilia@gmail.com")</f>
        <v>tifamilia@gmail.com</v>
      </c>
      <c r="L84" s="38" t="str">
        <f ca="1">IFERROR(__xludf.DUMMYFUNCTION("""COMPUTED_VALUE"""),"Masculino")</f>
        <v>Masculino</v>
      </c>
      <c r="M84" s="38" t="str">
        <f ca="1">IFERROR(__xludf.DUMMYFUNCTION("""COMPUTED_VALUE"""),"CNAs")</f>
        <v>CNAs</v>
      </c>
      <c r="N84" s="38" t="str">
        <f ca="1">IFERROR(__xludf.DUMMYFUNCTION("""COMPUTED_VALUE"""),"Interior (Optimist)")</f>
        <v>Interior (Optimist)</v>
      </c>
      <c r="O84" s="38" t="str">
        <f ca="1">IFERROR(__xludf.DUMMYFUNCTION("""COMPUTED_VALUE"""),"OPTIMIST PRINCIPIANTES")</f>
        <v>OPTIMIST PRINCIPIANTES</v>
      </c>
      <c r="P84" s="38"/>
      <c r="Q84" s="38">
        <f ca="1">IFERROR(__xludf.DUMMYFUNCTION("""COMPUTED_VALUE"""),4110)</f>
        <v>4110</v>
      </c>
      <c r="R84" s="38" t="str">
        <f ca="1">IFERROR(__xludf.DUMMYFUNCTION("""COMPUTED_VALUE"""),"MARK")</f>
        <v>MARK</v>
      </c>
      <c r="S84" s="38"/>
      <c r="T84" s="38"/>
      <c r="U84" s="38"/>
      <c r="V84" s="38"/>
      <c r="W84" s="38"/>
      <c r="X84" s="38"/>
      <c r="Y84" s="38"/>
      <c r="Z84" s="6" t="str">
        <f ca="1">IFERROR(__xludf.DUMMYFUNCTION("""COMPUTED_VALUE"""),"Si")</f>
        <v>Si</v>
      </c>
      <c r="AA84" s="6" t="str">
        <f ca="1">IFERROR(__xludf.DUMMYFUNCTION("""COMPUTED_VALUE"""),"Acepto")</f>
        <v>Acepto</v>
      </c>
      <c r="AB84" s="6" t="str">
        <f ca="1">IFERROR(__xludf.DUMMYFUNCTION("""COMPUTED_VALUE"""),"Pendiente")</f>
        <v>Pendiente</v>
      </c>
      <c r="AC84" s="6"/>
      <c r="AD84" s="6"/>
      <c r="AE84" s="6"/>
      <c r="AF84" s="38"/>
      <c r="AG84" s="38"/>
    </row>
    <row r="85" spans="2:33" ht="13.2">
      <c r="B85" s="35">
        <f ca="1">IFERROR(__xludf.DUMMYFUNCTION("""COMPUTED_VALUE"""),45537.8366182754)</f>
        <v>45537.836618275403</v>
      </c>
      <c r="C85" s="36" t="str">
        <f ca="1">IFERROR(__xludf.DUMMYFUNCTION("""COMPUTED_VALUE"""),"Joaquin ")</f>
        <v xml:space="preserve">Joaquin </v>
      </c>
      <c r="D85" s="36" t="str">
        <f ca="1">IFERROR(__xludf.DUMMYFUNCTION("""COMPUTED_VALUE"""),"Tommasi")</f>
        <v>Tommasi</v>
      </c>
      <c r="E85" s="36" t="str">
        <f ca="1">IFERROR(__xludf.DUMMYFUNCTION("""COMPUTED_VALUE"""),"Buenos Aires ")</f>
        <v xml:space="preserve">Buenos Aires </v>
      </c>
      <c r="F85" s="6" t="str">
        <f ca="1">IFERROR(__xludf.DUMMYFUNCTION("""COMPUTED_VALUE"""),"ARG")</f>
        <v>ARG</v>
      </c>
      <c r="G85" s="6">
        <f ca="1">IFERROR(__xludf.DUMMYFUNCTION("""COMPUTED_VALUE"""),52763901)</f>
        <v>52763901</v>
      </c>
      <c r="H85" s="37">
        <f ca="1">IFERROR(__xludf.DUMMYFUNCTION("""COMPUTED_VALUE"""),41194)</f>
        <v>41194</v>
      </c>
      <c r="I85" s="38">
        <f ca="1">IFERROR(__xludf.DUMMYFUNCTION("""COMPUTED_VALUE"""),40485362)</f>
        <v>40485362</v>
      </c>
      <c r="J85" s="38">
        <f ca="1">IFERROR(__xludf.DUMMYFUNCTION("""COMPUTED_VALUE"""),49485362)</f>
        <v>49485362</v>
      </c>
      <c r="K85" s="38" t="str">
        <f ca="1">IFERROR(__xludf.DUMMYFUNCTION("""COMPUTED_VALUE"""),"Rftommasi@hotmail.com")</f>
        <v>Rftommasi@hotmail.com</v>
      </c>
      <c r="L85" s="38" t="str">
        <f ca="1">IFERROR(__xludf.DUMMYFUNCTION("""COMPUTED_VALUE"""),"Masculino")</f>
        <v>Masculino</v>
      </c>
      <c r="M85" s="38" t="str">
        <f ca="1">IFERROR(__xludf.DUMMYFUNCTION("""COMPUTED_VALUE"""),"CNSI")</f>
        <v>CNSI</v>
      </c>
      <c r="N85" s="38"/>
      <c r="O85" s="38" t="str">
        <f ca="1">IFERROR(__xludf.DUMMYFUNCTION("""COMPUTED_VALUE"""),"OPTIMIST PRINCIPIANTES")</f>
        <v>OPTIMIST PRINCIPIANTES</v>
      </c>
      <c r="P85" s="38"/>
      <c r="Q85" s="38">
        <f ca="1">IFERROR(__xludf.DUMMYFUNCTION("""COMPUTED_VALUE"""),3924)</f>
        <v>3924</v>
      </c>
      <c r="R85" s="38" t="str">
        <f ca="1">IFERROR(__xludf.DUMMYFUNCTION("""COMPUTED_VALUE"""),"Solana ")</f>
        <v xml:space="preserve">Solana </v>
      </c>
      <c r="S85" s="38"/>
      <c r="T85" s="38"/>
      <c r="U85" s="38"/>
      <c r="V85" s="38"/>
      <c r="W85" s="38"/>
      <c r="X85" s="38"/>
      <c r="Y85" s="38" t="str">
        <f ca="1">IFERROR(__xludf.DUMMYFUNCTION("""COMPUTED_VALUE"""),"Osde ")</f>
        <v xml:space="preserve">Osde </v>
      </c>
      <c r="Z85" s="6" t="str">
        <f ca="1">IFERROR(__xludf.DUMMYFUNCTION("""COMPUTED_VALUE"""),"No")</f>
        <v>No</v>
      </c>
      <c r="AA85" s="6" t="str">
        <f ca="1">IFERROR(__xludf.DUMMYFUNCTION("""COMPUTED_VALUE"""),"Acepto")</f>
        <v>Acepto</v>
      </c>
      <c r="AB85" s="6" t="str">
        <f ca="1">IFERROR(__xludf.DUMMYFUNCTION("""COMPUTED_VALUE"""),"Terminado")</f>
        <v>Terminado</v>
      </c>
      <c r="AC85" s="6">
        <f ca="1">IFERROR(__xludf.DUMMYFUNCTION("""COMPUTED_VALUE"""),50000)</f>
        <v>50000</v>
      </c>
      <c r="AD85" s="6">
        <f ca="1">IFERROR(__xludf.DUMMYFUNCTION("""COMPUTED_VALUE"""),205512)</f>
        <v>205512</v>
      </c>
      <c r="AE85" s="6" t="str">
        <f ca="1">IFERROR(__xludf.DUMMYFUNCTION("""COMPUTED_VALUE"""),"TRF 05-09")</f>
        <v>TRF 05-09</v>
      </c>
      <c r="AF85" s="38"/>
      <c r="AG85" s="38"/>
    </row>
    <row r="86" spans="2:33" ht="13.2">
      <c r="B86" s="35">
        <f ca="1">IFERROR(__xludf.DUMMYFUNCTION("""COMPUTED_VALUE"""),45535.368253912)</f>
        <v>45535.368253911998</v>
      </c>
      <c r="C86" s="36" t="str">
        <f ca="1">IFERROR(__xludf.DUMMYFUNCTION("""COMPUTED_VALUE"""),"José ")</f>
        <v xml:space="preserve">José </v>
      </c>
      <c r="D86" s="36" t="str">
        <f ca="1">IFERROR(__xludf.DUMMYFUNCTION("""COMPUTED_VALUE"""),"Vázquez del Campo ")</f>
        <v xml:space="preserve">Vázquez del Campo </v>
      </c>
      <c r="E86" s="36" t="str">
        <f ca="1">IFERROR(__xludf.DUMMYFUNCTION("""COMPUTED_VALUE"""),"Tigre")</f>
        <v>Tigre</v>
      </c>
      <c r="F86" s="6" t="str">
        <f ca="1">IFERROR(__xludf.DUMMYFUNCTION("""COMPUTED_VALUE"""),"ARG")</f>
        <v>ARG</v>
      </c>
      <c r="G86" s="6">
        <f ca="1">IFERROR(__xludf.DUMMYFUNCTION("""COMPUTED_VALUE"""),54212950)</f>
        <v>54212950</v>
      </c>
      <c r="H86" s="37">
        <f ca="1">IFERROR(__xludf.DUMMYFUNCTION("""COMPUTED_VALUE"""),41893)</f>
        <v>41893</v>
      </c>
      <c r="I86" s="38">
        <f ca="1">IFERROR(__xludf.DUMMYFUNCTION("""COMPUTED_VALUE"""),1159948383)</f>
        <v>1159948383</v>
      </c>
      <c r="J86" s="38"/>
      <c r="K86" s="38" t="str">
        <f ca="1">IFERROR(__xludf.DUMMYFUNCTION("""COMPUTED_VALUE"""),"lucreciadelcampo@gmail.com")</f>
        <v>lucreciadelcampo@gmail.com</v>
      </c>
      <c r="L86" s="38" t="str">
        <f ca="1">IFERROR(__xludf.DUMMYFUNCTION("""COMPUTED_VALUE"""),"Masculino")</f>
        <v>Masculino</v>
      </c>
      <c r="M86" s="38" t="str">
        <f ca="1">IFERROR(__xludf.DUMMYFUNCTION("""COMPUTED_VALUE"""),"CNSI")</f>
        <v>CNSI</v>
      </c>
      <c r="N86" s="38" t="str">
        <f ca="1">IFERROR(__xludf.DUMMYFUNCTION("""COMPUTED_VALUE"""),"Interior (Optimist)")</f>
        <v>Interior (Optimist)</v>
      </c>
      <c r="O86" s="38" t="str">
        <f ca="1">IFERROR(__xludf.DUMMYFUNCTION("""COMPUTED_VALUE"""),"OPTIMIST PRINCIPIANTES")</f>
        <v>OPTIMIST PRINCIPIANTES</v>
      </c>
      <c r="P86" s="38"/>
      <c r="Q86" s="38">
        <f ca="1">IFERROR(__xludf.DUMMYFUNCTION("""COMPUTED_VALUE"""),3700)</f>
        <v>3700</v>
      </c>
      <c r="R86" s="38"/>
      <c r="S86" s="38"/>
      <c r="T86" s="38"/>
      <c r="U86" s="38"/>
      <c r="V86" s="38"/>
      <c r="W86" s="38"/>
      <c r="X86" s="38"/>
      <c r="Y86" s="38"/>
      <c r="Z86" s="6" t="str">
        <f ca="1">IFERROR(__xludf.DUMMYFUNCTION("""COMPUTED_VALUE"""),"No")</f>
        <v>No</v>
      </c>
      <c r="AA86" s="6" t="str">
        <f ca="1">IFERROR(__xludf.DUMMYFUNCTION("""COMPUTED_VALUE"""),"Acepto")</f>
        <v>Acepto</v>
      </c>
      <c r="AB86" s="6" t="str">
        <f ca="1">IFERROR(__xludf.DUMMYFUNCTION("""COMPUTED_VALUE"""),"Terminado")</f>
        <v>Terminado</v>
      </c>
      <c r="AC86" s="6">
        <f ca="1">IFERROR(__xludf.DUMMYFUNCTION("""COMPUTED_VALUE"""),50000)</f>
        <v>50000</v>
      </c>
      <c r="AD86" s="6">
        <f ca="1">IFERROR(__xludf.DUMMYFUNCTION("""COMPUTED_VALUE"""),205166)</f>
        <v>205166</v>
      </c>
      <c r="AE86" s="6" t="str">
        <f ca="1">IFERROR(__xludf.DUMMYFUNCTION("""COMPUTED_VALUE"""),"TRF 31-08")</f>
        <v>TRF 31-08</v>
      </c>
      <c r="AF86" s="38"/>
      <c r="AG86" s="38"/>
    </row>
    <row r="87" spans="2:33" ht="13.2">
      <c r="B87" s="35">
        <f ca="1">IFERROR(__xludf.DUMMYFUNCTION("""COMPUTED_VALUE"""),45539.8935292708)</f>
        <v>45539.893529270797</v>
      </c>
      <c r="C87" s="36" t="str">
        <f ca="1">IFERROR(__xludf.DUMMYFUNCTION("""COMPUTED_VALUE"""),"AGUSTINA MARIEL ")</f>
        <v xml:space="preserve">AGUSTINA MARIEL </v>
      </c>
      <c r="D87" s="36" t="str">
        <f ca="1">IFERROR(__xludf.DUMMYFUNCTION("""COMPUTED_VALUE"""),"VICENTE")</f>
        <v>VICENTE</v>
      </c>
      <c r="E87" s="36" t="str">
        <f ca="1">IFERROR(__xludf.DUMMYFUNCTION("""COMPUTED_VALUE"""),"MARTINEZ")</f>
        <v>MARTINEZ</v>
      </c>
      <c r="F87" s="6" t="str">
        <f ca="1">IFERROR(__xludf.DUMMYFUNCTION("""COMPUTED_VALUE"""),"ARG")</f>
        <v>ARG</v>
      </c>
      <c r="G87" s="6">
        <f ca="1">IFERROR(__xludf.DUMMYFUNCTION("""COMPUTED_VALUE"""),24663880)</f>
        <v>24663880</v>
      </c>
      <c r="H87" s="37">
        <f ca="1">IFERROR(__xludf.DUMMYFUNCTION("""COMPUTED_VALUE"""),40851)</f>
        <v>40851</v>
      </c>
      <c r="I87" s="38" t="str">
        <f ca="1">IFERROR(__xludf.DUMMYFUNCTION("""COMPUTED_VALUE"""),"5773 7268")</f>
        <v>5773 7268</v>
      </c>
      <c r="J87" s="38" t="str">
        <f ca="1">IFERROR(__xludf.DUMMYFUNCTION("""COMPUTED_VALUE"""),"4577 3643")</f>
        <v>4577 3643</v>
      </c>
      <c r="K87" s="38" t="str">
        <f ca="1">IFERROR(__xludf.DUMMYFUNCTION("""COMPUTED_VALUE"""),"gabysorribas@hotmail.com")</f>
        <v>gabysorribas@hotmail.com</v>
      </c>
      <c r="L87" s="38" t="str">
        <f ca="1">IFERROR(__xludf.DUMMYFUNCTION("""COMPUTED_VALUE"""),"Femenino")</f>
        <v>Femenino</v>
      </c>
      <c r="M87" s="38" t="str">
        <f ca="1">IFERROR(__xludf.DUMMYFUNCTION("""COMPUTED_VALUE"""),"CNAs")</f>
        <v>CNAs</v>
      </c>
      <c r="N87" s="38" t="str">
        <f ca="1">IFERROR(__xludf.DUMMYFUNCTION("""COMPUTED_VALUE"""),"Interior (Optimist)")</f>
        <v>Interior (Optimist)</v>
      </c>
      <c r="O87" s="38" t="str">
        <f ca="1">IFERROR(__xludf.DUMMYFUNCTION("""COMPUTED_VALUE"""),"OPTIMIST PRINCIPIANTES")</f>
        <v>OPTIMIST PRINCIPIANTES</v>
      </c>
      <c r="P87" s="38"/>
      <c r="Q87" s="38">
        <f ca="1">IFERROR(__xludf.DUMMYFUNCTION("""COMPUTED_VALUE"""),3790)</f>
        <v>3790</v>
      </c>
      <c r="R87" s="38" t="str">
        <f ca="1">IFERROR(__xludf.DUMMYFUNCTION("""COMPUTED_VALUE"""),"ELÉCTRICA")</f>
        <v>ELÉCTRICA</v>
      </c>
      <c r="S87" s="38" t="str">
        <f ca="1">IFERROR(__xludf.DUMMYFUNCTION("""COMPUTED_VALUE"""),"AGUSTINA MARIEL VICENTE")</f>
        <v>AGUSTINA MARIEL VICENTE</v>
      </c>
      <c r="T87" s="38"/>
      <c r="U87" s="38"/>
      <c r="V87" s="38"/>
      <c r="W87" s="38"/>
      <c r="X87" s="38"/>
      <c r="Y87" s="38" t="str">
        <f ca="1">IFERROR(__xludf.DUMMYFUNCTION("""COMPUTED_VALUE"""),"OSDE PLAN 410 - 60916572004")</f>
        <v>OSDE PLAN 410 - 60916572004</v>
      </c>
      <c r="Z87" s="6" t="str">
        <f ca="1">IFERROR(__xludf.DUMMYFUNCTION("""COMPUTED_VALUE"""),"Si")</f>
        <v>Si</v>
      </c>
      <c r="AA87" s="6" t="str">
        <f ca="1">IFERROR(__xludf.DUMMYFUNCTION("""COMPUTED_VALUE"""),"Acepto")</f>
        <v>Acepto</v>
      </c>
      <c r="AB87" s="6" t="str">
        <f ca="1">IFERROR(__xludf.DUMMYFUNCTION("""COMPUTED_VALUE"""),"Pendiente")</f>
        <v>Pendiente</v>
      </c>
      <c r="AC87" s="6"/>
      <c r="AD87" s="6"/>
      <c r="AE87" s="6"/>
      <c r="AF87" s="38"/>
      <c r="AG87" s="38"/>
    </row>
    <row r="88" spans="2:33" ht="13.2">
      <c r="B88" s="35">
        <f ca="1">IFERROR(__xludf.DUMMYFUNCTION("""COMPUTED_VALUE"""),45535.6643683449)</f>
        <v>45535.6643683449</v>
      </c>
      <c r="C88" s="36" t="str">
        <f ca="1">IFERROR(__xludf.DUMMYFUNCTION("""COMPUTED_VALUE"""),"Amador")</f>
        <v>Amador</v>
      </c>
      <c r="D88" s="36" t="str">
        <f ca="1">IFERROR(__xludf.DUMMYFUNCTION("""COMPUTED_VALUE"""),"Victorel")</f>
        <v>Victorel</v>
      </c>
      <c r="E88" s="36" t="str">
        <f ca="1">IFERROR(__xludf.DUMMYFUNCTION("""COMPUTED_VALUE"""),"Caba ")</f>
        <v xml:space="preserve">Caba </v>
      </c>
      <c r="F88" s="6" t="str">
        <f ca="1">IFERROR(__xludf.DUMMYFUNCTION("""COMPUTED_VALUE"""),"ARG")</f>
        <v>ARG</v>
      </c>
      <c r="G88" s="6">
        <f ca="1">IFERROR(__xludf.DUMMYFUNCTION("""COMPUTED_VALUE"""),54189270)</f>
        <v>54189270</v>
      </c>
      <c r="H88" s="37">
        <f ca="1">IFERROR(__xludf.DUMMYFUNCTION("""COMPUTED_VALUE"""),41869)</f>
        <v>41869</v>
      </c>
      <c r="I88" s="38">
        <f ca="1">IFERROR(__xludf.DUMMYFUNCTION("""COMPUTED_VALUE"""),1131379444)</f>
        <v>1131379444</v>
      </c>
      <c r="J88" s="38">
        <f ca="1">IFERROR(__xludf.DUMMYFUNCTION("""COMPUTED_VALUE"""),1131379444)</f>
        <v>1131379444</v>
      </c>
      <c r="K88" s="38" t="str">
        <f ca="1">IFERROR(__xludf.DUMMYFUNCTION("""COMPUTED_VALUE"""),"paula_treuque@hotmail.com")</f>
        <v>paula_treuque@hotmail.com</v>
      </c>
      <c r="L88" s="38" t="str">
        <f ca="1">IFERROR(__xludf.DUMMYFUNCTION("""COMPUTED_VALUE"""),"Masculino")</f>
        <v>Masculino</v>
      </c>
      <c r="M88" s="38" t="str">
        <f ca="1">IFERROR(__xludf.DUMMYFUNCTION("""COMPUTED_VALUE"""),"CGLMN")</f>
        <v>CGLMN</v>
      </c>
      <c r="N88" s="38" t="str">
        <f ca="1">IFERROR(__xludf.DUMMYFUNCTION("""COMPUTED_VALUE"""),"Interior (Optimist)")</f>
        <v>Interior (Optimist)</v>
      </c>
      <c r="O88" s="38" t="str">
        <f ca="1">IFERROR(__xludf.DUMMYFUNCTION("""COMPUTED_VALUE"""),"OPTIMIST PRINCIPIANTES")</f>
        <v>OPTIMIST PRINCIPIANTES</v>
      </c>
      <c r="P88" s="38"/>
      <c r="Q88" s="38">
        <f ca="1">IFERROR(__xludf.DUMMYFUNCTION("""COMPUTED_VALUE"""),3334)</f>
        <v>3334</v>
      </c>
      <c r="R88" s="38" t="str">
        <f ca="1">IFERROR(__xludf.DUMMYFUNCTION("""COMPUTED_VALUE"""),"Pancho")</f>
        <v>Pancho</v>
      </c>
      <c r="S88" s="38" t="str">
        <f ca="1">IFERROR(__xludf.DUMMYFUNCTION("""COMPUTED_VALUE"""),"Amador Victorel ")</f>
        <v xml:space="preserve">Amador Victorel </v>
      </c>
      <c r="T88" s="38"/>
      <c r="U88" s="38"/>
      <c r="V88" s="38"/>
      <c r="W88" s="38"/>
      <c r="X88" s="38"/>
      <c r="Y88" s="38"/>
      <c r="Z88" s="6" t="str">
        <f ca="1">IFERROR(__xludf.DUMMYFUNCTION("""COMPUTED_VALUE"""),"No")</f>
        <v>No</v>
      </c>
      <c r="AA88" s="6" t="str">
        <f ca="1">IFERROR(__xludf.DUMMYFUNCTION("""COMPUTED_VALUE"""),"Acepto")</f>
        <v>Acepto</v>
      </c>
      <c r="AB88" s="6" t="str">
        <f ca="1">IFERROR(__xludf.DUMMYFUNCTION("""COMPUTED_VALUE"""),"Terminado")</f>
        <v>Terminado</v>
      </c>
      <c r="AC88" s="6">
        <f ca="1">IFERROR(__xludf.DUMMYFUNCTION("""COMPUTED_VALUE"""),50000)</f>
        <v>50000</v>
      </c>
      <c r="AD88" s="6">
        <f ca="1">IFERROR(__xludf.DUMMYFUNCTION("""COMPUTED_VALUE"""),205362)</f>
        <v>205362</v>
      </c>
      <c r="AE88" s="6" t="str">
        <f ca="1">IFERROR(__xludf.DUMMYFUNCTION("""COMPUTED_VALUE"""),"TRF 31-08")</f>
        <v>TRF 31-08</v>
      </c>
      <c r="AF88" s="38"/>
      <c r="AG88" s="38"/>
    </row>
    <row r="89" spans="2:33" ht="13.2">
      <c r="B89" s="35">
        <f ca="1">IFERROR(__xludf.DUMMYFUNCTION("""COMPUTED_VALUE"""),45534.4186643518)</f>
        <v>45534.418664351797</v>
      </c>
      <c r="C89" s="36" t="str">
        <f ca="1">IFERROR(__xludf.DUMMYFUNCTION("""COMPUTED_VALUE"""),"Camila")</f>
        <v>Camila</v>
      </c>
      <c r="D89" s="36" t="str">
        <f ca="1">IFERROR(__xludf.DUMMYFUNCTION("""COMPUTED_VALUE"""),"Volco")</f>
        <v>Volco</v>
      </c>
      <c r="E89" s="36" t="str">
        <f ca="1">IFERROR(__xludf.DUMMYFUNCTION("""COMPUTED_VALUE"""),"CABA")</f>
        <v>CABA</v>
      </c>
      <c r="F89" s="6" t="str">
        <f ca="1">IFERROR(__xludf.DUMMYFUNCTION("""COMPUTED_VALUE"""),"ARG")</f>
        <v>ARG</v>
      </c>
      <c r="G89" s="6">
        <f ca="1">IFERROR(__xludf.DUMMYFUNCTION("""COMPUTED_VALUE"""),50580988)</f>
        <v>50580988</v>
      </c>
      <c r="H89" s="37">
        <f ca="1">IFERROR(__xludf.DUMMYFUNCTION("""COMPUTED_VALUE"""),40456)</f>
        <v>40456</v>
      </c>
      <c r="I89" s="38">
        <f ca="1">IFERROR(__xludf.DUMMYFUNCTION("""COMPUTED_VALUE"""),1140731020)</f>
        <v>1140731020</v>
      </c>
      <c r="J89" s="38">
        <f ca="1">IFERROR(__xludf.DUMMYFUNCTION("""COMPUTED_VALUE"""),1140731020)</f>
        <v>1140731020</v>
      </c>
      <c r="K89" s="38" t="str">
        <f ca="1">IFERROR(__xludf.DUMMYFUNCTION("""COMPUTED_VALUE"""),"federico.volco@gmail.com")</f>
        <v>federico.volco@gmail.com</v>
      </c>
      <c r="L89" s="38" t="str">
        <f ca="1">IFERROR(__xludf.DUMMYFUNCTION("""COMPUTED_VALUE"""),"Femenino")</f>
        <v>Femenino</v>
      </c>
      <c r="M89" s="38" t="str">
        <f ca="1">IFERROR(__xludf.DUMMYFUNCTION("""COMPUTED_VALUE"""),"CVB")</f>
        <v>CVB</v>
      </c>
      <c r="N89" s="38" t="str">
        <f ca="1">IFERROR(__xludf.DUMMYFUNCTION("""COMPUTED_VALUE"""),"Femenino")</f>
        <v>Femenino</v>
      </c>
      <c r="O89" s="38" t="str">
        <f ca="1">IFERROR(__xludf.DUMMYFUNCTION("""COMPUTED_VALUE"""),"OPTIMIST PRINCIPIANTES")</f>
        <v>OPTIMIST PRINCIPIANTES</v>
      </c>
      <c r="P89" s="38"/>
      <c r="Q89" s="38">
        <f ca="1">IFERROR(__xludf.DUMMYFUNCTION("""COMPUTED_VALUE"""),3958)</f>
        <v>3958</v>
      </c>
      <c r="R89" s="38"/>
      <c r="S89" s="38"/>
      <c r="T89" s="38"/>
      <c r="U89" s="38"/>
      <c r="V89" s="38"/>
      <c r="W89" s="38"/>
      <c r="X89" s="38"/>
      <c r="Y89" s="38" t="str">
        <f ca="1">IFERROR(__xludf.DUMMYFUNCTION("""COMPUTED_VALUE"""),"OSDE")</f>
        <v>OSDE</v>
      </c>
      <c r="Z89" s="6" t="str">
        <f ca="1">IFERROR(__xludf.DUMMYFUNCTION("""COMPUTED_VALUE"""),"Si")</f>
        <v>Si</v>
      </c>
      <c r="AA89" s="6" t="str">
        <f ca="1">IFERROR(__xludf.DUMMYFUNCTION("""COMPUTED_VALUE"""),"Acepto")</f>
        <v>Acepto</v>
      </c>
      <c r="AB89" s="6" t="str">
        <f ca="1">IFERROR(__xludf.DUMMYFUNCTION("""COMPUTED_VALUE"""),"Terminado")</f>
        <v>Terminado</v>
      </c>
      <c r="AC89" s="6">
        <f ca="1">IFERROR(__xludf.DUMMYFUNCTION("""COMPUTED_VALUE"""),50000)</f>
        <v>50000</v>
      </c>
      <c r="AD89" s="6">
        <f ca="1">IFERROR(__xludf.DUMMYFUNCTION("""COMPUTED_VALUE"""),205076)</f>
        <v>205076</v>
      </c>
      <c r="AE89" s="6" t="str">
        <f ca="1">IFERROR(__xludf.DUMMYFUNCTION("""COMPUTED_VALUE"""),"Tarj 30-8")</f>
        <v>Tarj 30-8</v>
      </c>
      <c r="AF89" s="38"/>
      <c r="AG89" s="38"/>
    </row>
    <row r="90" spans="2:33" ht="13.2">
      <c r="B90" s="35">
        <f ca="1">IFERROR(__xludf.DUMMYFUNCTION("""COMPUTED_VALUE"""),45534.4195390393)</f>
        <v>45534.4195390393</v>
      </c>
      <c r="C90" s="36" t="str">
        <f ca="1">IFERROR(__xludf.DUMMYFUNCTION("""COMPUTED_VALUE"""),"Martina")</f>
        <v>Martina</v>
      </c>
      <c r="D90" s="36" t="str">
        <f ca="1">IFERROR(__xludf.DUMMYFUNCTION("""COMPUTED_VALUE"""),"Volco")</f>
        <v>Volco</v>
      </c>
      <c r="E90" s="36" t="str">
        <f ca="1">IFERROR(__xludf.DUMMYFUNCTION("""COMPUTED_VALUE"""),"CABA")</f>
        <v>CABA</v>
      </c>
      <c r="F90" s="6" t="str">
        <f ca="1">IFERROR(__xludf.DUMMYFUNCTION("""COMPUTED_VALUE"""),"ARG")</f>
        <v>ARG</v>
      </c>
      <c r="G90" s="6">
        <f ca="1">IFERROR(__xludf.DUMMYFUNCTION("""COMPUTED_VALUE"""),53474977)</f>
        <v>53474977</v>
      </c>
      <c r="H90" s="37">
        <f ca="1">IFERROR(__xludf.DUMMYFUNCTION("""COMPUTED_VALUE"""),41584)</f>
        <v>41584</v>
      </c>
      <c r="I90" s="38">
        <f ca="1">IFERROR(__xludf.DUMMYFUNCTION("""COMPUTED_VALUE"""),1140731020)</f>
        <v>1140731020</v>
      </c>
      <c r="J90" s="38">
        <f ca="1">IFERROR(__xludf.DUMMYFUNCTION("""COMPUTED_VALUE"""),1140731020)</f>
        <v>1140731020</v>
      </c>
      <c r="K90" s="38" t="str">
        <f ca="1">IFERROR(__xludf.DUMMYFUNCTION("""COMPUTED_VALUE"""),"federico.volco@gmail.com")</f>
        <v>federico.volco@gmail.com</v>
      </c>
      <c r="L90" s="38" t="str">
        <f ca="1">IFERROR(__xludf.DUMMYFUNCTION("""COMPUTED_VALUE"""),"Femenino")</f>
        <v>Femenino</v>
      </c>
      <c r="M90" s="38" t="str">
        <f ca="1">IFERROR(__xludf.DUMMYFUNCTION("""COMPUTED_VALUE"""),"CVB")</f>
        <v>CVB</v>
      </c>
      <c r="N90" s="38" t="str">
        <f ca="1">IFERROR(__xludf.DUMMYFUNCTION("""COMPUTED_VALUE"""),"Femenino")</f>
        <v>Femenino</v>
      </c>
      <c r="O90" s="38" t="str">
        <f ca="1">IFERROR(__xludf.DUMMYFUNCTION("""COMPUTED_VALUE"""),"OPTIMIST PRINCIPIANTES")</f>
        <v>OPTIMIST PRINCIPIANTES</v>
      </c>
      <c r="P90" s="38"/>
      <c r="Q90" s="38">
        <f ca="1">IFERROR(__xludf.DUMMYFUNCTION("""COMPUTED_VALUE"""),3702)</f>
        <v>3702</v>
      </c>
      <c r="R90" s="38"/>
      <c r="S90" s="38"/>
      <c r="T90" s="38"/>
      <c r="U90" s="38"/>
      <c r="V90" s="38"/>
      <c r="W90" s="38"/>
      <c r="X90" s="38"/>
      <c r="Y90" s="38" t="str">
        <f ca="1">IFERROR(__xludf.DUMMYFUNCTION("""COMPUTED_VALUE"""),"OSDE")</f>
        <v>OSDE</v>
      </c>
      <c r="Z90" s="6" t="str">
        <f ca="1">IFERROR(__xludf.DUMMYFUNCTION("""COMPUTED_VALUE"""),"Si")</f>
        <v>Si</v>
      </c>
      <c r="AA90" s="6" t="str">
        <f ca="1">IFERROR(__xludf.DUMMYFUNCTION("""COMPUTED_VALUE"""),"Acepto")</f>
        <v>Acepto</v>
      </c>
      <c r="AB90" s="6" t="str">
        <f ca="1">IFERROR(__xludf.DUMMYFUNCTION("""COMPUTED_VALUE"""),"Terminado")</f>
        <v>Terminado</v>
      </c>
      <c r="AC90" s="6">
        <f ca="1">IFERROR(__xludf.DUMMYFUNCTION("""COMPUTED_VALUE"""),50000)</f>
        <v>50000</v>
      </c>
      <c r="AD90" s="6">
        <f ca="1">IFERROR(__xludf.DUMMYFUNCTION("""COMPUTED_VALUE"""),205076)</f>
        <v>205076</v>
      </c>
      <c r="AE90" s="6" t="str">
        <f ca="1">IFERROR(__xludf.DUMMYFUNCTION("""COMPUTED_VALUE"""),"Tarj 30-8")</f>
        <v>Tarj 30-8</v>
      </c>
      <c r="AF90" s="38"/>
      <c r="AG90" s="38"/>
    </row>
    <row r="91" spans="2:33" ht="13.2">
      <c r="B91" s="35">
        <f ca="1">IFERROR(__xludf.DUMMYFUNCTION("""COMPUTED_VALUE"""),45534.732923912)</f>
        <v>45534.732923912001</v>
      </c>
      <c r="C91" s="36" t="str">
        <f ca="1">IFERROR(__xludf.DUMMYFUNCTION("""COMPUTED_VALUE"""),"Carolina")</f>
        <v>Carolina</v>
      </c>
      <c r="D91" s="36" t="str">
        <f ca="1">IFERROR(__xludf.DUMMYFUNCTION("""COMPUTED_VALUE"""),"Zardini Suarez")</f>
        <v>Zardini Suarez</v>
      </c>
      <c r="E91" s="36" t="str">
        <f ca="1">IFERROR(__xludf.DUMMYFUNCTION("""COMPUTED_VALUE"""),"Beccar")</f>
        <v>Beccar</v>
      </c>
      <c r="F91" s="6" t="str">
        <f ca="1">IFERROR(__xludf.DUMMYFUNCTION("""COMPUTED_VALUE"""),"ARG")</f>
        <v>ARG</v>
      </c>
      <c r="G91" s="6">
        <f ca="1">IFERROR(__xludf.DUMMYFUNCTION("""COMPUTED_VALUE"""),53336217)</f>
        <v>53336217</v>
      </c>
      <c r="H91" s="37">
        <f ca="1">IFERROR(__xludf.DUMMYFUNCTION("""COMPUTED_VALUE"""),41453)</f>
        <v>41453</v>
      </c>
      <c r="I91" s="38">
        <f ca="1">IFERROR(__xludf.DUMMYFUNCTION("""COMPUTED_VALUE"""),1167930157)</f>
        <v>1167930157</v>
      </c>
      <c r="J91" s="38">
        <f ca="1">IFERROR(__xludf.DUMMYFUNCTION("""COMPUTED_VALUE"""),1167930157)</f>
        <v>1167930157</v>
      </c>
      <c r="K91" s="38" t="str">
        <f ca="1">IFERROR(__xludf.DUMMYFUNCTION("""COMPUTED_VALUE"""),"rzardini@hotmail.com")</f>
        <v>rzardini@hotmail.com</v>
      </c>
      <c r="L91" s="38" t="str">
        <f ca="1">IFERROR(__xludf.DUMMYFUNCTION("""COMPUTED_VALUE"""),"Femenino")</f>
        <v>Femenino</v>
      </c>
      <c r="M91" s="38" t="str">
        <f ca="1">IFERROR(__xludf.DUMMYFUNCTION("""COMPUTED_VALUE"""),"CGLNM")</f>
        <v>CGLNM</v>
      </c>
      <c r="N91" s="38" t="str">
        <f ca="1">IFERROR(__xludf.DUMMYFUNCTION("""COMPUTED_VALUE"""),"Femenino")</f>
        <v>Femenino</v>
      </c>
      <c r="O91" s="38" t="str">
        <f ca="1">IFERROR(__xludf.DUMMYFUNCTION("""COMPUTED_VALUE"""),"OPTIMIST PRINCIPIANTES")</f>
        <v>OPTIMIST PRINCIPIANTES</v>
      </c>
      <c r="P91" s="38"/>
      <c r="Q91" s="38">
        <f ca="1">IFERROR(__xludf.DUMMYFUNCTION("""COMPUTED_VALUE"""),3580)</f>
        <v>3580</v>
      </c>
      <c r="R91" s="38" t="str">
        <f ca="1">IFERROR(__xludf.DUMMYFUNCTION("""COMPUTED_VALUE"""),"Millas")</f>
        <v>Millas</v>
      </c>
      <c r="S91" s="38"/>
      <c r="T91" s="38"/>
      <c r="U91" s="38"/>
      <c r="V91" s="38"/>
      <c r="W91" s="38"/>
      <c r="X91" s="38"/>
      <c r="Y91" s="38" t="str">
        <f ca="1">IFERROR(__xludf.DUMMYFUNCTION("""COMPUTED_VALUE"""),"Osde 62902805104")</f>
        <v>Osde 62902805104</v>
      </c>
      <c r="Z91" s="6" t="str">
        <f ca="1">IFERROR(__xludf.DUMMYFUNCTION("""COMPUTED_VALUE"""),"Si")</f>
        <v>Si</v>
      </c>
      <c r="AA91" s="6" t="str">
        <f ca="1">IFERROR(__xludf.DUMMYFUNCTION("""COMPUTED_VALUE"""),"Acepto")</f>
        <v>Acepto</v>
      </c>
      <c r="AB91" s="6" t="str">
        <f ca="1">IFERROR(__xludf.DUMMYFUNCTION("""COMPUTED_VALUE"""),"Terminado")</f>
        <v>Terminado</v>
      </c>
      <c r="AC91" s="6">
        <f ca="1">IFERROR(__xludf.DUMMYFUNCTION("""COMPUTED_VALUE"""),50000)</f>
        <v>50000</v>
      </c>
      <c r="AD91" s="6">
        <f ca="1">IFERROR(__xludf.DUMMYFUNCTION("""COMPUTED_VALUE"""),205123)</f>
        <v>205123</v>
      </c>
      <c r="AE91" s="6" t="str">
        <f ca="1">IFERROR(__xludf.DUMMYFUNCTION("""COMPUTED_VALUE"""),"TRF 30-08")</f>
        <v>TRF 30-08</v>
      </c>
      <c r="AF91" s="38"/>
      <c r="AG91" s="38"/>
    </row>
    <row r="92" spans="2:33" ht="13.2">
      <c r="B92" s="35">
        <f ca="1">IFERROR(__xludf.DUMMYFUNCTION("""COMPUTED_VALUE"""),45534.7283050694)</f>
        <v>45534.728305069402</v>
      </c>
      <c r="C92" s="36" t="str">
        <f ca="1">IFERROR(__xludf.DUMMYFUNCTION("""COMPUTED_VALUE"""),"Fernando")</f>
        <v>Fernando</v>
      </c>
      <c r="D92" s="36" t="str">
        <f ca="1">IFERROR(__xludf.DUMMYFUNCTION("""COMPUTED_VALUE"""),"Zardini Suárez ")</f>
        <v xml:space="preserve">Zardini Suárez </v>
      </c>
      <c r="E92" s="36" t="str">
        <f ca="1">IFERROR(__xludf.DUMMYFUNCTION("""COMPUTED_VALUE"""),"Beccar San Isidro")</f>
        <v>Beccar San Isidro</v>
      </c>
      <c r="F92" s="6" t="str">
        <f ca="1">IFERROR(__xludf.DUMMYFUNCTION("""COMPUTED_VALUE"""),"ARG")</f>
        <v>ARG</v>
      </c>
      <c r="G92" s="6">
        <f ca="1">IFERROR(__xludf.DUMMYFUNCTION("""COMPUTED_VALUE"""),52697717)</f>
        <v>52697717</v>
      </c>
      <c r="H92" s="37">
        <f ca="1">IFERROR(__xludf.DUMMYFUNCTION("""COMPUTED_VALUE"""),44429)</f>
        <v>44429</v>
      </c>
      <c r="I92" s="38">
        <f ca="1">IFERROR(__xludf.DUMMYFUNCTION("""COMPUTED_VALUE"""),1167930157)</f>
        <v>1167930157</v>
      </c>
      <c r="J92" s="38">
        <f ca="1">IFERROR(__xludf.DUMMYFUNCTION("""COMPUTED_VALUE"""),1167930157)</f>
        <v>1167930157</v>
      </c>
      <c r="K92" s="38" t="str">
        <f ca="1">IFERROR(__xludf.DUMMYFUNCTION("""COMPUTED_VALUE"""),"rzardini@hotmail.com")</f>
        <v>rzardini@hotmail.com</v>
      </c>
      <c r="L92" s="38" t="str">
        <f ca="1">IFERROR(__xludf.DUMMYFUNCTION("""COMPUTED_VALUE"""),"Masculino")</f>
        <v>Masculino</v>
      </c>
      <c r="M92" s="38" t="str">
        <f ca="1">IFERROR(__xludf.DUMMYFUNCTION("""COMPUTED_VALUE"""),"CGLNM")</f>
        <v>CGLNM</v>
      </c>
      <c r="N92" s="38" t="str">
        <f ca="1">IFERROR(__xludf.DUMMYFUNCTION("""COMPUTED_VALUE"""),"Interior (Optimist)")</f>
        <v>Interior (Optimist)</v>
      </c>
      <c r="O92" s="38" t="str">
        <f ca="1">IFERROR(__xludf.DUMMYFUNCTION("""COMPUTED_VALUE"""),"OPTIMIST PRINCIPIANTES")</f>
        <v>OPTIMIST PRINCIPIANTES</v>
      </c>
      <c r="P92" s="38"/>
      <c r="Q92" s="38">
        <f ca="1">IFERROR(__xludf.DUMMYFUNCTION("""COMPUTED_VALUE"""),3554)</f>
        <v>3554</v>
      </c>
      <c r="R92" s="38" t="str">
        <f ca="1">IFERROR(__xludf.DUMMYFUNCTION("""COMPUTED_VALUE"""),"Meteoro")</f>
        <v>Meteoro</v>
      </c>
      <c r="S92" s="38"/>
      <c r="T92" s="38"/>
      <c r="U92" s="38"/>
      <c r="V92" s="38"/>
      <c r="W92" s="38"/>
      <c r="X92" s="38"/>
      <c r="Y92" s="38" t="str">
        <f ca="1">IFERROR(__xludf.DUMMYFUNCTION("""COMPUTED_VALUE"""),"Osde 62902805103")</f>
        <v>Osde 62902805103</v>
      </c>
      <c r="Z92" s="6" t="str">
        <f ca="1">IFERROR(__xludf.DUMMYFUNCTION("""COMPUTED_VALUE"""),"Si")</f>
        <v>Si</v>
      </c>
      <c r="AA92" s="6" t="str">
        <f ca="1">IFERROR(__xludf.DUMMYFUNCTION("""COMPUTED_VALUE"""),"Acepto")</f>
        <v>Acepto</v>
      </c>
      <c r="AB92" s="6" t="str">
        <f ca="1">IFERROR(__xludf.DUMMYFUNCTION("""COMPUTED_VALUE"""),"Terminado")</f>
        <v>Terminado</v>
      </c>
      <c r="AC92" s="6">
        <f ca="1">IFERROR(__xludf.DUMMYFUNCTION("""COMPUTED_VALUE"""),50000)</f>
        <v>50000</v>
      </c>
      <c r="AD92" s="6">
        <f ca="1">IFERROR(__xludf.DUMMYFUNCTION("""COMPUTED_VALUE"""),205125)</f>
        <v>205125</v>
      </c>
      <c r="AE92" s="6" t="str">
        <f ca="1">IFERROR(__xludf.DUMMYFUNCTION("""COMPUTED_VALUE"""),"TRF 30-08")</f>
        <v>TRF 30-08</v>
      </c>
      <c r="AF92" s="38"/>
      <c r="AG92" s="38"/>
    </row>
    <row r="93" spans="2:33" ht="13.2">
      <c r="B93" s="35">
        <f ca="1">IFERROR(__xludf.DUMMYFUNCTION("""COMPUTED_VALUE"""),45534.76825375)</f>
        <v>45534.76825375</v>
      </c>
      <c r="C93" s="36" t="str">
        <f ca="1">IFERROR(__xludf.DUMMYFUNCTION("""COMPUTED_VALUE"""),"Marcos")</f>
        <v>Marcos</v>
      </c>
      <c r="D93" s="36" t="str">
        <f ca="1">IFERROR(__xludf.DUMMYFUNCTION("""COMPUTED_VALUE"""),"Zorraquin")</f>
        <v>Zorraquin</v>
      </c>
      <c r="E93" s="36" t="str">
        <f ca="1">IFERROR(__xludf.DUMMYFUNCTION("""COMPUTED_VALUE"""),"Buenos Aires")</f>
        <v>Buenos Aires</v>
      </c>
      <c r="F93" s="6" t="str">
        <f ca="1">IFERROR(__xludf.DUMMYFUNCTION("""COMPUTED_VALUE"""),"ARG")</f>
        <v>ARG</v>
      </c>
      <c r="G93" s="6">
        <f ca="1">IFERROR(__xludf.DUMMYFUNCTION("""COMPUTED_VALUE"""),53878557)</f>
        <v>53878557</v>
      </c>
      <c r="H93" s="37">
        <f ca="1">IFERROR(__xludf.DUMMYFUNCTION("""COMPUTED_VALUE"""),41728)</f>
        <v>41728</v>
      </c>
      <c r="I93" s="38">
        <f ca="1">IFERROR(__xludf.DUMMYFUNCTION("""COMPUTED_VALUE"""),1149365363)</f>
        <v>1149365363</v>
      </c>
      <c r="J93" s="38">
        <f ca="1">IFERROR(__xludf.DUMMYFUNCTION("""COMPUTED_VALUE"""),1141773095)</f>
        <v>1141773095</v>
      </c>
      <c r="K93" s="38" t="str">
        <f ca="1">IFERROR(__xludf.DUMMYFUNCTION("""COMPUTED_VALUE"""),"gzorraquin@gmail.com")</f>
        <v>gzorraquin@gmail.com</v>
      </c>
      <c r="L93" s="38" t="str">
        <f ca="1">IFERROR(__xludf.DUMMYFUNCTION("""COMPUTED_VALUE"""),"Masculino")</f>
        <v>Masculino</v>
      </c>
      <c r="M93" s="38" t="str">
        <f ca="1">IFERROR(__xludf.DUMMYFUNCTION("""COMPUTED_VALUE"""),"CNSI")</f>
        <v>CNSI</v>
      </c>
      <c r="N93" s="38" t="str">
        <f ca="1">IFERROR(__xludf.DUMMYFUNCTION("""COMPUTED_VALUE"""),"Interior (Optimist)")</f>
        <v>Interior (Optimist)</v>
      </c>
      <c r="O93" s="38" t="str">
        <f ca="1">IFERROR(__xludf.DUMMYFUNCTION("""COMPUTED_VALUE"""),"OPTIMIST PRINCIPIANTES")</f>
        <v>OPTIMIST PRINCIPIANTES</v>
      </c>
      <c r="P93" s="38"/>
      <c r="Q93" s="38">
        <f ca="1">IFERROR(__xludf.DUMMYFUNCTION("""COMPUTED_VALUE"""),3610)</f>
        <v>3610</v>
      </c>
      <c r="R93" s="38"/>
      <c r="S93" s="38"/>
      <c r="T93" s="38"/>
      <c r="U93" s="38"/>
      <c r="V93" s="38"/>
      <c r="W93" s="38"/>
      <c r="X93" s="38"/>
      <c r="Y93" s="38" t="str">
        <f ca="1">IFERROR(__xludf.DUMMYFUNCTION("""COMPUTED_VALUE"""),"Osde")</f>
        <v>Osde</v>
      </c>
      <c r="Z93" s="6" t="str">
        <f ca="1">IFERROR(__xludf.DUMMYFUNCTION("""COMPUTED_VALUE"""),"Si")</f>
        <v>Si</v>
      </c>
      <c r="AA93" s="6" t="str">
        <f ca="1">IFERROR(__xludf.DUMMYFUNCTION("""COMPUTED_VALUE"""),"Acepto")</f>
        <v>Acepto</v>
      </c>
      <c r="AB93" s="6" t="str">
        <f ca="1">IFERROR(__xludf.DUMMYFUNCTION("""COMPUTED_VALUE"""),"Terminado")</f>
        <v>Terminado</v>
      </c>
      <c r="AC93" s="6">
        <f ca="1">IFERROR(__xludf.DUMMYFUNCTION("""COMPUTED_VALUE"""),50000)</f>
        <v>50000</v>
      </c>
      <c r="AD93" s="6">
        <f ca="1">IFERROR(__xludf.DUMMYFUNCTION("""COMPUTED_VALUE"""),205131)</f>
        <v>205131</v>
      </c>
      <c r="AE93" s="6" t="str">
        <f ca="1">IFERROR(__xludf.DUMMYFUNCTION("""COMPUTED_VALUE"""),"TRF 30-08")</f>
        <v>TRF 30-08</v>
      </c>
      <c r="AF93" s="38"/>
      <c r="AG93" s="38"/>
    </row>
    <row r="94" spans="2:33" ht="13.2">
      <c r="B94" s="35">
        <f ca="1">IFERROR(__xludf.DUMMYFUNCTION("""COMPUTED_VALUE"""),45540.9040813194)</f>
        <v>45540.904081319401</v>
      </c>
      <c r="C94" s="36" t="str">
        <f ca="1">IFERROR(__xludf.DUMMYFUNCTION("""COMPUTED_VALUE"""),"Tomás")</f>
        <v>Tomás</v>
      </c>
      <c r="D94" s="36" t="str">
        <f ca="1">IFERROR(__xludf.DUMMYFUNCTION("""COMPUTED_VALUE"""),"Nirich Smerling ")</f>
        <v xml:space="preserve">Nirich Smerling </v>
      </c>
      <c r="E94" s="36" t="str">
        <f ca="1">IFERROR(__xludf.DUMMYFUNCTION("""COMPUTED_VALUE"""),"SAN ISIDRO")</f>
        <v>SAN ISIDRO</v>
      </c>
      <c r="F94" s="6" t="str">
        <f ca="1">IFERROR(__xludf.DUMMYFUNCTION("""COMPUTED_VALUE"""),"ARG")</f>
        <v>ARG</v>
      </c>
      <c r="G94" s="6">
        <f ca="1">IFERROR(__xludf.DUMMYFUNCTION("""COMPUTED_VALUE"""),50509631)</f>
        <v>50509631</v>
      </c>
      <c r="H94" s="37">
        <f ca="1">IFERROR(__xludf.DUMMYFUNCTION("""COMPUTED_VALUE"""),40424)</f>
        <v>40424</v>
      </c>
      <c r="I94" s="38" t="str">
        <f ca="1">IFERROR(__xludf.DUMMYFUNCTION("""COMPUTED_VALUE"""),"11 40464258 ")</f>
        <v xml:space="preserve">11 40464258 </v>
      </c>
      <c r="J94" s="38" t="str">
        <f ca="1">IFERROR(__xludf.DUMMYFUNCTION("""COMPUTED_VALUE"""),"11 40464258 ")</f>
        <v xml:space="preserve">11 40464258 </v>
      </c>
      <c r="K94" s="38" t="str">
        <f ca="1">IFERROR(__xludf.DUMMYFUNCTION("""COMPUTED_VALUE"""),"Tamarasmerling@gmail.com")</f>
        <v>Tamarasmerling@gmail.com</v>
      </c>
      <c r="L94" s="38" t="str">
        <f ca="1">IFERROR(__xludf.DUMMYFUNCTION("""COMPUTED_VALUE"""),"Masculino")</f>
        <v>Masculino</v>
      </c>
      <c r="M94" s="38" t="str">
        <f ca="1">IFERROR(__xludf.DUMMYFUNCTION("""COMPUTED_VALUE"""),"CVSI ")</f>
        <v xml:space="preserve">CVSI </v>
      </c>
      <c r="N94" s="38" t="str">
        <f ca="1">IFERROR(__xludf.DUMMYFUNCTION("""COMPUTED_VALUE"""),"Interior (Optimist)")</f>
        <v>Interior (Optimist)</v>
      </c>
      <c r="O94" s="38" t="str">
        <f ca="1">IFERROR(__xludf.DUMMYFUNCTION("""COMPUTED_VALUE"""),"OPTIMIST PRINCIPIANTES")</f>
        <v>OPTIMIST PRINCIPIANTES</v>
      </c>
      <c r="P94" s="38"/>
      <c r="Q94" s="38">
        <f ca="1">IFERROR(__xludf.DUMMYFUNCTION("""COMPUTED_VALUE"""),3919)</f>
        <v>3919</v>
      </c>
      <c r="R94" s="38" t="str">
        <f ca="1">IFERROR(__xludf.DUMMYFUNCTION("""COMPUTED_VALUE"""),"Fresco ")</f>
        <v xml:space="preserve">Fresco </v>
      </c>
      <c r="S94" s="38"/>
      <c r="T94" s="38"/>
      <c r="U94" s="38"/>
      <c r="V94" s="38"/>
      <c r="W94" s="38"/>
      <c r="X94" s="38"/>
      <c r="Y94" s="38"/>
      <c r="Z94" s="6" t="str">
        <f ca="1">IFERROR(__xludf.DUMMYFUNCTION("""COMPUTED_VALUE"""),"Si")</f>
        <v>Si</v>
      </c>
      <c r="AA94" s="6" t="str">
        <f ca="1">IFERROR(__xludf.DUMMYFUNCTION("""COMPUTED_VALUE"""),"Acepto")</f>
        <v>Acepto</v>
      </c>
      <c r="AB94" s="6" t="str">
        <f ca="1">IFERROR(__xludf.DUMMYFUNCTION("""COMPUTED_VALUE"""),"Pendiente")</f>
        <v>Pendiente</v>
      </c>
      <c r="AC94" s="6"/>
      <c r="AD94" s="6"/>
      <c r="AE94" s="6"/>
      <c r="AF94" s="38"/>
      <c r="AG94" s="38"/>
    </row>
    <row r="95" spans="2:33" ht="13.2">
      <c r="B95" s="35">
        <f ca="1">IFERROR(__xludf.DUMMYFUNCTION("""COMPUTED_VALUE"""),45541.4964185069)</f>
        <v>45541.496418506897</v>
      </c>
      <c r="C95" s="36" t="str">
        <f ca="1">IFERROR(__xludf.DUMMYFUNCTION("""COMPUTED_VALUE"""),"Alma ")</f>
        <v xml:space="preserve">Alma </v>
      </c>
      <c r="D95" s="36" t="str">
        <f ca="1">IFERROR(__xludf.DUMMYFUNCTION("""COMPUTED_VALUE"""),"Plou Peñafort")</f>
        <v>Plou Peñafort</v>
      </c>
      <c r="E95" s="36" t="str">
        <f ca="1">IFERROR(__xludf.DUMMYFUNCTION("""COMPUTED_VALUE"""),"San Isidro")</f>
        <v>San Isidro</v>
      </c>
      <c r="F95" s="6" t="str">
        <f ca="1">IFERROR(__xludf.DUMMYFUNCTION("""COMPUTED_VALUE"""),"ARG")</f>
        <v>ARG</v>
      </c>
      <c r="G95" s="6">
        <f ca="1">IFERROR(__xludf.DUMMYFUNCTION("""COMPUTED_VALUE"""),51069680)</f>
        <v>51069680</v>
      </c>
      <c r="H95" s="37">
        <f ca="1">IFERROR(__xludf.DUMMYFUNCTION("""COMPUTED_VALUE"""),40630)</f>
        <v>40630</v>
      </c>
      <c r="I95" s="38">
        <f ca="1">IFERROR(__xludf.DUMMYFUNCTION("""COMPUTED_VALUE"""),1167024533)</f>
        <v>1167024533</v>
      </c>
      <c r="J95" s="38">
        <f ca="1">IFERROR(__xludf.DUMMYFUNCTION("""COMPUTED_VALUE"""),1167024533)</f>
        <v>1167024533</v>
      </c>
      <c r="K95" s="38" t="str">
        <f ca="1">IFERROR(__xludf.DUMMYFUNCTION("""COMPUTED_VALUE"""),"lilipenafort76@gmail.com ")</f>
        <v xml:space="preserve">lilipenafort76@gmail.com </v>
      </c>
      <c r="L95" s="38" t="str">
        <f ca="1">IFERROR(__xludf.DUMMYFUNCTION("""COMPUTED_VALUE"""),"Femenino")</f>
        <v>Femenino</v>
      </c>
      <c r="M95" s="38" t="str">
        <f ca="1">IFERROR(__xludf.DUMMYFUNCTION("""COMPUTED_VALUE"""),"CPNLB")</f>
        <v>CPNLB</v>
      </c>
      <c r="N95" s="38" t="str">
        <f ca="1">IFERROR(__xludf.DUMMYFUNCTION("""COMPUTED_VALUE"""),"Femenino")</f>
        <v>Femenino</v>
      </c>
      <c r="O95" s="38" t="str">
        <f ca="1">IFERROR(__xludf.DUMMYFUNCTION("""COMPUTED_VALUE"""),"OPTIMIST PRINCIPIANTES")</f>
        <v>OPTIMIST PRINCIPIANTES</v>
      </c>
      <c r="P95" s="38"/>
      <c r="Q95" s="38">
        <f ca="1">IFERROR(__xludf.DUMMYFUNCTION("""COMPUTED_VALUE"""),18910)</f>
        <v>18910</v>
      </c>
      <c r="R95" s="38"/>
      <c r="S95" s="38" t="str">
        <f ca="1">IFERROR(__xludf.DUMMYFUNCTION("""COMPUTED_VALUE"""),"Alma Plou Peñafort")</f>
        <v>Alma Plou Peñafort</v>
      </c>
      <c r="T95" s="38"/>
      <c r="U95" s="38"/>
      <c r="V95" s="38"/>
      <c r="W95" s="38"/>
      <c r="X95" s="38"/>
      <c r="Y95" s="38" t="str">
        <f ca="1">IFERROR(__xludf.DUMMYFUNCTION("""COMPUTED_VALUE"""),"OSDE")</f>
        <v>OSDE</v>
      </c>
      <c r="Z95" s="6" t="str">
        <f ca="1">IFERROR(__xludf.DUMMYFUNCTION("""COMPUTED_VALUE"""),"Si")</f>
        <v>Si</v>
      </c>
      <c r="AA95" s="6" t="str">
        <f ca="1">IFERROR(__xludf.DUMMYFUNCTION("""COMPUTED_VALUE"""),"Acepto")</f>
        <v>Acepto</v>
      </c>
      <c r="AB95" s="6" t="str">
        <f ca="1">IFERROR(__xludf.DUMMYFUNCTION("""COMPUTED_VALUE"""),"Pendiente")</f>
        <v>Pendiente</v>
      </c>
      <c r="AC95" s="6"/>
      <c r="AD95" s="6"/>
      <c r="AE95" s="6"/>
      <c r="AF95" s="38"/>
      <c r="AG95" s="38"/>
    </row>
    <row r="96" spans="2:33" ht="13.2">
      <c r="B96" s="35">
        <f ca="1">IFERROR(__xludf.DUMMYFUNCTION("""COMPUTED_VALUE"""),45541.7726052662)</f>
        <v>45541.772605266196</v>
      </c>
      <c r="C96" s="36" t="str">
        <f ca="1">IFERROR(__xludf.DUMMYFUNCTION("""COMPUTED_VALUE"""),"Franco ")</f>
        <v xml:space="preserve">Franco </v>
      </c>
      <c r="D96" s="36" t="str">
        <f ca="1">IFERROR(__xludf.DUMMYFUNCTION("""COMPUTED_VALUE"""),"Baldi")</f>
        <v>Baldi</v>
      </c>
      <c r="E96" s="36" t="str">
        <f ca="1">IFERROR(__xludf.DUMMYFUNCTION("""COMPUTED_VALUE"""),"CABA")</f>
        <v>CABA</v>
      </c>
      <c r="F96" s="6" t="str">
        <f ca="1">IFERROR(__xludf.DUMMYFUNCTION("""COMPUTED_VALUE"""),"ARG")</f>
        <v>ARG</v>
      </c>
      <c r="G96" s="6">
        <f ca="1">IFERROR(__xludf.DUMMYFUNCTION("""COMPUTED_VALUE"""),53722572)</f>
        <v>53722572</v>
      </c>
      <c r="H96" s="37">
        <f ca="1">IFERROR(__xludf.DUMMYFUNCTION("""COMPUTED_VALUE"""),41677)</f>
        <v>41677</v>
      </c>
      <c r="I96" s="38">
        <f ca="1">IFERROR(__xludf.DUMMYFUNCTION("""COMPUTED_VALUE"""),561273635)</f>
        <v>561273635</v>
      </c>
      <c r="J96" s="38">
        <f ca="1">IFERROR(__xludf.DUMMYFUNCTION("""COMPUTED_VALUE"""),561273635)</f>
        <v>561273635</v>
      </c>
      <c r="K96" s="38" t="str">
        <f ca="1">IFERROR(__xludf.DUMMYFUNCTION("""COMPUTED_VALUE"""),"baldijulio@hotmail.com")</f>
        <v>baldijulio@hotmail.com</v>
      </c>
      <c r="L96" s="38" t="str">
        <f ca="1">IFERROR(__xludf.DUMMYFUNCTION("""COMPUTED_VALUE"""),"Masculino")</f>
        <v>Masculino</v>
      </c>
      <c r="M96" s="38" t="str">
        <f ca="1">IFERROR(__xludf.DUMMYFUNCTION("""COMPUTED_VALUE"""),"YCA")</f>
        <v>YCA</v>
      </c>
      <c r="N96" s="38" t="str">
        <f ca="1">IFERROR(__xludf.DUMMYFUNCTION("""COMPUTED_VALUE"""),"Interior (Optimist)")</f>
        <v>Interior (Optimist)</v>
      </c>
      <c r="O96" s="38" t="str">
        <f ca="1">IFERROR(__xludf.DUMMYFUNCTION("""COMPUTED_VALUE"""),"OPTIMIST PRINCIPIANTES")</f>
        <v>OPTIMIST PRINCIPIANTES</v>
      </c>
      <c r="P96" s="38"/>
      <c r="Q96" s="38">
        <f ca="1">IFERROR(__xludf.DUMMYFUNCTION("""COMPUTED_VALUE"""),3532)</f>
        <v>3532</v>
      </c>
      <c r="R96" s="38" t="str">
        <f ca="1">IFERROR(__xludf.DUMMYFUNCTION("""COMPUTED_VALUE"""),"FENIX")</f>
        <v>FENIX</v>
      </c>
      <c r="S96" s="38"/>
      <c r="T96" s="38"/>
      <c r="U96" s="38"/>
      <c r="V96" s="38"/>
      <c r="W96" s="38"/>
      <c r="X96" s="38"/>
      <c r="Y96" s="38" t="str">
        <f ca="1">IFERROR(__xludf.DUMMYFUNCTION("""COMPUTED_VALUE"""),"DOSUBA")</f>
        <v>DOSUBA</v>
      </c>
      <c r="Z96" s="6" t="str">
        <f ca="1">IFERROR(__xludf.DUMMYFUNCTION("""COMPUTED_VALUE"""),"No")</f>
        <v>No</v>
      </c>
      <c r="AA96" s="6" t="str">
        <f ca="1">IFERROR(__xludf.DUMMYFUNCTION("""COMPUTED_VALUE"""),"Acepto")</f>
        <v>Acepto</v>
      </c>
      <c r="AB96" s="6" t="str">
        <f ca="1">IFERROR(__xludf.DUMMYFUNCTION("""COMPUTED_VALUE"""),"Pendiente")</f>
        <v>Pendiente</v>
      </c>
      <c r="AC96" s="6"/>
      <c r="AD96" s="6"/>
      <c r="AE96" s="6"/>
      <c r="AF96" s="38"/>
      <c r="AG96" s="38"/>
    </row>
    <row r="97" spans="2:33" ht="13.2">
      <c r="B97" s="35">
        <f ca="1">IFERROR(__xludf.DUMMYFUNCTION("""COMPUTED_VALUE"""),45541.8190563194)</f>
        <v>45541.8190563194</v>
      </c>
      <c r="C97" s="36" t="str">
        <f ca="1">IFERROR(__xludf.DUMMYFUNCTION("""COMPUTED_VALUE"""),"GIULIANA")</f>
        <v>GIULIANA</v>
      </c>
      <c r="D97" s="36" t="str">
        <f ca="1">IFERROR(__xludf.DUMMYFUNCTION("""COMPUTED_VALUE"""),"CAREAGA COTTINI")</f>
        <v>CAREAGA COTTINI</v>
      </c>
      <c r="E97" s="36" t="str">
        <f ca="1">IFERROR(__xludf.DUMMYFUNCTION("""COMPUTED_VALUE"""),"SAN ISIDRO")</f>
        <v>SAN ISIDRO</v>
      </c>
      <c r="F97" s="6" t="str">
        <f ca="1">IFERROR(__xludf.DUMMYFUNCTION("""COMPUTED_VALUE"""),"ARG")</f>
        <v>ARG</v>
      </c>
      <c r="G97" s="6">
        <f ca="1">IFERROR(__xludf.DUMMYFUNCTION("""COMPUTED_VALUE"""),53208064)</f>
        <v>53208064</v>
      </c>
      <c r="H97" s="37">
        <f ca="1">IFERROR(__xludf.DUMMYFUNCTION("""COMPUTED_VALUE"""),41417)</f>
        <v>41417</v>
      </c>
      <c r="I97" s="38" t="str">
        <f ca="1">IFERROR(__xludf.DUMMYFUNCTION("""COMPUTED_VALUE"""),"0111555026751")</f>
        <v>0111555026751</v>
      </c>
      <c r="J97" s="38" t="str">
        <f ca="1">IFERROR(__xludf.DUMMYFUNCTION("""COMPUTED_VALUE"""),"0111555026751")</f>
        <v>0111555026751</v>
      </c>
      <c r="K97" s="38" t="str">
        <f ca="1">IFERROR(__xludf.DUMMYFUNCTION("""COMPUTED_VALUE"""),"estudiocareaga@gmail.com")</f>
        <v>estudiocareaga@gmail.com</v>
      </c>
      <c r="L97" s="38" t="str">
        <f ca="1">IFERROR(__xludf.DUMMYFUNCTION("""COMPUTED_VALUE"""),"Femenino")</f>
        <v>Femenino</v>
      </c>
      <c r="M97" s="38" t="str">
        <f ca="1">IFERROR(__xludf.DUMMYFUNCTION("""COMPUTED_VALUE"""),"CNSE")</f>
        <v>CNSE</v>
      </c>
      <c r="N97" s="38" t="str">
        <f ca="1">IFERROR(__xludf.DUMMYFUNCTION("""COMPUTED_VALUE"""),"Femenino")</f>
        <v>Femenino</v>
      </c>
      <c r="O97" s="38" t="str">
        <f ca="1">IFERROR(__xludf.DUMMYFUNCTION("""COMPUTED_VALUE"""),"OPTIMIST PRINCIPIANTES")</f>
        <v>OPTIMIST PRINCIPIANTES</v>
      </c>
      <c r="P97" s="38"/>
      <c r="Q97" s="38">
        <f ca="1">IFERROR(__xludf.DUMMYFUNCTION("""COMPUTED_VALUE"""),3458)</f>
        <v>3458</v>
      </c>
      <c r="R97" s="38" t="str">
        <f ca="1">IFERROR(__xludf.DUMMYFUNCTION("""COMPUTED_VALUE"""),"FLASHITO")</f>
        <v>FLASHITO</v>
      </c>
      <c r="S97" s="38"/>
      <c r="T97" s="38"/>
      <c r="U97" s="38"/>
      <c r="V97" s="38"/>
      <c r="W97" s="38"/>
      <c r="X97" s="38"/>
      <c r="Y97" s="38" t="str">
        <f ca="1">IFERROR(__xludf.DUMMYFUNCTION("""COMPUTED_VALUE"""),"OMINT")</f>
        <v>OMINT</v>
      </c>
      <c r="Z97" s="6" t="str">
        <f ca="1">IFERROR(__xludf.DUMMYFUNCTION("""COMPUTED_VALUE"""),"Si")</f>
        <v>Si</v>
      </c>
      <c r="AA97" s="6" t="str">
        <f ca="1">IFERROR(__xludf.DUMMYFUNCTION("""COMPUTED_VALUE"""),"Acepto")</f>
        <v>Acepto</v>
      </c>
      <c r="AB97" s="6" t="str">
        <f ca="1">IFERROR(__xludf.DUMMYFUNCTION("""COMPUTED_VALUE"""),"Pendiente")</f>
        <v>Pendiente</v>
      </c>
      <c r="AC97" s="6"/>
      <c r="AD97" s="6"/>
      <c r="AE97" s="6"/>
      <c r="AF97" s="38"/>
      <c r="AG97" s="38"/>
    </row>
    <row r="98" spans="2:33" ht="13.2">
      <c r="B98" s="35">
        <f ca="1">IFERROR(__xludf.DUMMYFUNCTION("""COMPUTED_VALUE"""),45541.8202491666)</f>
        <v>45541.820249166602</v>
      </c>
      <c r="C98" s="36" t="str">
        <f ca="1">IFERROR(__xludf.DUMMYFUNCTION("""COMPUTED_VALUE"""),"Maria Dolores")</f>
        <v>Maria Dolores</v>
      </c>
      <c r="D98" s="36" t="str">
        <f ca="1">IFERROR(__xludf.DUMMYFUNCTION("""COMPUTED_VALUE"""),"Azar")</f>
        <v>Azar</v>
      </c>
      <c r="E98" s="36" t="str">
        <f ca="1">IFERROR(__xludf.DUMMYFUNCTION("""COMPUTED_VALUE"""),"La Plata")</f>
        <v>La Plata</v>
      </c>
      <c r="F98" s="6" t="str">
        <f ca="1">IFERROR(__xludf.DUMMYFUNCTION("""COMPUTED_VALUE"""),"ARG")</f>
        <v>ARG</v>
      </c>
      <c r="G98" s="6">
        <f ca="1">IFERROR(__xludf.DUMMYFUNCTION("""COMPUTED_VALUE"""),50653382)</f>
        <v>50653382</v>
      </c>
      <c r="H98" s="37">
        <f ca="1">IFERROR(__xludf.DUMMYFUNCTION("""COMPUTED_VALUE"""),40478)</f>
        <v>40478</v>
      </c>
      <c r="I98" s="38">
        <f ca="1">IFERROR(__xludf.DUMMYFUNCTION("""COMPUTED_VALUE"""),2215749477)</f>
        <v>2215749477</v>
      </c>
      <c r="J98" s="38">
        <f ca="1">IFERROR(__xludf.DUMMYFUNCTION("""COMPUTED_VALUE"""),2216426873)</f>
        <v>2216426873</v>
      </c>
      <c r="K98" s="38" t="str">
        <f ca="1">IFERROR(__xludf.DUMMYFUNCTION("""COMPUTED_VALUE"""),"od.emilioazar@gmail.com")</f>
        <v>od.emilioazar@gmail.com</v>
      </c>
      <c r="L98" s="38" t="str">
        <f ca="1">IFERROR(__xludf.DUMMYFUNCTION("""COMPUTED_VALUE"""),"Femenino")</f>
        <v>Femenino</v>
      </c>
      <c r="M98" s="38" t="str">
        <f ca="1">IFERROR(__xludf.DUMMYFUNCTION("""COMPUTED_VALUE"""),"CRLP")</f>
        <v>CRLP</v>
      </c>
      <c r="N98" s="38" t="str">
        <f ca="1">IFERROR(__xludf.DUMMYFUNCTION("""COMPUTED_VALUE"""),"Femenino, Interior (Optimist)")</f>
        <v>Femenino, Interior (Optimist)</v>
      </c>
      <c r="O98" s="38" t="str">
        <f ca="1">IFERROR(__xludf.DUMMYFUNCTION("""COMPUTED_VALUE"""),"OPTIMIST PRINCIPIANTES")</f>
        <v>OPTIMIST PRINCIPIANTES</v>
      </c>
      <c r="P98" s="38"/>
      <c r="Q98" s="38">
        <f ca="1">IFERROR(__xludf.DUMMYFUNCTION("""COMPUTED_VALUE"""),3402)</f>
        <v>3402</v>
      </c>
      <c r="R98" s="38"/>
      <c r="S98" s="38" t="str">
        <f ca="1">IFERROR(__xludf.DUMMYFUNCTION("""COMPUTED_VALUE"""),"Maria Dolores Azar")</f>
        <v>Maria Dolores Azar</v>
      </c>
      <c r="T98" s="38"/>
      <c r="U98" s="38"/>
      <c r="V98" s="38"/>
      <c r="W98" s="38"/>
      <c r="X98" s="38"/>
      <c r="Y98" s="38"/>
      <c r="Z98" s="6" t="str">
        <f ca="1">IFERROR(__xludf.DUMMYFUNCTION("""COMPUTED_VALUE"""),"Si")</f>
        <v>Si</v>
      </c>
      <c r="AA98" s="6" t="str">
        <f ca="1">IFERROR(__xludf.DUMMYFUNCTION("""COMPUTED_VALUE"""),"Acepto")</f>
        <v>Acepto</v>
      </c>
      <c r="AB98" s="6" t="str">
        <f ca="1">IFERROR(__xludf.DUMMYFUNCTION("""COMPUTED_VALUE"""),"Pendiente")</f>
        <v>Pendiente</v>
      </c>
      <c r="AC98" s="6"/>
      <c r="AD98" s="6"/>
      <c r="AE98" s="6"/>
      <c r="AF98" s="38"/>
      <c r="AG98" s="38"/>
    </row>
    <row r="99" spans="2:33" ht="13.2">
      <c r="B99" s="35">
        <f ca="1">IFERROR(__xludf.DUMMYFUNCTION("""COMPUTED_VALUE"""),45541.8225701041)</f>
        <v>45541.822570104101</v>
      </c>
      <c r="C99" s="36" t="str">
        <f ca="1">IFERROR(__xludf.DUMMYFUNCTION("""COMPUTED_VALUE"""),"Maria Josefina")</f>
        <v>Maria Josefina</v>
      </c>
      <c r="D99" s="36" t="str">
        <f ca="1">IFERROR(__xludf.DUMMYFUNCTION("""COMPUTED_VALUE"""),"Azar")</f>
        <v>Azar</v>
      </c>
      <c r="E99" s="36" t="str">
        <f ca="1">IFERROR(__xludf.DUMMYFUNCTION("""COMPUTED_VALUE"""),"La Plata")</f>
        <v>La Plata</v>
      </c>
      <c r="F99" s="6" t="str">
        <f ca="1">IFERROR(__xludf.DUMMYFUNCTION("""COMPUTED_VALUE"""),"ARG")</f>
        <v>ARG</v>
      </c>
      <c r="G99" s="6">
        <f ca="1">IFERROR(__xludf.DUMMYFUNCTION("""COMPUTED_VALUE"""),53301205)</f>
        <v>53301205</v>
      </c>
      <c r="H99" s="37">
        <f ca="1">IFERROR(__xludf.DUMMYFUNCTION("""COMPUTED_VALUE"""),41454)</f>
        <v>41454</v>
      </c>
      <c r="I99" s="38">
        <f ca="1">IFERROR(__xludf.DUMMYFUNCTION("""COMPUTED_VALUE"""),2215749477)</f>
        <v>2215749477</v>
      </c>
      <c r="J99" s="38">
        <f ca="1">IFERROR(__xludf.DUMMYFUNCTION("""COMPUTED_VALUE"""),2216426873)</f>
        <v>2216426873</v>
      </c>
      <c r="K99" s="38" t="str">
        <f ca="1">IFERROR(__xludf.DUMMYFUNCTION("""COMPUTED_VALUE"""),"od.emilioazar@gmail.com")</f>
        <v>od.emilioazar@gmail.com</v>
      </c>
      <c r="L99" s="38" t="str">
        <f ca="1">IFERROR(__xludf.DUMMYFUNCTION("""COMPUTED_VALUE"""),"Femenino")</f>
        <v>Femenino</v>
      </c>
      <c r="M99" s="38" t="str">
        <f ca="1">IFERROR(__xludf.DUMMYFUNCTION("""COMPUTED_VALUE"""),"CRLP")</f>
        <v>CRLP</v>
      </c>
      <c r="N99" s="38" t="str">
        <f ca="1">IFERROR(__xludf.DUMMYFUNCTION("""COMPUTED_VALUE"""),"Femenino, Interior (Optimist)")</f>
        <v>Femenino, Interior (Optimist)</v>
      </c>
      <c r="O99" s="38" t="str">
        <f ca="1">IFERROR(__xludf.DUMMYFUNCTION("""COMPUTED_VALUE"""),"OPTIMIST PRINCIPIANTES")</f>
        <v>OPTIMIST PRINCIPIANTES</v>
      </c>
      <c r="P99" s="38"/>
      <c r="Q99" s="38">
        <f ca="1">IFERROR(__xludf.DUMMYFUNCTION("""COMPUTED_VALUE"""),3203)</f>
        <v>3203</v>
      </c>
      <c r="R99" s="38"/>
      <c r="S99" s="38" t="str">
        <f ca="1">IFERROR(__xludf.DUMMYFUNCTION("""COMPUTED_VALUE"""),"Maria Josefina Azar")</f>
        <v>Maria Josefina Azar</v>
      </c>
      <c r="T99" s="38"/>
      <c r="U99" s="38"/>
      <c r="V99" s="38"/>
      <c r="W99" s="38"/>
      <c r="X99" s="38"/>
      <c r="Y99" s="38"/>
      <c r="Z99" s="6" t="str">
        <f ca="1">IFERROR(__xludf.DUMMYFUNCTION("""COMPUTED_VALUE"""),"Si")</f>
        <v>Si</v>
      </c>
      <c r="AA99" s="6" t="str">
        <f ca="1">IFERROR(__xludf.DUMMYFUNCTION("""COMPUTED_VALUE"""),"Acepto")</f>
        <v>Acepto</v>
      </c>
      <c r="AB99" s="6" t="str">
        <f ca="1">IFERROR(__xludf.DUMMYFUNCTION("""COMPUTED_VALUE"""),"Pendiente")</f>
        <v>Pendiente</v>
      </c>
      <c r="AC99" s="6"/>
      <c r="AD99" s="6"/>
      <c r="AE99" s="6"/>
      <c r="AF99" s="38"/>
      <c r="AG99" s="38"/>
    </row>
    <row r="100" spans="2:33" ht="13.2">
      <c r="C100" s="36"/>
      <c r="D100" s="36"/>
      <c r="E100" s="36"/>
      <c r="F100" s="6"/>
      <c r="G100" s="6"/>
      <c r="Z100" s="6"/>
      <c r="AA100" s="6"/>
      <c r="AB100" s="6"/>
      <c r="AC100" s="6"/>
      <c r="AD100" s="6"/>
      <c r="AE100" s="6"/>
    </row>
    <row r="101" spans="2:33" ht="13.2">
      <c r="C101" s="36"/>
      <c r="D101" s="36"/>
      <c r="E101" s="36"/>
      <c r="F101" s="6"/>
      <c r="G101" s="6"/>
      <c r="Z101" s="6"/>
      <c r="AA101" s="6"/>
      <c r="AB101" s="6"/>
      <c r="AC101" s="6"/>
      <c r="AD101" s="6"/>
      <c r="AE101" s="6"/>
    </row>
    <row r="102" spans="2:33" ht="13.2">
      <c r="C102" s="36"/>
      <c r="D102" s="36"/>
      <c r="E102" s="36"/>
      <c r="F102" s="6"/>
      <c r="G102" s="6"/>
      <c r="Z102" s="6"/>
      <c r="AA102" s="6"/>
      <c r="AB102" s="6"/>
      <c r="AC102" s="6"/>
      <c r="AD102" s="6"/>
      <c r="AE102" s="6"/>
    </row>
    <row r="103" spans="2:33" ht="13.2">
      <c r="C103" s="36"/>
      <c r="D103" s="36"/>
      <c r="E103" s="36"/>
      <c r="F103" s="6"/>
      <c r="G103" s="6"/>
      <c r="Z103" s="6"/>
      <c r="AA103" s="6"/>
      <c r="AB103" s="6"/>
      <c r="AC103" s="6"/>
      <c r="AD103" s="6"/>
      <c r="AE103" s="6"/>
    </row>
    <row r="104" spans="2:33" ht="13.2">
      <c r="C104" s="36"/>
      <c r="D104" s="36"/>
      <c r="E104" s="36"/>
      <c r="F104" s="6"/>
      <c r="G104" s="6"/>
      <c r="Z104" s="6"/>
      <c r="AA104" s="6"/>
      <c r="AB104" s="6"/>
      <c r="AC104" s="6"/>
      <c r="AD104" s="6"/>
      <c r="AE104" s="6"/>
    </row>
    <row r="105" spans="2:33" ht="13.2">
      <c r="C105" s="36"/>
      <c r="D105" s="36"/>
      <c r="E105" s="36"/>
      <c r="F105" s="6"/>
      <c r="G105" s="6"/>
      <c r="Z105" s="6"/>
      <c r="AA105" s="6"/>
      <c r="AB105" s="6"/>
      <c r="AC105" s="6"/>
      <c r="AD105" s="6"/>
      <c r="AE105" s="6"/>
    </row>
    <row r="106" spans="2:33" ht="13.2">
      <c r="C106" s="36"/>
      <c r="D106" s="36"/>
      <c r="E106" s="36"/>
      <c r="F106" s="6"/>
      <c r="G106" s="6"/>
      <c r="Z106" s="6"/>
      <c r="AA106" s="6"/>
      <c r="AB106" s="6"/>
      <c r="AC106" s="6"/>
      <c r="AD106" s="6"/>
      <c r="AE106" s="6"/>
    </row>
    <row r="107" spans="2:33" ht="13.2">
      <c r="C107" s="36"/>
      <c r="D107" s="36"/>
      <c r="E107" s="36"/>
      <c r="F107" s="6"/>
      <c r="G107" s="6"/>
      <c r="Z107" s="6"/>
      <c r="AA107" s="6"/>
      <c r="AB107" s="6"/>
      <c r="AC107" s="6"/>
      <c r="AD107" s="6"/>
      <c r="AE107" s="6"/>
    </row>
    <row r="108" spans="2:33" ht="13.2">
      <c r="C108" s="36"/>
      <c r="D108" s="36"/>
      <c r="E108" s="36"/>
      <c r="F108" s="6"/>
      <c r="G108" s="6"/>
      <c r="Z108" s="6"/>
      <c r="AA108" s="6"/>
      <c r="AB108" s="6"/>
      <c r="AC108" s="6"/>
      <c r="AD108" s="6"/>
      <c r="AE108" s="6"/>
    </row>
    <row r="109" spans="2:33" ht="13.2">
      <c r="C109" s="36"/>
      <c r="D109" s="36"/>
      <c r="E109" s="36"/>
      <c r="F109" s="6"/>
      <c r="G109" s="6"/>
      <c r="Z109" s="6"/>
      <c r="AA109" s="6"/>
      <c r="AB109" s="6"/>
      <c r="AC109" s="6"/>
      <c r="AD109" s="6"/>
      <c r="AE109" s="6"/>
    </row>
    <row r="110" spans="2:33" ht="13.2">
      <c r="C110" s="36"/>
      <c r="D110" s="36"/>
      <c r="E110" s="36"/>
      <c r="F110" s="6"/>
      <c r="G110" s="6"/>
      <c r="Z110" s="6"/>
      <c r="AA110" s="6"/>
      <c r="AB110" s="6"/>
      <c r="AC110" s="6"/>
      <c r="AD110" s="6"/>
      <c r="AE110" s="6"/>
    </row>
    <row r="111" spans="2:33" ht="13.2">
      <c r="C111" s="36"/>
      <c r="D111" s="36"/>
      <c r="E111" s="36"/>
      <c r="F111" s="6"/>
      <c r="G111" s="6"/>
      <c r="Z111" s="6"/>
      <c r="AA111" s="6"/>
      <c r="AB111" s="6"/>
      <c r="AC111" s="6"/>
      <c r="AD111" s="6"/>
      <c r="AE111" s="6"/>
    </row>
    <row r="112" spans="2:33" ht="13.2">
      <c r="C112" s="36"/>
      <c r="D112" s="36"/>
      <c r="E112" s="36"/>
      <c r="F112" s="6"/>
      <c r="G112" s="6"/>
      <c r="Z112" s="6"/>
      <c r="AA112" s="6"/>
      <c r="AB112" s="6"/>
      <c r="AC112" s="6"/>
      <c r="AD112" s="6"/>
      <c r="AE112" s="6"/>
    </row>
    <row r="113" spans="3:31" ht="13.2">
      <c r="C113" s="36"/>
      <c r="D113" s="36"/>
      <c r="E113" s="36"/>
      <c r="F113" s="6"/>
      <c r="G113" s="6"/>
      <c r="Z113" s="6"/>
      <c r="AA113" s="6"/>
      <c r="AB113" s="6"/>
      <c r="AC113" s="6"/>
      <c r="AD113" s="6"/>
      <c r="AE113" s="6"/>
    </row>
    <row r="114" spans="3:31" ht="13.2">
      <c r="C114" s="36"/>
      <c r="D114" s="36"/>
      <c r="E114" s="36"/>
      <c r="F114" s="6"/>
      <c r="G114" s="6"/>
      <c r="Z114" s="6"/>
      <c r="AA114" s="6"/>
      <c r="AB114" s="6"/>
      <c r="AC114" s="6"/>
      <c r="AD114" s="6"/>
      <c r="AE114" s="6"/>
    </row>
    <row r="115" spans="3:31" ht="13.2">
      <c r="C115" s="36"/>
      <c r="D115" s="36"/>
      <c r="E115" s="36"/>
      <c r="F115" s="6"/>
      <c r="G115" s="6"/>
      <c r="Z115" s="6"/>
      <c r="AA115" s="6"/>
      <c r="AB115" s="6"/>
      <c r="AC115" s="6"/>
      <c r="AD115" s="6"/>
      <c r="AE115" s="6"/>
    </row>
    <row r="116" spans="3:31" ht="13.2">
      <c r="C116" s="36"/>
      <c r="D116" s="36"/>
      <c r="E116" s="36"/>
      <c r="F116" s="6"/>
      <c r="G116" s="6"/>
      <c r="Z116" s="6"/>
      <c r="AA116" s="6"/>
      <c r="AB116" s="6"/>
      <c r="AC116" s="6"/>
      <c r="AD116" s="6"/>
      <c r="AE116" s="6"/>
    </row>
    <row r="117" spans="3:31" ht="13.2">
      <c r="C117" s="36"/>
      <c r="D117" s="36"/>
      <c r="E117" s="36"/>
      <c r="F117" s="6"/>
      <c r="G117" s="6"/>
      <c r="Z117" s="6"/>
      <c r="AA117" s="6"/>
      <c r="AB117" s="6"/>
      <c r="AC117" s="6"/>
      <c r="AD117" s="6"/>
      <c r="AE117" s="6"/>
    </row>
    <row r="118" spans="3:31" ht="13.2">
      <c r="C118" s="36"/>
      <c r="D118" s="36"/>
      <c r="E118" s="36"/>
      <c r="F118" s="6"/>
      <c r="G118" s="6"/>
      <c r="Z118" s="6"/>
      <c r="AA118" s="6"/>
      <c r="AB118" s="6"/>
      <c r="AC118" s="6"/>
      <c r="AD118" s="6"/>
      <c r="AE118" s="6"/>
    </row>
    <row r="119" spans="3:31" ht="13.2">
      <c r="C119" s="36"/>
      <c r="D119" s="36"/>
      <c r="E119" s="36"/>
      <c r="F119" s="6"/>
      <c r="G119" s="6"/>
      <c r="Z119" s="6"/>
      <c r="AA119" s="6"/>
      <c r="AB119" s="6"/>
      <c r="AC119" s="6"/>
      <c r="AD119" s="6"/>
      <c r="AE119" s="6"/>
    </row>
    <row r="120" spans="3:31" ht="13.2">
      <c r="C120" s="36"/>
      <c r="D120" s="36"/>
      <c r="E120" s="36"/>
      <c r="F120" s="6"/>
      <c r="G120" s="6"/>
      <c r="Z120" s="6"/>
      <c r="AA120" s="6"/>
      <c r="AB120" s="6"/>
      <c r="AC120" s="6"/>
      <c r="AD120" s="6"/>
      <c r="AE120" s="6"/>
    </row>
    <row r="121" spans="3:31" ht="13.2">
      <c r="C121" s="36"/>
      <c r="D121" s="36"/>
      <c r="E121" s="36"/>
      <c r="F121" s="6"/>
      <c r="G121" s="6"/>
      <c r="Z121" s="6"/>
      <c r="AA121" s="6"/>
      <c r="AB121" s="6"/>
      <c r="AC121" s="6"/>
      <c r="AD121" s="6"/>
      <c r="AE121" s="6"/>
    </row>
    <row r="122" spans="3:31" ht="13.2">
      <c r="C122" s="36"/>
      <c r="D122" s="36"/>
      <c r="E122" s="36"/>
      <c r="F122" s="6"/>
      <c r="G122" s="6"/>
      <c r="Z122" s="6"/>
      <c r="AA122" s="6"/>
      <c r="AB122" s="6"/>
      <c r="AC122" s="6"/>
      <c r="AD122" s="6"/>
      <c r="AE122" s="6"/>
    </row>
    <row r="123" spans="3:31" ht="13.2">
      <c r="C123" s="36"/>
      <c r="D123" s="36"/>
      <c r="E123" s="36"/>
      <c r="F123" s="6"/>
      <c r="G123" s="6"/>
      <c r="Z123" s="6"/>
      <c r="AA123" s="6"/>
      <c r="AB123" s="6"/>
      <c r="AC123" s="6"/>
      <c r="AD123" s="6"/>
      <c r="AE123" s="6"/>
    </row>
    <row r="124" spans="3:31" ht="13.2">
      <c r="C124" s="36"/>
      <c r="D124" s="36"/>
      <c r="E124" s="36"/>
      <c r="F124" s="6"/>
      <c r="G124" s="6"/>
      <c r="Z124" s="6"/>
      <c r="AA124" s="6"/>
      <c r="AB124" s="6"/>
      <c r="AC124" s="6"/>
      <c r="AD124" s="6"/>
      <c r="AE124" s="6"/>
    </row>
    <row r="125" spans="3:31" ht="13.2">
      <c r="C125" s="36"/>
      <c r="D125" s="36"/>
      <c r="E125" s="36"/>
      <c r="F125" s="6"/>
      <c r="G125" s="6"/>
      <c r="Z125" s="6"/>
      <c r="AA125" s="6"/>
      <c r="AB125" s="6"/>
      <c r="AC125" s="6"/>
      <c r="AD125" s="6"/>
      <c r="AE125" s="6"/>
    </row>
    <row r="126" spans="3:31" ht="13.2">
      <c r="C126" s="36"/>
      <c r="D126" s="36"/>
      <c r="E126" s="36"/>
      <c r="F126" s="6"/>
      <c r="G126" s="6"/>
      <c r="Z126" s="6"/>
      <c r="AA126" s="6"/>
      <c r="AB126" s="6"/>
      <c r="AC126" s="6"/>
      <c r="AD126" s="6"/>
      <c r="AE126" s="6"/>
    </row>
    <row r="127" spans="3:31" ht="13.2">
      <c r="C127" s="36"/>
      <c r="D127" s="36"/>
      <c r="E127" s="36"/>
      <c r="F127" s="6"/>
      <c r="G127" s="6"/>
      <c r="Z127" s="6"/>
      <c r="AA127" s="6"/>
      <c r="AB127" s="6"/>
      <c r="AC127" s="6"/>
      <c r="AD127" s="6"/>
      <c r="AE127" s="6"/>
    </row>
    <row r="128" spans="3:31" ht="13.2">
      <c r="C128" s="36"/>
      <c r="D128" s="36"/>
      <c r="E128" s="36"/>
      <c r="F128" s="6"/>
      <c r="G128" s="6"/>
      <c r="Z128" s="6"/>
      <c r="AA128" s="6"/>
      <c r="AB128" s="6"/>
      <c r="AC128" s="6"/>
      <c r="AD128" s="6"/>
      <c r="AE128" s="6"/>
    </row>
    <row r="129" spans="3:31" ht="13.2">
      <c r="C129" s="36"/>
      <c r="D129" s="36"/>
      <c r="E129" s="36"/>
      <c r="F129" s="6"/>
      <c r="G129" s="6"/>
      <c r="Z129" s="6"/>
      <c r="AA129" s="6"/>
      <c r="AB129" s="6"/>
      <c r="AC129" s="6"/>
      <c r="AD129" s="6"/>
      <c r="AE129" s="6"/>
    </row>
    <row r="130" spans="3:31" ht="13.2">
      <c r="C130" s="36"/>
      <c r="D130" s="36"/>
      <c r="E130" s="36"/>
      <c r="F130" s="6"/>
      <c r="G130" s="6"/>
      <c r="Z130" s="6"/>
      <c r="AA130" s="6"/>
      <c r="AB130" s="6"/>
      <c r="AC130" s="6"/>
      <c r="AD130" s="6"/>
      <c r="AE130" s="6"/>
    </row>
    <row r="131" spans="3:31" ht="13.2">
      <c r="C131" s="36"/>
      <c r="D131" s="36"/>
      <c r="E131" s="36"/>
      <c r="F131" s="6"/>
      <c r="G131" s="6"/>
      <c r="Z131" s="6"/>
      <c r="AA131" s="6"/>
      <c r="AB131" s="6"/>
      <c r="AC131" s="6"/>
      <c r="AD131" s="6"/>
      <c r="AE131" s="6"/>
    </row>
    <row r="132" spans="3:31" ht="13.2">
      <c r="C132" s="36"/>
      <c r="D132" s="36"/>
      <c r="E132" s="36"/>
      <c r="F132" s="6"/>
      <c r="G132" s="6"/>
      <c r="Z132" s="6"/>
      <c r="AA132" s="6"/>
      <c r="AB132" s="6"/>
      <c r="AC132" s="6"/>
      <c r="AD132" s="6"/>
      <c r="AE132" s="6"/>
    </row>
    <row r="133" spans="3:31" ht="13.2">
      <c r="C133" s="36"/>
      <c r="D133" s="36"/>
      <c r="E133" s="36"/>
      <c r="F133" s="6"/>
      <c r="G133" s="6"/>
      <c r="Z133" s="6"/>
      <c r="AA133" s="6"/>
      <c r="AB133" s="6"/>
      <c r="AC133" s="6"/>
      <c r="AD133" s="6"/>
      <c r="AE133" s="6"/>
    </row>
    <row r="134" spans="3:31" ht="13.2">
      <c r="C134" s="36"/>
      <c r="D134" s="36"/>
      <c r="E134" s="36"/>
      <c r="F134" s="6"/>
      <c r="G134" s="6"/>
      <c r="Z134" s="6"/>
      <c r="AA134" s="6"/>
      <c r="AB134" s="6"/>
      <c r="AC134" s="6"/>
      <c r="AD134" s="6"/>
      <c r="AE134" s="6"/>
    </row>
    <row r="135" spans="3:31" ht="13.2">
      <c r="C135" s="6"/>
      <c r="D135" s="6"/>
      <c r="E135" s="6"/>
      <c r="F135" s="6"/>
      <c r="G135" s="6"/>
      <c r="Z135" s="6"/>
      <c r="AA135" s="6"/>
      <c r="AB135" s="6"/>
      <c r="AC135" s="6"/>
      <c r="AD135" s="6"/>
      <c r="AE135" s="6"/>
    </row>
    <row r="136" spans="3:31" ht="13.2">
      <c r="C136" s="6"/>
      <c r="D136" s="6"/>
      <c r="E136" s="6"/>
      <c r="F136" s="6"/>
      <c r="G136" s="6"/>
      <c r="Z136" s="6"/>
      <c r="AA136" s="6"/>
      <c r="AB136" s="6"/>
      <c r="AC136" s="6"/>
      <c r="AD136" s="6"/>
      <c r="AE136" s="6"/>
    </row>
    <row r="137" spans="3:31" ht="13.2">
      <c r="C137" s="6"/>
      <c r="D137" s="6"/>
      <c r="E137" s="6"/>
      <c r="F137" s="6"/>
      <c r="G137" s="6"/>
      <c r="Z137" s="6"/>
      <c r="AA137" s="6"/>
      <c r="AB137" s="6"/>
      <c r="AC137" s="6"/>
      <c r="AD137" s="6"/>
      <c r="AE137" s="6"/>
    </row>
    <row r="138" spans="3:31" ht="13.2">
      <c r="C138" s="6"/>
      <c r="D138" s="6"/>
      <c r="E138" s="6"/>
      <c r="F138" s="6"/>
      <c r="G138" s="6"/>
      <c r="Z138" s="6"/>
      <c r="AA138" s="6"/>
      <c r="AB138" s="6"/>
      <c r="AC138" s="6"/>
      <c r="AD138" s="6"/>
      <c r="AE138" s="6"/>
    </row>
    <row r="139" spans="3:31" ht="13.2">
      <c r="C139" s="6"/>
      <c r="D139" s="6"/>
      <c r="E139" s="6"/>
      <c r="F139" s="6"/>
      <c r="G139" s="6"/>
      <c r="AB139" s="6"/>
      <c r="AC139" s="6"/>
      <c r="AD139" s="6"/>
    </row>
    <row r="140" spans="3:31" ht="13.2">
      <c r="C140" s="6"/>
      <c r="D140" s="6"/>
      <c r="E140" s="6"/>
      <c r="F140" s="6"/>
      <c r="G140" s="6"/>
      <c r="AB140" s="6"/>
      <c r="AC140" s="6"/>
      <c r="AD140" s="6"/>
    </row>
    <row r="141" spans="3:31" ht="13.2">
      <c r="C141" s="6"/>
      <c r="D141" s="6"/>
      <c r="E141" s="6"/>
      <c r="F141" s="6"/>
      <c r="G141" s="6"/>
      <c r="AB141" s="6"/>
      <c r="AC141" s="6"/>
      <c r="AD141" s="6"/>
    </row>
    <row r="142" spans="3:31" ht="13.2">
      <c r="C142" s="6"/>
      <c r="D142" s="6"/>
      <c r="E142" s="6"/>
      <c r="F142" s="6"/>
      <c r="G142" s="6"/>
      <c r="AB142" s="6"/>
      <c r="AC142" s="6"/>
      <c r="AD142" s="6"/>
    </row>
    <row r="143" spans="3:31" ht="13.2">
      <c r="C143" s="6"/>
      <c r="D143" s="6"/>
      <c r="E143" s="6"/>
      <c r="F143" s="6"/>
      <c r="G143" s="6"/>
      <c r="AB143" s="6"/>
      <c r="AC143" s="6"/>
      <c r="AD143" s="6"/>
    </row>
    <row r="144" spans="3:31" ht="13.2">
      <c r="C144" s="6"/>
      <c r="D144" s="6"/>
      <c r="E144" s="6"/>
      <c r="F144" s="6"/>
      <c r="G144" s="6"/>
      <c r="AB144" s="6"/>
      <c r="AC144" s="6"/>
      <c r="AD144" s="6"/>
    </row>
    <row r="145" spans="3:30" ht="13.2">
      <c r="C145" s="6"/>
      <c r="D145" s="6"/>
      <c r="E145" s="6"/>
      <c r="F145" s="6"/>
      <c r="G145" s="6"/>
      <c r="AB145" s="6"/>
      <c r="AC145" s="6"/>
      <c r="AD145" s="6"/>
    </row>
    <row r="146" spans="3:30" ht="13.2">
      <c r="C146" s="6"/>
      <c r="D146" s="6"/>
      <c r="E146" s="6"/>
      <c r="F146" s="6"/>
      <c r="G146" s="6"/>
      <c r="AB146" s="6"/>
      <c r="AC146" s="6"/>
      <c r="AD146" s="6"/>
    </row>
    <row r="147" spans="3:30" ht="13.2">
      <c r="C147" s="6"/>
      <c r="D147" s="6"/>
      <c r="E147" s="6"/>
      <c r="F147" s="6"/>
      <c r="G147" s="6"/>
      <c r="AB147" s="6"/>
      <c r="AC147" s="6"/>
      <c r="AD147" s="6"/>
    </row>
    <row r="148" spans="3:30" ht="13.2">
      <c r="C148" s="6"/>
      <c r="D148" s="6"/>
      <c r="E148" s="6"/>
      <c r="F148" s="6"/>
      <c r="G148" s="6"/>
      <c r="AB148" s="6"/>
      <c r="AC148" s="6"/>
      <c r="AD148" s="6"/>
    </row>
    <row r="149" spans="3:30" ht="13.2">
      <c r="C149" s="6"/>
      <c r="D149" s="6"/>
      <c r="E149" s="6"/>
      <c r="F149" s="6"/>
      <c r="G149" s="6"/>
      <c r="AB149" s="6"/>
      <c r="AC149" s="6"/>
      <c r="AD149" s="6"/>
    </row>
    <row r="150" spans="3:30" ht="13.2">
      <c r="C150" s="6"/>
      <c r="D150" s="6"/>
      <c r="E150" s="6"/>
      <c r="F150" s="6"/>
      <c r="G150" s="6"/>
      <c r="AB150" s="6"/>
      <c r="AC150" s="6"/>
      <c r="AD150" s="6"/>
    </row>
    <row r="151" spans="3:30" ht="13.2">
      <c r="C151" s="6"/>
      <c r="D151" s="6"/>
      <c r="E151" s="6"/>
      <c r="F151" s="6"/>
      <c r="G151" s="6"/>
      <c r="AB151" s="6"/>
      <c r="AC151" s="6"/>
      <c r="AD151" s="6"/>
    </row>
    <row r="152" spans="3:30" ht="13.2">
      <c r="C152" s="6"/>
      <c r="D152" s="6"/>
      <c r="E152" s="6"/>
      <c r="F152" s="6"/>
      <c r="G152" s="6"/>
      <c r="AB152" s="6"/>
      <c r="AC152" s="6"/>
      <c r="AD152" s="6"/>
    </row>
    <row r="153" spans="3:30" ht="13.2">
      <c r="C153" s="6"/>
      <c r="D153" s="6"/>
      <c r="E153" s="6"/>
      <c r="F153" s="6"/>
      <c r="G153" s="6"/>
      <c r="AB153" s="6"/>
      <c r="AC153" s="6"/>
      <c r="AD153" s="6"/>
    </row>
    <row r="154" spans="3:30" ht="13.2">
      <c r="C154" s="6"/>
      <c r="D154" s="6"/>
      <c r="E154" s="6"/>
      <c r="F154" s="6"/>
      <c r="G154" s="6"/>
      <c r="AB154" s="6"/>
      <c r="AC154" s="6"/>
      <c r="AD154" s="6"/>
    </row>
    <row r="155" spans="3:30" ht="13.2">
      <c r="C155" s="6"/>
      <c r="D155" s="6"/>
      <c r="E155" s="6"/>
      <c r="F155" s="6"/>
      <c r="G155" s="6"/>
      <c r="AB155" s="6"/>
      <c r="AC155" s="6"/>
      <c r="AD155" s="6"/>
    </row>
    <row r="156" spans="3:30" ht="13.2">
      <c r="C156" s="6"/>
      <c r="D156" s="6"/>
      <c r="E156" s="6"/>
      <c r="F156" s="6"/>
      <c r="G156" s="6"/>
      <c r="AB156" s="6"/>
      <c r="AC156" s="6"/>
      <c r="AD156" s="6"/>
    </row>
    <row r="157" spans="3:30" ht="13.2">
      <c r="C157" s="6"/>
      <c r="D157" s="6"/>
      <c r="E157" s="6"/>
      <c r="F157" s="6"/>
      <c r="G157" s="6"/>
      <c r="AB157" s="6"/>
      <c r="AC157" s="6"/>
      <c r="AD157" s="6"/>
    </row>
    <row r="158" spans="3:30" ht="13.2">
      <c r="C158" s="6"/>
      <c r="D158" s="6"/>
      <c r="E158" s="6"/>
      <c r="F158" s="6"/>
      <c r="G158" s="6"/>
      <c r="AB158" s="6"/>
      <c r="AC158" s="6"/>
      <c r="AD158" s="6"/>
    </row>
    <row r="159" spans="3:30" ht="13.2">
      <c r="C159" s="6"/>
      <c r="D159" s="6"/>
      <c r="E159" s="6"/>
      <c r="F159" s="6"/>
      <c r="G159" s="6"/>
      <c r="AB159" s="6"/>
      <c r="AC159" s="6"/>
      <c r="AD159" s="6"/>
    </row>
    <row r="160" spans="3:30" ht="13.2">
      <c r="C160" s="6"/>
      <c r="D160" s="6"/>
      <c r="E160" s="6"/>
      <c r="F160" s="6"/>
      <c r="G160" s="6"/>
      <c r="AB160" s="6"/>
      <c r="AC160" s="6"/>
      <c r="AD160" s="6"/>
    </row>
    <row r="161" spans="3:30" ht="13.2">
      <c r="C161" s="6"/>
      <c r="D161" s="6"/>
      <c r="E161" s="6"/>
      <c r="F161" s="6"/>
      <c r="G161" s="6"/>
      <c r="AB161" s="6"/>
      <c r="AC161" s="6"/>
      <c r="AD161" s="6"/>
    </row>
    <row r="162" spans="3:30" ht="13.2">
      <c r="C162" s="6"/>
      <c r="D162" s="6"/>
      <c r="E162" s="6"/>
      <c r="F162" s="6"/>
      <c r="G162" s="6"/>
      <c r="AB162" s="6"/>
      <c r="AC162" s="6"/>
      <c r="AD162" s="6"/>
    </row>
    <row r="163" spans="3:30" ht="13.2">
      <c r="C163" s="6"/>
      <c r="D163" s="6"/>
      <c r="E163" s="6"/>
      <c r="F163" s="6"/>
      <c r="G163" s="6"/>
      <c r="AB163" s="6"/>
      <c r="AC163" s="6"/>
      <c r="AD163" s="6"/>
    </row>
    <row r="164" spans="3:30" ht="13.2">
      <c r="C164" s="6"/>
      <c r="D164" s="6"/>
      <c r="E164" s="6"/>
      <c r="F164" s="6"/>
      <c r="G164" s="6"/>
      <c r="AB164" s="6"/>
      <c r="AC164" s="6"/>
      <c r="AD164" s="6"/>
    </row>
    <row r="165" spans="3:30" ht="13.2">
      <c r="C165" s="6"/>
      <c r="D165" s="6"/>
      <c r="E165" s="6"/>
      <c r="F165" s="6"/>
      <c r="G165" s="6"/>
      <c r="AB165" s="6"/>
      <c r="AC165" s="6"/>
      <c r="AD165" s="6"/>
    </row>
    <row r="166" spans="3:30" ht="13.2">
      <c r="C166" s="6"/>
      <c r="D166" s="6"/>
      <c r="E166" s="6"/>
      <c r="F166" s="6"/>
      <c r="G166" s="6"/>
      <c r="AB166" s="6"/>
      <c r="AC166" s="6"/>
      <c r="AD166" s="6"/>
    </row>
    <row r="167" spans="3:30" ht="13.2">
      <c r="C167" s="6"/>
      <c r="D167" s="6"/>
      <c r="E167" s="6"/>
      <c r="F167" s="6"/>
      <c r="G167" s="6"/>
      <c r="AB167" s="6"/>
      <c r="AC167" s="6"/>
      <c r="AD167" s="6"/>
    </row>
    <row r="168" spans="3:30" ht="13.2">
      <c r="C168" s="6"/>
      <c r="D168" s="6"/>
      <c r="E168" s="6"/>
      <c r="F168" s="6"/>
      <c r="G168" s="6"/>
      <c r="AB168" s="6"/>
      <c r="AC168" s="6"/>
      <c r="AD168" s="6"/>
    </row>
    <row r="169" spans="3:30" ht="13.2">
      <c r="C169" s="6"/>
      <c r="D169" s="6"/>
      <c r="E169" s="6"/>
      <c r="F169" s="6"/>
      <c r="G169" s="6"/>
      <c r="AB169" s="6"/>
      <c r="AC169" s="6"/>
      <c r="AD169" s="6"/>
    </row>
    <row r="170" spans="3:30" ht="13.2">
      <c r="C170" s="6"/>
      <c r="D170" s="6"/>
      <c r="E170" s="6"/>
      <c r="F170" s="6"/>
      <c r="G170" s="6"/>
      <c r="AB170" s="6"/>
      <c r="AC170" s="6"/>
      <c r="AD170" s="6"/>
    </row>
    <row r="171" spans="3:30" ht="13.2">
      <c r="C171" s="6"/>
      <c r="D171" s="6"/>
      <c r="E171" s="6"/>
      <c r="F171" s="6"/>
      <c r="G171" s="6"/>
      <c r="AB171" s="6"/>
      <c r="AC171" s="6"/>
      <c r="AD171" s="6"/>
    </row>
    <row r="172" spans="3:30" ht="13.2">
      <c r="C172" s="6"/>
      <c r="D172" s="6"/>
      <c r="E172" s="6"/>
      <c r="F172" s="6"/>
      <c r="G172" s="6"/>
      <c r="AB172" s="6"/>
      <c r="AC172" s="6"/>
      <c r="AD172" s="6"/>
    </row>
    <row r="173" spans="3:30" ht="13.2">
      <c r="C173" s="6"/>
      <c r="D173" s="6"/>
      <c r="E173" s="6"/>
      <c r="F173" s="6"/>
      <c r="G173" s="6"/>
      <c r="AB173" s="6"/>
      <c r="AC173" s="6"/>
      <c r="AD173" s="6"/>
    </row>
    <row r="174" spans="3:30" ht="13.2">
      <c r="C174" s="6"/>
      <c r="D174" s="6"/>
      <c r="E174" s="6"/>
      <c r="F174" s="6"/>
      <c r="G174" s="6"/>
      <c r="AB174" s="6"/>
      <c r="AC174" s="6"/>
      <c r="AD174" s="6"/>
    </row>
    <row r="175" spans="3:30" ht="13.2">
      <c r="C175" s="6"/>
      <c r="D175" s="6"/>
      <c r="E175" s="6"/>
      <c r="F175" s="6"/>
      <c r="G175" s="6"/>
      <c r="AB175" s="6"/>
      <c r="AC175" s="6"/>
      <c r="AD175" s="6"/>
    </row>
    <row r="176" spans="3:30" ht="13.2">
      <c r="C176" s="6"/>
      <c r="D176" s="6"/>
      <c r="E176" s="6"/>
      <c r="F176" s="6"/>
      <c r="G176" s="6"/>
      <c r="AB176" s="6"/>
      <c r="AC176" s="6"/>
      <c r="AD176" s="6"/>
    </row>
    <row r="177" spans="3:30" ht="13.2">
      <c r="C177" s="6"/>
      <c r="D177" s="6"/>
      <c r="E177" s="6"/>
      <c r="F177" s="6"/>
      <c r="G177" s="6"/>
      <c r="AB177" s="6"/>
      <c r="AC177" s="6"/>
      <c r="AD177" s="6"/>
    </row>
    <row r="178" spans="3:30" ht="13.2">
      <c r="C178" s="6"/>
      <c r="D178" s="6"/>
      <c r="E178" s="6"/>
      <c r="F178" s="6"/>
      <c r="G178" s="6"/>
      <c r="AB178" s="6"/>
      <c r="AC178" s="6"/>
      <c r="AD178" s="6"/>
    </row>
    <row r="179" spans="3:30" ht="13.2">
      <c r="C179" s="6"/>
      <c r="D179" s="6"/>
      <c r="E179" s="6"/>
      <c r="F179" s="6"/>
      <c r="G179" s="6"/>
      <c r="AB179" s="6"/>
      <c r="AC179" s="6"/>
      <c r="AD179" s="6"/>
    </row>
    <row r="180" spans="3:30" ht="13.2">
      <c r="C180" s="6"/>
      <c r="D180" s="6"/>
      <c r="E180" s="6"/>
      <c r="F180" s="6"/>
      <c r="G180" s="6"/>
      <c r="AB180" s="6"/>
      <c r="AC180" s="6"/>
      <c r="AD180" s="6"/>
    </row>
    <row r="181" spans="3:30" ht="13.2">
      <c r="C181" s="6"/>
      <c r="D181" s="6"/>
      <c r="E181" s="6"/>
      <c r="F181" s="6"/>
      <c r="G181" s="6"/>
      <c r="AB181" s="6"/>
      <c r="AC181" s="6"/>
      <c r="AD181" s="6"/>
    </row>
    <row r="182" spans="3:30" ht="13.2">
      <c r="C182" s="6"/>
      <c r="D182" s="6"/>
      <c r="E182" s="6"/>
      <c r="F182" s="6"/>
      <c r="G182" s="6"/>
      <c r="AB182" s="6"/>
      <c r="AC182" s="6"/>
      <c r="AD182" s="6"/>
    </row>
    <row r="183" spans="3:30" ht="13.2">
      <c r="C183" s="6"/>
      <c r="D183" s="6"/>
      <c r="E183" s="6"/>
      <c r="F183" s="6"/>
      <c r="G183" s="6"/>
      <c r="AB183" s="6"/>
      <c r="AC183" s="6"/>
      <c r="AD183" s="6"/>
    </row>
    <row r="184" spans="3:30" ht="13.2">
      <c r="C184" s="6"/>
      <c r="D184" s="6"/>
      <c r="E184" s="6"/>
      <c r="F184" s="6"/>
      <c r="G184" s="6"/>
      <c r="AB184" s="6"/>
      <c r="AC184" s="6"/>
      <c r="AD184" s="6"/>
    </row>
    <row r="185" spans="3:30" ht="13.2">
      <c r="C185" s="6"/>
      <c r="D185" s="6"/>
      <c r="E185" s="6"/>
      <c r="F185" s="6"/>
      <c r="G185" s="6"/>
      <c r="AB185" s="6"/>
      <c r="AC185" s="6"/>
      <c r="AD185" s="6"/>
    </row>
    <row r="186" spans="3:30" ht="13.2">
      <c r="C186" s="6"/>
      <c r="D186" s="6"/>
      <c r="E186" s="6"/>
      <c r="F186" s="6"/>
      <c r="G186" s="6"/>
      <c r="AB186" s="6"/>
      <c r="AC186" s="6"/>
      <c r="AD186" s="6"/>
    </row>
    <row r="187" spans="3:30" ht="13.2">
      <c r="C187" s="6"/>
      <c r="D187" s="6"/>
      <c r="E187" s="6"/>
      <c r="F187" s="6"/>
      <c r="G187" s="6"/>
      <c r="AB187" s="6"/>
      <c r="AC187" s="6"/>
      <c r="AD187" s="6"/>
    </row>
    <row r="188" spans="3:30" ht="13.2">
      <c r="C188" s="6"/>
      <c r="D188" s="6"/>
      <c r="E188" s="6"/>
      <c r="F188" s="6"/>
      <c r="G188" s="6"/>
      <c r="AB188" s="6"/>
      <c r="AC188" s="6"/>
      <c r="AD188" s="6"/>
    </row>
    <row r="189" spans="3:30" ht="13.2">
      <c r="C189" s="6"/>
      <c r="D189" s="6"/>
      <c r="E189" s="6"/>
      <c r="F189" s="6"/>
      <c r="G189" s="6"/>
      <c r="AB189" s="6"/>
      <c r="AC189" s="6"/>
      <c r="AD189" s="6"/>
    </row>
    <row r="190" spans="3:30" ht="13.2">
      <c r="C190" s="6"/>
      <c r="D190" s="6"/>
      <c r="E190" s="6"/>
      <c r="F190" s="6"/>
      <c r="G190" s="6"/>
      <c r="AB190" s="6"/>
      <c r="AC190" s="6"/>
      <c r="AD190" s="6"/>
    </row>
    <row r="191" spans="3:30" ht="13.2">
      <c r="C191" s="6"/>
      <c r="D191" s="6"/>
      <c r="E191" s="6"/>
      <c r="F191" s="6"/>
      <c r="G191" s="6"/>
      <c r="AB191" s="6"/>
      <c r="AC191" s="6"/>
      <c r="AD191" s="6"/>
    </row>
    <row r="192" spans="3:30" ht="13.2">
      <c r="C192" s="6"/>
      <c r="D192" s="6"/>
      <c r="E192" s="6"/>
      <c r="F192" s="6"/>
      <c r="G192" s="6"/>
      <c r="AB192" s="6"/>
      <c r="AC192" s="6"/>
      <c r="AD192" s="6"/>
    </row>
    <row r="193" spans="3:30" ht="13.2">
      <c r="C193" s="6"/>
      <c r="D193" s="6"/>
      <c r="E193" s="6"/>
      <c r="F193" s="6"/>
      <c r="G193" s="6"/>
      <c r="AB193" s="6"/>
      <c r="AC193" s="6"/>
      <c r="AD193" s="6"/>
    </row>
    <row r="194" spans="3:30" ht="13.2">
      <c r="C194" s="6"/>
      <c r="D194" s="6"/>
      <c r="E194" s="6"/>
      <c r="F194" s="6"/>
      <c r="G194" s="6"/>
      <c r="AB194" s="6"/>
      <c r="AC194" s="6"/>
      <c r="AD194" s="6"/>
    </row>
    <row r="195" spans="3:30" ht="13.2">
      <c r="C195" s="6"/>
      <c r="D195" s="6"/>
      <c r="E195" s="6"/>
      <c r="F195" s="6"/>
      <c r="G195" s="6"/>
      <c r="AB195" s="6"/>
      <c r="AC195" s="6"/>
      <c r="AD195" s="6"/>
    </row>
    <row r="196" spans="3:30" ht="13.2">
      <c r="C196" s="6"/>
      <c r="D196" s="6"/>
      <c r="E196" s="6"/>
      <c r="F196" s="6"/>
      <c r="G196" s="6"/>
      <c r="AB196" s="6"/>
      <c r="AC196" s="6"/>
      <c r="AD196" s="6"/>
    </row>
    <row r="197" spans="3:30" ht="13.2">
      <c r="C197" s="6"/>
      <c r="D197" s="6"/>
      <c r="E197" s="6"/>
      <c r="F197" s="6"/>
      <c r="G197" s="6"/>
      <c r="AB197" s="6"/>
      <c r="AC197" s="6"/>
      <c r="AD197" s="6"/>
    </row>
    <row r="198" spans="3:30" ht="13.2">
      <c r="C198" s="6"/>
      <c r="D198" s="6"/>
      <c r="E198" s="6"/>
      <c r="F198" s="6"/>
      <c r="G198" s="6"/>
      <c r="AB198" s="6"/>
      <c r="AC198" s="6"/>
      <c r="AD198" s="6"/>
    </row>
    <row r="199" spans="3:30" ht="13.2">
      <c r="C199" s="6"/>
      <c r="D199" s="6"/>
      <c r="E199" s="6"/>
      <c r="F199" s="6"/>
      <c r="G199" s="6"/>
      <c r="AB199" s="6"/>
      <c r="AC199" s="6"/>
      <c r="AD199" s="6"/>
    </row>
    <row r="200" spans="3:30" ht="13.2">
      <c r="C200" s="6"/>
      <c r="D200" s="6"/>
      <c r="E200" s="6"/>
      <c r="F200" s="6"/>
      <c r="G200" s="6"/>
      <c r="AB200" s="6"/>
      <c r="AC200" s="6"/>
      <c r="AD200" s="6"/>
    </row>
    <row r="201" spans="3:30" ht="13.2">
      <c r="C201" s="6"/>
      <c r="D201" s="6"/>
      <c r="E201" s="6"/>
      <c r="F201" s="6"/>
      <c r="G201" s="6"/>
      <c r="AB201" s="6"/>
      <c r="AC201" s="6"/>
      <c r="AD201" s="6"/>
    </row>
    <row r="202" spans="3:30" ht="13.2">
      <c r="C202" s="6"/>
      <c r="D202" s="6"/>
      <c r="E202" s="6"/>
      <c r="F202" s="6"/>
      <c r="G202" s="6"/>
      <c r="AB202" s="6"/>
      <c r="AC202" s="6"/>
      <c r="AD202" s="6"/>
    </row>
    <row r="203" spans="3:30" ht="13.2">
      <c r="C203" s="6"/>
      <c r="D203" s="6"/>
      <c r="E203" s="6"/>
      <c r="F203" s="6"/>
      <c r="G203" s="6"/>
      <c r="AB203" s="6"/>
      <c r="AC203" s="6"/>
      <c r="AD203" s="6"/>
    </row>
    <row r="204" spans="3:30" ht="13.2">
      <c r="C204" s="6"/>
      <c r="D204" s="6"/>
      <c r="E204" s="6"/>
      <c r="F204" s="6"/>
      <c r="G204" s="6"/>
      <c r="AB204" s="6"/>
      <c r="AC204" s="6"/>
      <c r="AD204" s="6"/>
    </row>
    <row r="205" spans="3:30" ht="13.2">
      <c r="C205" s="6"/>
      <c r="D205" s="6"/>
      <c r="E205" s="6"/>
      <c r="F205" s="6"/>
      <c r="G205" s="6"/>
      <c r="AB205" s="6"/>
      <c r="AC205" s="6"/>
      <c r="AD205" s="6"/>
    </row>
    <row r="206" spans="3:30" ht="13.2">
      <c r="C206" s="6"/>
      <c r="D206" s="6"/>
      <c r="E206" s="6"/>
      <c r="F206" s="6"/>
      <c r="G206" s="6"/>
      <c r="AB206" s="6"/>
      <c r="AC206" s="6"/>
      <c r="AD206" s="6"/>
    </row>
    <row r="207" spans="3:30" ht="13.2">
      <c r="C207" s="6"/>
      <c r="D207" s="6"/>
      <c r="E207" s="6"/>
      <c r="F207" s="6"/>
      <c r="G207" s="6"/>
      <c r="AB207" s="6"/>
      <c r="AC207" s="6"/>
      <c r="AD207" s="6"/>
    </row>
    <row r="208" spans="3:30" ht="13.2">
      <c r="C208" s="6"/>
      <c r="D208" s="6"/>
      <c r="E208" s="6"/>
      <c r="F208" s="6"/>
      <c r="G208" s="6"/>
      <c r="AB208" s="6"/>
      <c r="AC208" s="6"/>
      <c r="AD208" s="6"/>
    </row>
    <row r="209" spans="3:30" ht="13.2">
      <c r="C209" s="6"/>
      <c r="D209" s="6"/>
      <c r="E209" s="6"/>
      <c r="F209" s="6"/>
      <c r="G209" s="6"/>
      <c r="AB209" s="6"/>
      <c r="AC209" s="6"/>
      <c r="AD209" s="6"/>
    </row>
    <row r="210" spans="3:30" ht="13.2">
      <c r="C210" s="6"/>
      <c r="D210" s="6"/>
      <c r="E210" s="6"/>
      <c r="F210" s="6"/>
      <c r="G210" s="6"/>
      <c r="AB210" s="6"/>
      <c r="AC210" s="6"/>
      <c r="AD210" s="6"/>
    </row>
    <row r="211" spans="3:30" ht="13.2">
      <c r="C211" s="6"/>
      <c r="D211" s="6"/>
      <c r="E211" s="6"/>
      <c r="F211" s="6"/>
      <c r="G211" s="6"/>
      <c r="AB211" s="6"/>
      <c r="AC211" s="6"/>
      <c r="AD211" s="6"/>
    </row>
    <row r="212" spans="3:30" ht="13.2">
      <c r="C212" s="6"/>
      <c r="D212" s="6"/>
      <c r="E212" s="6"/>
      <c r="F212" s="6"/>
      <c r="G212" s="6"/>
      <c r="AB212" s="6"/>
      <c r="AC212" s="6"/>
      <c r="AD212" s="6"/>
    </row>
    <row r="213" spans="3:30" ht="13.2">
      <c r="C213" s="6"/>
      <c r="D213" s="6"/>
      <c r="E213" s="6"/>
      <c r="F213" s="6"/>
      <c r="G213" s="6"/>
      <c r="AB213" s="6"/>
      <c r="AC213" s="6"/>
      <c r="AD213" s="6"/>
    </row>
    <row r="214" spans="3:30" ht="13.2">
      <c r="C214" s="6"/>
      <c r="D214" s="6"/>
      <c r="E214" s="6"/>
      <c r="F214" s="6"/>
      <c r="G214" s="6"/>
      <c r="AB214" s="6"/>
      <c r="AC214" s="6"/>
      <c r="AD214" s="6"/>
    </row>
    <row r="215" spans="3:30" ht="13.2">
      <c r="C215" s="6"/>
      <c r="D215" s="6"/>
      <c r="E215" s="6"/>
      <c r="F215" s="6"/>
      <c r="G215" s="6"/>
      <c r="AB215" s="6"/>
      <c r="AC215" s="6"/>
      <c r="AD215" s="6"/>
    </row>
    <row r="216" spans="3:30" ht="13.2">
      <c r="C216" s="6"/>
      <c r="D216" s="6"/>
      <c r="E216" s="6"/>
      <c r="F216" s="6"/>
      <c r="G216" s="6"/>
      <c r="AB216" s="6"/>
      <c r="AC216" s="6"/>
      <c r="AD216" s="6"/>
    </row>
    <row r="217" spans="3:30" ht="13.2">
      <c r="C217" s="6"/>
      <c r="D217" s="6"/>
      <c r="E217" s="6"/>
      <c r="F217" s="6"/>
      <c r="G217" s="6"/>
      <c r="AB217" s="6"/>
      <c r="AC217" s="6"/>
      <c r="AD217" s="6"/>
    </row>
    <row r="218" spans="3:30" ht="13.2">
      <c r="C218" s="6"/>
      <c r="D218" s="6"/>
      <c r="E218" s="6"/>
      <c r="F218" s="6"/>
      <c r="G218" s="6"/>
      <c r="AB218" s="6"/>
      <c r="AC218" s="6"/>
      <c r="AD218" s="6"/>
    </row>
    <row r="219" spans="3:30" ht="13.2">
      <c r="D219" s="6"/>
      <c r="E219" s="6"/>
      <c r="F219" s="6"/>
      <c r="G219" s="6"/>
      <c r="AB219" s="6"/>
      <c r="AC219" s="6"/>
      <c r="AD219" s="6"/>
    </row>
    <row r="220" spans="3:30" ht="13.2">
      <c r="D220" s="6"/>
      <c r="E220" s="6"/>
      <c r="F220" s="6"/>
      <c r="G220" s="6"/>
      <c r="AB220" s="6"/>
      <c r="AC220" s="6"/>
      <c r="AD220" s="6"/>
    </row>
    <row r="221" spans="3:30" ht="13.2">
      <c r="D221" s="6"/>
      <c r="E221" s="6"/>
      <c r="F221" s="6"/>
      <c r="G221" s="6"/>
      <c r="AB221" s="6"/>
      <c r="AC221" s="6"/>
      <c r="AD221" s="6"/>
    </row>
    <row r="222" spans="3:30" ht="13.2">
      <c r="D222" s="6"/>
      <c r="E222" s="6"/>
      <c r="F222" s="6"/>
      <c r="G222" s="6"/>
      <c r="AB222" s="6"/>
      <c r="AC222" s="6"/>
      <c r="AD222" s="6"/>
    </row>
    <row r="223" spans="3:30" ht="13.2">
      <c r="D223" s="6"/>
      <c r="E223" s="6"/>
      <c r="F223" s="6"/>
      <c r="G223" s="6"/>
      <c r="AB223" s="6"/>
      <c r="AC223" s="6"/>
      <c r="AD223" s="6"/>
    </row>
    <row r="224" spans="3:30" ht="13.2">
      <c r="D224" s="6"/>
      <c r="E224" s="6"/>
      <c r="F224" s="6"/>
      <c r="G224" s="6"/>
      <c r="AB224" s="6"/>
      <c r="AC224" s="6"/>
      <c r="AD224" s="6"/>
    </row>
    <row r="225" spans="4:30" ht="13.2">
      <c r="D225" s="6"/>
      <c r="E225" s="6"/>
      <c r="F225" s="6"/>
      <c r="G225" s="6"/>
      <c r="AB225" s="6"/>
      <c r="AC225" s="6"/>
      <c r="AD225" s="6"/>
    </row>
    <row r="226" spans="4:30" ht="13.2">
      <c r="D226" s="6"/>
      <c r="E226" s="6"/>
      <c r="F226" s="6"/>
      <c r="G226" s="6"/>
      <c r="AB226" s="6"/>
      <c r="AC226" s="6"/>
      <c r="AD226" s="6"/>
    </row>
    <row r="227" spans="4:30" ht="13.2">
      <c r="D227" s="6"/>
      <c r="E227" s="6"/>
      <c r="F227" s="6"/>
      <c r="G227" s="6"/>
      <c r="AB227" s="6"/>
      <c r="AC227" s="6"/>
      <c r="AD227" s="6"/>
    </row>
    <row r="228" spans="4:30" ht="13.2">
      <c r="D228" s="6"/>
      <c r="E228" s="6"/>
      <c r="F228" s="6"/>
      <c r="G228" s="6"/>
      <c r="AB228" s="6"/>
      <c r="AC228" s="6"/>
      <c r="AD228" s="6"/>
    </row>
    <row r="229" spans="4:30" ht="13.2">
      <c r="D229" s="6"/>
      <c r="E229" s="6"/>
      <c r="F229" s="6"/>
      <c r="G229" s="6"/>
      <c r="AB229" s="6"/>
      <c r="AC229" s="6"/>
      <c r="AD229" s="6"/>
    </row>
    <row r="230" spans="4:30" ht="13.2">
      <c r="D230" s="6"/>
      <c r="E230" s="6"/>
      <c r="F230" s="6"/>
      <c r="G230" s="6"/>
      <c r="AB230" s="6"/>
      <c r="AC230" s="6"/>
      <c r="AD230" s="6"/>
    </row>
    <row r="231" spans="4:30" ht="13.2">
      <c r="D231" s="6"/>
      <c r="E231" s="6"/>
      <c r="F231" s="6"/>
      <c r="G231" s="6"/>
      <c r="AB231" s="6"/>
      <c r="AC231" s="6"/>
      <c r="AD231" s="6"/>
    </row>
    <row r="232" spans="4:30" ht="13.2">
      <c r="D232" s="6"/>
      <c r="E232" s="6"/>
      <c r="F232" s="6"/>
      <c r="G232" s="6"/>
      <c r="AB232" s="6"/>
      <c r="AC232" s="6"/>
      <c r="AD232" s="6"/>
    </row>
    <row r="233" spans="4:30" ht="13.2">
      <c r="D233" s="6"/>
      <c r="E233" s="6"/>
      <c r="F233" s="6"/>
      <c r="G233" s="6"/>
      <c r="AB233" s="6"/>
      <c r="AC233" s="6"/>
      <c r="AD233" s="6"/>
    </row>
    <row r="234" spans="4:30" ht="13.2">
      <c r="D234" s="6"/>
      <c r="E234" s="6"/>
      <c r="F234" s="6"/>
      <c r="G234" s="6"/>
      <c r="AB234" s="6"/>
      <c r="AC234" s="6"/>
      <c r="AD234" s="6"/>
    </row>
    <row r="235" spans="4:30" ht="13.2">
      <c r="D235" s="6"/>
      <c r="E235" s="6"/>
      <c r="F235" s="6"/>
      <c r="G235" s="6"/>
      <c r="AB235" s="6"/>
      <c r="AC235" s="6"/>
      <c r="AD235" s="6"/>
    </row>
    <row r="236" spans="4:30" ht="13.2">
      <c r="D236" s="6"/>
      <c r="E236" s="6"/>
      <c r="F236" s="6"/>
      <c r="G236" s="6"/>
      <c r="AB236" s="6"/>
      <c r="AC236" s="6"/>
      <c r="AD236" s="6"/>
    </row>
    <row r="237" spans="4:30" ht="13.2">
      <c r="D237" s="6"/>
      <c r="E237" s="6"/>
      <c r="F237" s="6"/>
      <c r="G237" s="6"/>
      <c r="AB237" s="6"/>
      <c r="AC237" s="6"/>
      <c r="AD237" s="6"/>
    </row>
    <row r="238" spans="4:30" ht="13.2">
      <c r="D238" s="6"/>
      <c r="E238" s="6"/>
      <c r="F238" s="6"/>
      <c r="G238" s="6"/>
      <c r="AB238" s="6"/>
      <c r="AC238" s="6"/>
      <c r="AD238" s="6"/>
    </row>
    <row r="239" spans="4:30" ht="13.2">
      <c r="D239" s="6"/>
      <c r="E239" s="6"/>
      <c r="F239" s="6"/>
      <c r="G239" s="6"/>
      <c r="AB239" s="6"/>
      <c r="AC239" s="6"/>
      <c r="AD239" s="6"/>
    </row>
    <row r="240" spans="4:30" ht="13.2">
      <c r="D240" s="6"/>
      <c r="E240" s="6"/>
      <c r="F240" s="6"/>
      <c r="G240" s="6"/>
      <c r="AB240" s="6"/>
      <c r="AC240" s="6"/>
      <c r="AD240" s="6"/>
    </row>
    <row r="241" spans="4:30" ht="13.2">
      <c r="D241" s="6"/>
      <c r="E241" s="6"/>
      <c r="F241" s="6"/>
      <c r="G241" s="6"/>
      <c r="AB241" s="6"/>
      <c r="AC241" s="6"/>
      <c r="AD241" s="6"/>
    </row>
    <row r="242" spans="4:30" ht="13.2">
      <c r="D242" s="6"/>
      <c r="E242" s="6"/>
      <c r="F242" s="6"/>
      <c r="G242" s="6"/>
      <c r="AB242" s="6"/>
      <c r="AC242" s="6"/>
      <c r="AD242" s="6"/>
    </row>
    <row r="243" spans="4:30" ht="13.2">
      <c r="D243" s="6"/>
      <c r="E243" s="6"/>
      <c r="F243" s="6"/>
      <c r="G243" s="6"/>
      <c r="AB243" s="6"/>
      <c r="AC243" s="6"/>
      <c r="AD243" s="6"/>
    </row>
    <row r="244" spans="4:30" ht="13.2">
      <c r="D244" s="6"/>
      <c r="E244" s="6"/>
      <c r="F244" s="6"/>
      <c r="G244" s="6"/>
      <c r="AB244" s="6"/>
      <c r="AC244" s="6"/>
      <c r="AD244" s="6"/>
    </row>
    <row r="245" spans="4:30" ht="13.2">
      <c r="D245" s="6"/>
      <c r="E245" s="6"/>
      <c r="F245" s="6"/>
      <c r="G245" s="6"/>
      <c r="AB245" s="6"/>
      <c r="AC245" s="6"/>
      <c r="AD245" s="6"/>
    </row>
    <row r="246" spans="4:30" ht="13.2">
      <c r="D246" s="6"/>
      <c r="E246" s="6"/>
      <c r="F246" s="6"/>
      <c r="G246" s="6"/>
      <c r="AB246" s="6"/>
      <c r="AC246" s="6"/>
      <c r="AD246" s="6"/>
    </row>
    <row r="247" spans="4:30" ht="13.2">
      <c r="D247" s="6"/>
      <c r="E247" s="6"/>
      <c r="F247" s="6"/>
      <c r="G247" s="6"/>
      <c r="AB247" s="6"/>
      <c r="AC247" s="6"/>
      <c r="AD247" s="6"/>
    </row>
    <row r="248" spans="4:30" ht="13.2">
      <c r="D248" s="6"/>
      <c r="E248" s="6"/>
      <c r="F248" s="6"/>
      <c r="G248" s="6"/>
      <c r="AB248" s="6"/>
      <c r="AC248" s="6"/>
      <c r="AD248" s="6"/>
    </row>
    <row r="249" spans="4:30" ht="13.2">
      <c r="D249" s="6"/>
      <c r="E249" s="6"/>
      <c r="F249" s="6"/>
      <c r="G249" s="6"/>
      <c r="AB249" s="6"/>
      <c r="AC249" s="6"/>
      <c r="AD249" s="6"/>
    </row>
    <row r="250" spans="4:30" ht="13.2">
      <c r="D250" s="6"/>
      <c r="E250" s="6"/>
      <c r="F250" s="6"/>
      <c r="G250" s="6"/>
      <c r="AB250" s="6"/>
      <c r="AC250" s="6"/>
      <c r="AD250" s="6"/>
    </row>
    <row r="251" spans="4:30" ht="13.2">
      <c r="D251" s="6"/>
      <c r="E251" s="6"/>
      <c r="F251" s="6"/>
      <c r="G251" s="6"/>
      <c r="AB251" s="6"/>
      <c r="AC251" s="6"/>
      <c r="AD251" s="6"/>
    </row>
    <row r="252" spans="4:30" ht="13.2">
      <c r="D252" s="6"/>
      <c r="E252" s="6"/>
      <c r="F252" s="6"/>
      <c r="G252" s="6"/>
      <c r="AB252" s="6"/>
      <c r="AC252" s="6"/>
      <c r="AD252" s="6"/>
    </row>
    <row r="253" spans="4:30" ht="13.2">
      <c r="D253" s="6"/>
      <c r="E253" s="6"/>
      <c r="F253" s="6"/>
      <c r="G253" s="6"/>
      <c r="AB253" s="6"/>
      <c r="AC253" s="6"/>
      <c r="AD253" s="6"/>
    </row>
    <row r="254" spans="4:30" ht="13.2">
      <c r="D254" s="6"/>
      <c r="E254" s="6"/>
      <c r="F254" s="6"/>
      <c r="G254" s="6"/>
      <c r="AB254" s="6"/>
      <c r="AC254" s="6"/>
      <c r="AD254" s="6"/>
    </row>
    <row r="255" spans="4:30" ht="13.2">
      <c r="D255" s="6"/>
      <c r="E255" s="6"/>
      <c r="F255" s="6"/>
      <c r="G255" s="6"/>
      <c r="AB255" s="6"/>
      <c r="AC255" s="6"/>
      <c r="AD255" s="6"/>
    </row>
    <row r="256" spans="4:30" ht="13.2">
      <c r="D256" s="6"/>
      <c r="E256" s="6"/>
      <c r="F256" s="6"/>
      <c r="G256" s="6"/>
      <c r="AB256" s="6"/>
      <c r="AC256" s="6"/>
      <c r="AD256" s="6"/>
    </row>
    <row r="257" spans="4:30" ht="13.2">
      <c r="D257" s="6"/>
      <c r="E257" s="6"/>
      <c r="F257" s="6"/>
      <c r="G257" s="6"/>
      <c r="AB257" s="6"/>
      <c r="AC257" s="6"/>
      <c r="AD257" s="6"/>
    </row>
    <row r="258" spans="4:30" ht="13.2">
      <c r="D258" s="6"/>
      <c r="E258" s="6"/>
      <c r="F258" s="6"/>
      <c r="G258" s="6"/>
      <c r="AB258" s="6"/>
      <c r="AC258" s="6"/>
      <c r="AD258" s="6"/>
    </row>
    <row r="259" spans="4:30" ht="13.2">
      <c r="D259" s="6"/>
      <c r="E259" s="6"/>
      <c r="F259" s="6"/>
      <c r="G259" s="6"/>
      <c r="AB259" s="6"/>
      <c r="AC259" s="6"/>
      <c r="AD259" s="6"/>
    </row>
    <row r="260" spans="4:30" ht="13.2">
      <c r="D260" s="6"/>
      <c r="E260" s="6"/>
      <c r="F260" s="6"/>
      <c r="G260" s="6"/>
      <c r="AB260" s="6"/>
      <c r="AC260" s="6"/>
      <c r="AD260" s="6"/>
    </row>
    <row r="261" spans="4:30" ht="13.2">
      <c r="D261" s="6"/>
      <c r="E261" s="6"/>
      <c r="F261" s="6"/>
      <c r="G261" s="6"/>
      <c r="AB261" s="6"/>
      <c r="AC261" s="6"/>
      <c r="AD261" s="6"/>
    </row>
    <row r="262" spans="4:30" ht="13.2">
      <c r="D262" s="6"/>
      <c r="E262" s="6"/>
      <c r="F262" s="6"/>
      <c r="G262" s="6"/>
      <c r="AB262" s="6"/>
      <c r="AC262" s="6"/>
      <c r="AD262" s="6"/>
    </row>
    <row r="263" spans="4:30" ht="13.2">
      <c r="D263" s="6"/>
      <c r="E263" s="6"/>
      <c r="F263" s="6"/>
      <c r="G263" s="6"/>
      <c r="AB263" s="6"/>
      <c r="AC263" s="6"/>
      <c r="AD263" s="6"/>
    </row>
    <row r="264" spans="4:30" ht="13.2">
      <c r="D264" s="6"/>
      <c r="E264" s="6"/>
      <c r="F264" s="6"/>
      <c r="G264" s="6"/>
      <c r="AB264" s="6"/>
      <c r="AC264" s="6"/>
      <c r="AD264" s="6"/>
    </row>
    <row r="265" spans="4:30" ht="13.2">
      <c r="D265" s="6"/>
      <c r="E265" s="6"/>
      <c r="F265" s="6"/>
      <c r="G265" s="6"/>
      <c r="AB265" s="6"/>
      <c r="AC265" s="6"/>
      <c r="AD265" s="6"/>
    </row>
    <row r="266" spans="4:30" ht="13.2">
      <c r="D266" s="6"/>
      <c r="E266" s="6"/>
      <c r="F266" s="6"/>
      <c r="G266" s="6"/>
      <c r="AB266" s="6"/>
      <c r="AC266" s="6"/>
      <c r="AD266" s="6"/>
    </row>
    <row r="267" spans="4:30" ht="13.2">
      <c r="D267" s="6"/>
      <c r="E267" s="6"/>
      <c r="F267" s="6"/>
      <c r="G267" s="6"/>
      <c r="AB267" s="6"/>
      <c r="AC267" s="6"/>
      <c r="AD267" s="6"/>
    </row>
    <row r="268" spans="4:30" ht="13.2">
      <c r="D268" s="6"/>
      <c r="E268" s="6"/>
      <c r="F268" s="6"/>
      <c r="G268" s="6"/>
      <c r="AB268" s="6"/>
      <c r="AC268" s="6"/>
      <c r="AD268" s="6"/>
    </row>
    <row r="269" spans="4:30" ht="13.2">
      <c r="D269" s="6"/>
      <c r="E269" s="6"/>
      <c r="F269" s="6"/>
      <c r="G269" s="6"/>
      <c r="AB269" s="6"/>
      <c r="AC269" s="6"/>
      <c r="AD269" s="6"/>
    </row>
    <row r="270" spans="4:30" ht="13.2">
      <c r="D270" s="6"/>
      <c r="E270" s="6"/>
      <c r="F270" s="6"/>
      <c r="G270" s="6"/>
      <c r="AB270" s="6"/>
      <c r="AC270" s="6"/>
      <c r="AD270" s="6"/>
    </row>
    <row r="271" spans="4:30" ht="13.2">
      <c r="D271" s="6"/>
      <c r="E271" s="6"/>
      <c r="F271" s="6"/>
      <c r="G271" s="6"/>
      <c r="AB271" s="6"/>
      <c r="AC271" s="6"/>
      <c r="AD271" s="6"/>
    </row>
    <row r="272" spans="4:30" ht="13.2">
      <c r="D272" s="6"/>
      <c r="E272" s="6"/>
      <c r="F272" s="6"/>
      <c r="G272" s="6"/>
      <c r="AB272" s="6"/>
      <c r="AC272" s="6"/>
      <c r="AD272" s="6"/>
    </row>
    <row r="273" spans="4:30" ht="13.2">
      <c r="D273" s="6"/>
      <c r="E273" s="6"/>
      <c r="F273" s="6"/>
      <c r="G273" s="6"/>
      <c r="AB273" s="6"/>
      <c r="AC273" s="6"/>
      <c r="AD273" s="6"/>
    </row>
    <row r="274" spans="4:30" ht="13.2">
      <c r="D274" s="6"/>
      <c r="E274" s="6"/>
      <c r="F274" s="6"/>
      <c r="G274" s="6"/>
      <c r="AB274" s="6"/>
      <c r="AC274" s="6"/>
      <c r="AD274" s="6"/>
    </row>
    <row r="275" spans="4:30" ht="13.2">
      <c r="D275" s="6"/>
      <c r="E275" s="6"/>
      <c r="F275" s="6"/>
      <c r="G275" s="6"/>
      <c r="AB275" s="6"/>
      <c r="AC275" s="6"/>
      <c r="AD275" s="6"/>
    </row>
    <row r="276" spans="4:30" ht="13.2">
      <c r="D276" s="6"/>
      <c r="E276" s="6"/>
      <c r="F276" s="6"/>
      <c r="G276" s="6"/>
      <c r="AB276" s="6"/>
      <c r="AC276" s="6"/>
      <c r="AD276" s="6"/>
    </row>
    <row r="277" spans="4:30" ht="13.2">
      <c r="D277" s="6"/>
      <c r="E277" s="6"/>
      <c r="F277" s="6"/>
      <c r="G277" s="6"/>
      <c r="AB277" s="6"/>
      <c r="AC277" s="6"/>
      <c r="AD277" s="6"/>
    </row>
    <row r="278" spans="4:30" ht="13.2">
      <c r="D278" s="6"/>
      <c r="E278" s="6"/>
      <c r="F278" s="6"/>
      <c r="G278" s="6"/>
      <c r="AB278" s="6"/>
      <c r="AC278" s="6"/>
      <c r="AD278" s="6"/>
    </row>
    <row r="279" spans="4:30" ht="13.2">
      <c r="D279" s="6"/>
      <c r="E279" s="6"/>
      <c r="F279" s="6"/>
      <c r="G279" s="6"/>
      <c r="AB279" s="6"/>
      <c r="AC279" s="6"/>
      <c r="AD279" s="6"/>
    </row>
    <row r="280" spans="4:30" ht="13.2">
      <c r="D280" s="6"/>
      <c r="E280" s="6"/>
      <c r="F280" s="6"/>
      <c r="G280" s="6"/>
      <c r="AB280" s="6"/>
      <c r="AC280" s="6"/>
      <c r="AD280" s="6"/>
    </row>
    <row r="281" spans="4:30" ht="13.2">
      <c r="D281" s="6"/>
      <c r="E281" s="6"/>
      <c r="F281" s="6"/>
      <c r="G281" s="6"/>
      <c r="AB281" s="6"/>
      <c r="AC281" s="6"/>
      <c r="AD281" s="6"/>
    </row>
    <row r="282" spans="4:30" ht="13.2">
      <c r="D282" s="6"/>
      <c r="E282" s="6"/>
      <c r="F282" s="6"/>
      <c r="G282" s="6"/>
      <c r="AB282" s="6"/>
      <c r="AC282" s="6"/>
      <c r="AD282" s="6"/>
    </row>
    <row r="283" spans="4:30" ht="13.2">
      <c r="D283" s="6"/>
      <c r="E283" s="6"/>
      <c r="F283" s="6"/>
      <c r="G283" s="6"/>
      <c r="AB283" s="6"/>
      <c r="AC283" s="6"/>
      <c r="AD283" s="6"/>
    </row>
    <row r="284" spans="4:30" ht="13.2">
      <c r="D284" s="6"/>
      <c r="E284" s="6"/>
      <c r="F284" s="6"/>
      <c r="G284" s="6"/>
      <c r="AB284" s="6"/>
      <c r="AC284" s="6"/>
      <c r="AD284" s="6"/>
    </row>
    <row r="285" spans="4:30" ht="13.2">
      <c r="D285" s="6"/>
      <c r="E285" s="6"/>
      <c r="F285" s="6"/>
      <c r="G285" s="6"/>
      <c r="AB285" s="6"/>
      <c r="AC285" s="6"/>
      <c r="AD285" s="6"/>
    </row>
    <row r="286" spans="4:30" ht="13.2">
      <c r="D286" s="6"/>
      <c r="E286" s="6"/>
      <c r="F286" s="6"/>
      <c r="G286" s="6"/>
      <c r="AB286" s="6"/>
      <c r="AC286" s="6"/>
      <c r="AD286" s="6"/>
    </row>
    <row r="287" spans="4:30" ht="13.2">
      <c r="D287" s="6"/>
      <c r="E287" s="6"/>
      <c r="F287" s="6"/>
      <c r="G287" s="6"/>
      <c r="AB287" s="6"/>
      <c r="AC287" s="6"/>
      <c r="AD287" s="6"/>
    </row>
    <row r="288" spans="4:30" ht="13.2">
      <c r="D288" s="6"/>
      <c r="E288" s="6"/>
      <c r="F288" s="6"/>
      <c r="G288" s="6"/>
      <c r="AB288" s="6"/>
      <c r="AC288" s="6"/>
      <c r="AD288" s="6"/>
    </row>
    <row r="289" spans="4:30" ht="13.2">
      <c r="D289" s="6"/>
      <c r="E289" s="6"/>
      <c r="F289" s="6"/>
      <c r="G289" s="6"/>
      <c r="AB289" s="6"/>
      <c r="AC289" s="6"/>
      <c r="AD289" s="6"/>
    </row>
    <row r="290" spans="4:30" ht="13.2">
      <c r="D290" s="6"/>
      <c r="E290" s="6"/>
      <c r="F290" s="6"/>
      <c r="G290" s="6"/>
      <c r="AB290" s="6"/>
      <c r="AC290" s="6"/>
      <c r="AD290" s="6"/>
    </row>
    <row r="291" spans="4:30" ht="13.2">
      <c r="D291" s="6"/>
      <c r="E291" s="6"/>
      <c r="F291" s="6"/>
      <c r="G291" s="6"/>
      <c r="AB291" s="6"/>
      <c r="AC291" s="6"/>
      <c r="AD291" s="6"/>
    </row>
    <row r="292" spans="4:30" ht="13.2">
      <c r="D292" s="6"/>
      <c r="E292" s="6"/>
      <c r="F292" s="6"/>
      <c r="G292" s="6"/>
      <c r="AB292" s="6"/>
      <c r="AC292" s="6"/>
      <c r="AD292" s="6"/>
    </row>
    <row r="293" spans="4:30" ht="13.2">
      <c r="D293" s="6"/>
      <c r="E293" s="6"/>
      <c r="F293" s="6"/>
      <c r="G293" s="6"/>
      <c r="AB293" s="6"/>
      <c r="AC293" s="6"/>
      <c r="AD293" s="6"/>
    </row>
    <row r="294" spans="4:30" ht="13.2">
      <c r="D294" s="6"/>
      <c r="E294" s="6"/>
      <c r="F294" s="6"/>
      <c r="G294" s="6"/>
      <c r="AB294" s="6"/>
      <c r="AC294" s="6"/>
      <c r="AD294" s="6"/>
    </row>
    <row r="295" spans="4:30" ht="13.2">
      <c r="D295" s="6"/>
      <c r="E295" s="6"/>
      <c r="F295" s="6"/>
      <c r="G295" s="6"/>
      <c r="AB295" s="6"/>
      <c r="AC295" s="6"/>
      <c r="AD295" s="6"/>
    </row>
    <row r="296" spans="4:30" ht="13.2">
      <c r="D296" s="6"/>
      <c r="E296" s="6"/>
      <c r="F296" s="6"/>
      <c r="G296" s="6"/>
      <c r="AB296" s="6"/>
      <c r="AC296" s="6"/>
      <c r="AD296" s="6"/>
    </row>
    <row r="297" spans="4:30" ht="13.2">
      <c r="D297" s="6"/>
      <c r="E297" s="6"/>
      <c r="F297" s="6"/>
      <c r="G297" s="6"/>
      <c r="AB297" s="6"/>
      <c r="AC297" s="6"/>
      <c r="AD297" s="6"/>
    </row>
    <row r="298" spans="4:30" ht="13.2">
      <c r="D298" s="6"/>
      <c r="E298" s="6"/>
      <c r="F298" s="6"/>
      <c r="G298" s="6"/>
      <c r="AB298" s="6"/>
      <c r="AC298" s="6"/>
      <c r="AD298" s="6"/>
    </row>
    <row r="299" spans="4:30" ht="13.2">
      <c r="D299" s="6"/>
      <c r="E299" s="6"/>
      <c r="F299" s="6"/>
      <c r="G299" s="6"/>
      <c r="AB299" s="6"/>
      <c r="AC299" s="6"/>
      <c r="AD299" s="6"/>
    </row>
    <row r="300" spans="4:30" ht="13.2">
      <c r="D300" s="6"/>
      <c r="E300" s="6"/>
      <c r="F300" s="6"/>
      <c r="G300" s="6"/>
      <c r="AB300" s="6"/>
      <c r="AC300" s="6"/>
      <c r="AD300" s="6"/>
    </row>
    <row r="301" spans="4:30" ht="13.2">
      <c r="D301" s="6"/>
      <c r="E301" s="6"/>
      <c r="F301" s="6"/>
      <c r="G301" s="6"/>
      <c r="AB301" s="6"/>
      <c r="AC301" s="6"/>
      <c r="AD301" s="6"/>
    </row>
    <row r="302" spans="4:30" ht="13.2">
      <c r="D302" s="6"/>
      <c r="E302" s="6"/>
      <c r="F302" s="6"/>
      <c r="G302" s="6"/>
      <c r="AB302" s="6"/>
      <c r="AC302" s="6"/>
      <c r="AD302" s="6"/>
    </row>
    <row r="303" spans="4:30" ht="13.2">
      <c r="AB303" s="6"/>
      <c r="AC303" s="6"/>
      <c r="AD303" s="6"/>
    </row>
    <row r="304" spans="4:30" ht="13.2">
      <c r="AB304" s="6"/>
      <c r="AC304" s="6"/>
      <c r="AD304" s="6"/>
    </row>
    <row r="305" spans="28:30" ht="13.2">
      <c r="AB305" s="6"/>
      <c r="AC305" s="6"/>
      <c r="AD305" s="6"/>
    </row>
    <row r="306" spans="28:30" ht="13.2">
      <c r="AB306" s="6"/>
      <c r="AC306" s="6"/>
      <c r="AD306" s="6"/>
    </row>
    <row r="307" spans="28:30" ht="13.2">
      <c r="AB307" s="6"/>
      <c r="AC307" s="6"/>
      <c r="AD307" s="6"/>
    </row>
    <row r="308" spans="28:30" ht="13.2">
      <c r="AB308" s="6"/>
      <c r="AC308" s="6"/>
      <c r="AD308" s="6"/>
    </row>
    <row r="309" spans="28:30" ht="13.2">
      <c r="AB309" s="6"/>
      <c r="AC309" s="6"/>
      <c r="AD309" s="6"/>
    </row>
    <row r="310" spans="28:30" ht="13.2">
      <c r="AB310" s="6"/>
      <c r="AC310" s="6"/>
      <c r="AD310" s="6"/>
    </row>
    <row r="311" spans="28:30" ht="13.2">
      <c r="AB311" s="6"/>
      <c r="AC311" s="6"/>
      <c r="AD311" s="6"/>
    </row>
    <row r="312" spans="28:30" ht="13.2">
      <c r="AB312" s="6"/>
      <c r="AC312" s="6"/>
      <c r="AD312" s="6"/>
    </row>
    <row r="313" spans="28:30" ht="13.2">
      <c r="AB313" s="6"/>
      <c r="AC313" s="6"/>
      <c r="AD313" s="6"/>
    </row>
    <row r="314" spans="28:30" ht="13.2">
      <c r="AB314" s="6"/>
      <c r="AC314" s="6"/>
      <c r="AD314" s="6"/>
    </row>
    <row r="315" spans="28:30" ht="13.2">
      <c r="AB315" s="6"/>
      <c r="AC315" s="6"/>
      <c r="AD315" s="6"/>
    </row>
    <row r="316" spans="28:30" ht="13.2">
      <c r="AB316" s="6"/>
      <c r="AC316" s="6"/>
      <c r="AD316" s="6"/>
    </row>
    <row r="317" spans="28:30" ht="13.2">
      <c r="AB317" s="6"/>
      <c r="AC317" s="6"/>
      <c r="AD317" s="6"/>
    </row>
    <row r="318" spans="28:30" ht="13.2">
      <c r="AB318" s="6"/>
      <c r="AC318" s="6"/>
      <c r="AD318" s="6"/>
    </row>
    <row r="319" spans="28:30" ht="13.2">
      <c r="AB319" s="6"/>
      <c r="AC319" s="6"/>
      <c r="AD319" s="6"/>
    </row>
    <row r="320" spans="28:30" ht="13.2">
      <c r="AB320" s="6"/>
      <c r="AC320" s="6"/>
      <c r="AD320" s="6"/>
    </row>
    <row r="321" spans="28:30" ht="13.2">
      <c r="AB321" s="6"/>
      <c r="AC321" s="6"/>
      <c r="AD321" s="6"/>
    </row>
    <row r="322" spans="28:30" ht="13.2">
      <c r="AB322" s="6"/>
      <c r="AC322" s="6"/>
      <c r="AD322" s="6"/>
    </row>
    <row r="323" spans="28:30" ht="13.2">
      <c r="AB323" s="6"/>
      <c r="AC323" s="6"/>
      <c r="AD323" s="6"/>
    </row>
    <row r="324" spans="28:30" ht="13.2">
      <c r="AB324" s="6"/>
      <c r="AC324" s="6"/>
      <c r="AD324" s="6"/>
    </row>
    <row r="325" spans="28:30" ht="13.2">
      <c r="AB325" s="6"/>
      <c r="AC325" s="6"/>
      <c r="AD325" s="6"/>
    </row>
    <row r="326" spans="28:30" ht="13.2">
      <c r="AB326" s="6"/>
      <c r="AC326" s="6"/>
      <c r="AD326" s="6"/>
    </row>
    <row r="327" spans="28:30" ht="13.2">
      <c r="AB327" s="6"/>
      <c r="AC327" s="6"/>
      <c r="AD327" s="6"/>
    </row>
    <row r="328" spans="28:30" ht="13.2">
      <c r="AB328" s="6"/>
      <c r="AC328" s="6"/>
      <c r="AD328" s="6"/>
    </row>
    <row r="329" spans="28:30" ht="13.2">
      <c r="AB329" s="6"/>
      <c r="AC329" s="6"/>
      <c r="AD329" s="6"/>
    </row>
    <row r="330" spans="28:30" ht="13.2">
      <c r="AB330" s="6"/>
      <c r="AC330" s="6"/>
      <c r="AD330" s="6"/>
    </row>
    <row r="331" spans="28:30" ht="13.2">
      <c r="AB331" s="6"/>
      <c r="AC331" s="6"/>
      <c r="AD331" s="6"/>
    </row>
    <row r="332" spans="28:30" ht="13.2">
      <c r="AB332" s="6"/>
      <c r="AC332" s="6"/>
      <c r="AD332" s="6"/>
    </row>
    <row r="333" spans="28:30" ht="13.2">
      <c r="AB333" s="6"/>
      <c r="AC333" s="6"/>
      <c r="AD333" s="6"/>
    </row>
    <row r="334" spans="28:30" ht="13.2">
      <c r="AB334" s="6"/>
      <c r="AC334" s="6"/>
      <c r="AD334" s="6"/>
    </row>
    <row r="335" spans="28:30" ht="13.2">
      <c r="AB335" s="6"/>
      <c r="AC335" s="6"/>
      <c r="AD335" s="6"/>
    </row>
    <row r="336" spans="28:30" ht="13.2">
      <c r="AB336" s="6"/>
      <c r="AC336" s="6"/>
      <c r="AD336" s="6"/>
    </row>
    <row r="337" spans="28:30" ht="13.2">
      <c r="AB337" s="6"/>
      <c r="AC337" s="6"/>
      <c r="AD337" s="6"/>
    </row>
    <row r="338" spans="28:30" ht="13.2">
      <c r="AB338" s="6"/>
      <c r="AC338" s="6"/>
      <c r="AD338" s="6"/>
    </row>
    <row r="339" spans="28:30" ht="13.2">
      <c r="AB339" s="6"/>
      <c r="AC339" s="6"/>
      <c r="AD339" s="6"/>
    </row>
    <row r="340" spans="28:30" ht="13.2">
      <c r="AB340" s="6"/>
      <c r="AC340" s="6"/>
      <c r="AD340" s="6"/>
    </row>
    <row r="341" spans="28:30" ht="13.2">
      <c r="AB341" s="6"/>
      <c r="AC341" s="6"/>
      <c r="AD341" s="6"/>
    </row>
    <row r="342" spans="28:30" ht="13.2">
      <c r="AB342" s="6"/>
      <c r="AC342" s="6"/>
      <c r="AD342" s="6"/>
    </row>
    <row r="343" spans="28:30" ht="13.2">
      <c r="AB343" s="6"/>
      <c r="AC343" s="6"/>
      <c r="AD343" s="6"/>
    </row>
    <row r="344" spans="28:30" ht="13.2">
      <c r="AB344" s="6"/>
      <c r="AC344" s="6"/>
      <c r="AD344" s="6"/>
    </row>
    <row r="345" spans="28:30" ht="13.2">
      <c r="AB345" s="6"/>
      <c r="AC345" s="6"/>
      <c r="AD345" s="6"/>
    </row>
    <row r="346" spans="28:30" ht="13.2">
      <c r="AB346" s="6"/>
      <c r="AC346" s="6"/>
      <c r="AD346" s="6"/>
    </row>
    <row r="347" spans="28:30" ht="13.2">
      <c r="AB347" s="6"/>
      <c r="AC347" s="6"/>
      <c r="AD347" s="6"/>
    </row>
    <row r="348" spans="28:30" ht="13.2">
      <c r="AB348" s="6"/>
      <c r="AC348" s="6"/>
      <c r="AD348" s="6"/>
    </row>
    <row r="349" spans="28:30" ht="13.2">
      <c r="AB349" s="6"/>
      <c r="AC349" s="6"/>
      <c r="AD349" s="6"/>
    </row>
    <row r="350" spans="28:30" ht="13.2">
      <c r="AB350" s="6"/>
      <c r="AC350" s="6"/>
      <c r="AD350" s="6"/>
    </row>
    <row r="351" spans="28:30" ht="13.2">
      <c r="AB351" s="6"/>
      <c r="AC351" s="6"/>
      <c r="AD351" s="6"/>
    </row>
    <row r="352" spans="28:30" ht="13.2">
      <c r="AB352" s="6"/>
      <c r="AC352" s="6"/>
      <c r="AD352" s="6"/>
    </row>
    <row r="353" spans="28:30" ht="13.2">
      <c r="AB353" s="6"/>
      <c r="AC353" s="6"/>
      <c r="AD353" s="6"/>
    </row>
    <row r="354" spans="28:30" ht="13.2">
      <c r="AB354" s="6"/>
      <c r="AC354" s="6"/>
      <c r="AD354" s="6"/>
    </row>
    <row r="355" spans="28:30" ht="13.2">
      <c r="AB355" s="6"/>
      <c r="AC355" s="6"/>
      <c r="AD355" s="6"/>
    </row>
    <row r="356" spans="28:30" ht="13.2">
      <c r="AB356" s="6"/>
      <c r="AC356" s="6"/>
      <c r="AD356" s="6"/>
    </row>
    <row r="357" spans="28:30" ht="13.2">
      <c r="AB357" s="6"/>
      <c r="AC357" s="6"/>
      <c r="AD357" s="6"/>
    </row>
    <row r="358" spans="28:30" ht="13.2">
      <c r="AB358" s="6"/>
      <c r="AC358" s="6"/>
      <c r="AD358" s="6"/>
    </row>
    <row r="359" spans="28:30" ht="13.2">
      <c r="AB359" s="6"/>
      <c r="AC359" s="6"/>
      <c r="AD359" s="6"/>
    </row>
    <row r="360" spans="28:30" ht="13.2">
      <c r="AB360" s="6"/>
      <c r="AC360" s="6"/>
      <c r="AD360" s="6"/>
    </row>
    <row r="361" spans="28:30" ht="13.2">
      <c r="AB361" s="6"/>
      <c r="AC361" s="6"/>
      <c r="AD361" s="6"/>
    </row>
    <row r="362" spans="28:30" ht="13.2">
      <c r="AB362" s="6"/>
      <c r="AC362" s="6"/>
      <c r="AD362" s="6"/>
    </row>
    <row r="363" spans="28:30" ht="13.2">
      <c r="AB363" s="6"/>
      <c r="AC363" s="6"/>
      <c r="AD363" s="6"/>
    </row>
    <row r="364" spans="28:30" ht="13.2">
      <c r="AB364" s="6"/>
      <c r="AC364" s="6"/>
      <c r="AD364" s="6"/>
    </row>
    <row r="365" spans="28:30" ht="13.2">
      <c r="AB365" s="6"/>
      <c r="AC365" s="6"/>
      <c r="AD365" s="6"/>
    </row>
    <row r="366" spans="28:30" ht="13.2">
      <c r="AB366" s="6"/>
      <c r="AC366" s="6"/>
      <c r="AD366" s="6"/>
    </row>
    <row r="367" spans="28:30" ht="13.2">
      <c r="AB367" s="6"/>
      <c r="AC367" s="6"/>
      <c r="AD367" s="6"/>
    </row>
    <row r="368" spans="28:30" ht="13.2">
      <c r="AB368" s="6"/>
      <c r="AC368" s="6"/>
      <c r="AD368" s="6"/>
    </row>
    <row r="369" spans="28:30" ht="13.2">
      <c r="AB369" s="6"/>
      <c r="AC369" s="6"/>
      <c r="AD369" s="6"/>
    </row>
    <row r="370" spans="28:30" ht="13.2">
      <c r="AB370" s="6"/>
      <c r="AC370" s="6"/>
      <c r="AD370" s="6"/>
    </row>
    <row r="371" spans="28:30" ht="13.2">
      <c r="AB371" s="6"/>
      <c r="AC371" s="6"/>
      <c r="AD371" s="6"/>
    </row>
    <row r="372" spans="28:30" ht="13.2">
      <c r="AB372" s="6"/>
      <c r="AC372" s="6"/>
      <c r="AD372" s="6"/>
    </row>
    <row r="373" spans="28:30" ht="13.2">
      <c r="AB373" s="6"/>
      <c r="AC373" s="6"/>
      <c r="AD373" s="6"/>
    </row>
    <row r="374" spans="28:30" ht="13.2">
      <c r="AB374" s="6"/>
      <c r="AC374" s="6"/>
      <c r="AD374" s="6"/>
    </row>
    <row r="375" spans="28:30" ht="13.2">
      <c r="AB375" s="6"/>
      <c r="AC375" s="6"/>
      <c r="AD375" s="6"/>
    </row>
    <row r="376" spans="28:30" ht="13.2">
      <c r="AB376" s="6"/>
      <c r="AC376" s="6"/>
      <c r="AD376" s="6"/>
    </row>
    <row r="377" spans="28:30" ht="13.2">
      <c r="AB377" s="6"/>
      <c r="AC377" s="6"/>
      <c r="AD377" s="6"/>
    </row>
    <row r="378" spans="28:30" ht="13.2">
      <c r="AB378" s="6"/>
      <c r="AC378" s="6"/>
      <c r="AD378" s="6"/>
    </row>
    <row r="379" spans="28:30" ht="13.2">
      <c r="AB379" s="6"/>
      <c r="AC379" s="6"/>
      <c r="AD379" s="6"/>
    </row>
    <row r="380" spans="28:30" ht="13.2">
      <c r="AB380" s="6"/>
      <c r="AC380" s="6"/>
      <c r="AD380" s="6"/>
    </row>
    <row r="381" spans="28:30" ht="13.2">
      <c r="AB381" s="6"/>
      <c r="AC381" s="6"/>
      <c r="AD381" s="6"/>
    </row>
    <row r="382" spans="28:30" ht="13.2">
      <c r="AB382" s="6"/>
      <c r="AC382" s="6"/>
      <c r="AD382" s="6"/>
    </row>
    <row r="383" spans="28:30" ht="13.2">
      <c r="AB383" s="6"/>
      <c r="AC383" s="6"/>
      <c r="AD383" s="6"/>
    </row>
    <row r="384" spans="28:30" ht="13.2">
      <c r="AB384" s="6"/>
      <c r="AC384" s="6"/>
      <c r="AD384" s="6"/>
    </row>
    <row r="385" spans="28:30" ht="13.2">
      <c r="AB385" s="6"/>
      <c r="AC385" s="6"/>
      <c r="AD385" s="6"/>
    </row>
    <row r="386" spans="28:30" ht="13.2">
      <c r="AB386" s="6"/>
      <c r="AC386" s="6"/>
      <c r="AD386" s="6"/>
    </row>
    <row r="387" spans="28:30" ht="13.2">
      <c r="AB387" s="6"/>
      <c r="AC387" s="6"/>
      <c r="AD387" s="6"/>
    </row>
    <row r="388" spans="28:30" ht="13.2">
      <c r="AB388" s="6"/>
      <c r="AC388" s="6"/>
      <c r="AD388" s="6"/>
    </row>
    <row r="389" spans="28:30" ht="13.2">
      <c r="AB389" s="6"/>
      <c r="AC389" s="6"/>
      <c r="AD389" s="6"/>
    </row>
    <row r="390" spans="28:30" ht="13.2">
      <c r="AB390" s="6"/>
      <c r="AC390" s="6"/>
      <c r="AD390" s="6"/>
    </row>
    <row r="391" spans="28:30" ht="13.2">
      <c r="AB391" s="6"/>
      <c r="AC391" s="6"/>
      <c r="AD391" s="6"/>
    </row>
    <row r="392" spans="28:30" ht="13.2">
      <c r="AB392" s="6"/>
      <c r="AC392" s="6"/>
      <c r="AD392" s="6"/>
    </row>
    <row r="393" spans="28:30" ht="13.2">
      <c r="AB393" s="6"/>
      <c r="AC393" s="6"/>
      <c r="AD393" s="6"/>
    </row>
    <row r="394" spans="28:30" ht="13.2">
      <c r="AB394" s="6"/>
      <c r="AC394" s="6"/>
      <c r="AD394" s="6"/>
    </row>
    <row r="395" spans="28:30" ht="13.2">
      <c r="AB395" s="6"/>
      <c r="AC395" s="6"/>
      <c r="AD395" s="6"/>
    </row>
    <row r="396" spans="28:30" ht="13.2">
      <c r="AB396" s="6"/>
      <c r="AC396" s="6"/>
      <c r="AD396" s="6"/>
    </row>
    <row r="397" spans="28:30" ht="13.2">
      <c r="AB397" s="6"/>
      <c r="AC397" s="6"/>
      <c r="AD397" s="6"/>
    </row>
    <row r="398" spans="28:30" ht="13.2">
      <c r="AB398" s="6"/>
      <c r="AC398" s="6"/>
      <c r="AD398" s="6"/>
    </row>
    <row r="399" spans="28:30" ht="13.2">
      <c r="AB399" s="6"/>
      <c r="AC399" s="6"/>
      <c r="AD399" s="6"/>
    </row>
    <row r="400" spans="28:30" ht="13.2">
      <c r="AB400" s="6"/>
      <c r="AC400" s="6"/>
      <c r="AD400" s="6"/>
    </row>
    <row r="401" spans="28:30" ht="13.2">
      <c r="AB401" s="6"/>
      <c r="AC401" s="6"/>
      <c r="AD401" s="6"/>
    </row>
    <row r="402" spans="28:30" ht="13.2">
      <c r="AB402" s="6"/>
      <c r="AC402" s="6"/>
      <c r="AD402" s="6"/>
    </row>
    <row r="403" spans="28:30" ht="13.2">
      <c r="AB403" s="6"/>
      <c r="AC403" s="6"/>
      <c r="AD403" s="6"/>
    </row>
    <row r="404" spans="28:30" ht="13.2">
      <c r="AB404" s="6"/>
      <c r="AC404" s="6"/>
      <c r="AD404" s="6"/>
    </row>
    <row r="405" spans="28:30" ht="13.2">
      <c r="AB405" s="6"/>
      <c r="AC405" s="6"/>
      <c r="AD405" s="6"/>
    </row>
    <row r="406" spans="28:30" ht="13.2">
      <c r="AB406" s="6"/>
      <c r="AC406" s="6"/>
      <c r="AD406" s="6"/>
    </row>
    <row r="407" spans="28:30" ht="13.2">
      <c r="AB407" s="6"/>
      <c r="AC407" s="6"/>
      <c r="AD407" s="6"/>
    </row>
    <row r="408" spans="28:30" ht="13.2">
      <c r="AB408" s="6"/>
      <c r="AC408" s="6"/>
      <c r="AD408" s="6"/>
    </row>
    <row r="409" spans="28:30" ht="13.2">
      <c r="AB409" s="6"/>
      <c r="AC409" s="6"/>
      <c r="AD409" s="6"/>
    </row>
    <row r="410" spans="28:30" ht="13.2">
      <c r="AB410" s="6"/>
      <c r="AC410" s="6"/>
      <c r="AD410" s="6"/>
    </row>
    <row r="411" spans="28:30" ht="13.2">
      <c r="AB411" s="6"/>
      <c r="AC411" s="6"/>
      <c r="AD411" s="6"/>
    </row>
    <row r="412" spans="28:30" ht="13.2">
      <c r="AB412" s="6"/>
      <c r="AC412" s="6"/>
      <c r="AD412" s="6"/>
    </row>
    <row r="413" spans="28:30" ht="13.2">
      <c r="AB413" s="6"/>
      <c r="AC413" s="6"/>
      <c r="AD413" s="6"/>
    </row>
    <row r="414" spans="28:30" ht="13.2">
      <c r="AB414" s="6"/>
      <c r="AC414" s="6"/>
      <c r="AD414" s="6"/>
    </row>
    <row r="415" spans="28:30" ht="13.2">
      <c r="AB415" s="6"/>
      <c r="AC415" s="6"/>
      <c r="AD415" s="6"/>
    </row>
    <row r="416" spans="28:30" ht="13.2">
      <c r="AB416" s="6"/>
      <c r="AC416" s="6"/>
      <c r="AD416" s="6"/>
    </row>
    <row r="417" spans="28:30" ht="13.2">
      <c r="AB417" s="6"/>
      <c r="AC417" s="6"/>
      <c r="AD417" s="6"/>
    </row>
    <row r="418" spans="28:30" ht="13.2">
      <c r="AB418" s="6"/>
      <c r="AC418" s="6"/>
      <c r="AD418" s="6"/>
    </row>
    <row r="419" spans="28:30" ht="13.2">
      <c r="AB419" s="6"/>
      <c r="AC419" s="6"/>
      <c r="AD419" s="6"/>
    </row>
    <row r="420" spans="28:30" ht="13.2">
      <c r="AB420" s="6"/>
      <c r="AC420" s="6"/>
      <c r="AD420" s="6"/>
    </row>
    <row r="421" spans="28:30" ht="13.2">
      <c r="AB421" s="6"/>
      <c r="AC421" s="6"/>
      <c r="AD421" s="6"/>
    </row>
    <row r="422" spans="28:30" ht="13.2">
      <c r="AB422" s="6"/>
      <c r="AC422" s="6"/>
      <c r="AD422" s="6"/>
    </row>
    <row r="423" spans="28:30" ht="13.2">
      <c r="AB423" s="6"/>
      <c r="AC423" s="6"/>
      <c r="AD423" s="6"/>
    </row>
    <row r="424" spans="28:30" ht="13.2">
      <c r="AB424" s="6"/>
      <c r="AC424" s="6"/>
      <c r="AD424" s="6"/>
    </row>
    <row r="425" spans="28:30" ht="13.2">
      <c r="AB425" s="6"/>
      <c r="AC425" s="6"/>
      <c r="AD425" s="6"/>
    </row>
    <row r="426" spans="28:30" ht="13.2">
      <c r="AB426" s="6"/>
      <c r="AC426" s="6"/>
      <c r="AD426" s="6"/>
    </row>
    <row r="427" spans="28:30" ht="13.2">
      <c r="AB427" s="6"/>
      <c r="AC427" s="6"/>
      <c r="AD427" s="6"/>
    </row>
    <row r="428" spans="28:30" ht="13.2">
      <c r="AB428" s="6"/>
      <c r="AC428" s="6"/>
      <c r="AD428" s="6"/>
    </row>
    <row r="429" spans="28:30" ht="13.2">
      <c r="AB429" s="6"/>
      <c r="AC429" s="6"/>
      <c r="AD429" s="6"/>
    </row>
    <row r="430" spans="28:30" ht="13.2">
      <c r="AB430" s="6"/>
      <c r="AC430" s="6"/>
      <c r="AD430" s="6"/>
    </row>
    <row r="431" spans="28:30" ht="13.2">
      <c r="AB431" s="6"/>
      <c r="AC431" s="6"/>
      <c r="AD431" s="6"/>
    </row>
    <row r="432" spans="28:30" ht="13.2">
      <c r="AB432" s="6"/>
      <c r="AC432" s="6"/>
      <c r="AD432" s="6"/>
    </row>
    <row r="433" spans="28:30" ht="13.2">
      <c r="AB433" s="6"/>
      <c r="AC433" s="6"/>
      <c r="AD433" s="6"/>
    </row>
    <row r="434" spans="28:30" ht="13.2">
      <c r="AB434" s="6"/>
      <c r="AC434" s="6"/>
      <c r="AD434" s="6"/>
    </row>
    <row r="435" spans="28:30" ht="13.2">
      <c r="AB435" s="6"/>
      <c r="AC435" s="6"/>
      <c r="AD435" s="6"/>
    </row>
    <row r="436" spans="28:30" ht="13.2">
      <c r="AB436" s="6"/>
      <c r="AC436" s="6"/>
      <c r="AD436" s="6"/>
    </row>
    <row r="437" spans="28:30" ht="13.2">
      <c r="AB437" s="6"/>
      <c r="AC437" s="6"/>
      <c r="AD437" s="6"/>
    </row>
    <row r="438" spans="28:30" ht="13.2">
      <c r="AB438" s="6"/>
      <c r="AC438" s="6"/>
      <c r="AD438" s="6"/>
    </row>
    <row r="439" spans="28:30" ht="13.2">
      <c r="AB439" s="6"/>
      <c r="AC439" s="6"/>
      <c r="AD439" s="6"/>
    </row>
    <row r="440" spans="28:30" ht="13.2">
      <c r="AB440" s="6"/>
      <c r="AC440" s="6"/>
      <c r="AD440" s="6"/>
    </row>
    <row r="441" spans="28:30" ht="13.2">
      <c r="AB441" s="6"/>
      <c r="AC441" s="6"/>
      <c r="AD441" s="6"/>
    </row>
    <row r="442" spans="28:30" ht="13.2">
      <c r="AB442" s="6"/>
      <c r="AC442" s="6"/>
      <c r="AD442" s="6"/>
    </row>
    <row r="443" spans="28:30" ht="13.2">
      <c r="AB443" s="6"/>
      <c r="AC443" s="6"/>
      <c r="AD443" s="6"/>
    </row>
    <row r="444" spans="28:30" ht="13.2">
      <c r="AB444" s="6"/>
      <c r="AC444" s="6"/>
      <c r="AD444" s="6"/>
    </row>
    <row r="445" spans="28:30" ht="13.2">
      <c r="AB445" s="6"/>
      <c r="AC445" s="6"/>
      <c r="AD445" s="6"/>
    </row>
    <row r="446" spans="28:30" ht="13.2">
      <c r="AB446" s="6"/>
      <c r="AC446" s="6"/>
      <c r="AD446" s="6"/>
    </row>
    <row r="447" spans="28:30" ht="13.2">
      <c r="AB447" s="6"/>
      <c r="AC447" s="6"/>
      <c r="AD447" s="6"/>
    </row>
    <row r="448" spans="28:30" ht="13.2">
      <c r="AB448" s="6"/>
      <c r="AC448" s="6"/>
      <c r="AD448" s="6"/>
    </row>
    <row r="449" spans="28:30" ht="13.2">
      <c r="AB449" s="6"/>
      <c r="AC449" s="6"/>
      <c r="AD449" s="6"/>
    </row>
    <row r="450" spans="28:30" ht="13.2">
      <c r="AB450" s="6"/>
      <c r="AC450" s="6"/>
      <c r="AD450" s="6"/>
    </row>
    <row r="451" spans="28:30" ht="13.2">
      <c r="AB451" s="6"/>
      <c r="AC451" s="6"/>
      <c r="AD451" s="6"/>
    </row>
    <row r="452" spans="28:30" ht="13.2">
      <c r="AB452" s="6"/>
      <c r="AC452" s="6"/>
      <c r="AD452" s="6"/>
    </row>
    <row r="453" spans="28:30" ht="13.2">
      <c r="AB453" s="6"/>
      <c r="AC453" s="6"/>
      <c r="AD453" s="6"/>
    </row>
    <row r="454" spans="28:30" ht="13.2">
      <c r="AB454" s="6"/>
      <c r="AC454" s="6"/>
      <c r="AD454" s="6"/>
    </row>
    <row r="455" spans="28:30" ht="13.2">
      <c r="AB455" s="6"/>
      <c r="AC455" s="6"/>
      <c r="AD455" s="6"/>
    </row>
    <row r="456" spans="28:30" ht="13.2">
      <c r="AB456" s="6"/>
      <c r="AC456" s="6"/>
      <c r="AD456" s="6"/>
    </row>
    <row r="457" spans="28:30" ht="13.2">
      <c r="AB457" s="6"/>
      <c r="AC457" s="6"/>
      <c r="AD457" s="6"/>
    </row>
    <row r="458" spans="28:30" ht="13.2">
      <c r="AB458" s="6"/>
      <c r="AC458" s="6"/>
      <c r="AD458" s="6"/>
    </row>
    <row r="459" spans="28:30" ht="13.2">
      <c r="AB459" s="6"/>
      <c r="AC459" s="6"/>
      <c r="AD459" s="6"/>
    </row>
    <row r="460" spans="28:30" ht="13.2">
      <c r="AB460" s="6"/>
      <c r="AC460" s="6"/>
      <c r="AD460" s="6"/>
    </row>
    <row r="461" spans="28:30" ht="13.2">
      <c r="AB461" s="6"/>
      <c r="AC461" s="6"/>
      <c r="AD461" s="6"/>
    </row>
    <row r="462" spans="28:30" ht="13.2">
      <c r="AB462" s="6"/>
      <c r="AC462" s="6"/>
      <c r="AD462" s="6"/>
    </row>
    <row r="463" spans="28:30" ht="13.2">
      <c r="AB463" s="6"/>
      <c r="AC463" s="6"/>
      <c r="AD463" s="6"/>
    </row>
    <row r="464" spans="28:30" ht="13.2">
      <c r="AB464" s="6"/>
      <c r="AC464" s="6"/>
      <c r="AD464" s="6"/>
    </row>
    <row r="465" spans="28:30" ht="13.2">
      <c r="AB465" s="6"/>
      <c r="AC465" s="6"/>
      <c r="AD465" s="6"/>
    </row>
    <row r="466" spans="28:30" ht="13.2">
      <c r="AB466" s="6"/>
      <c r="AC466" s="6"/>
      <c r="AD466" s="6"/>
    </row>
    <row r="467" spans="28:30" ht="13.2">
      <c r="AB467" s="6"/>
      <c r="AC467" s="6"/>
      <c r="AD467" s="6"/>
    </row>
    <row r="468" spans="28:30" ht="13.2">
      <c r="AB468" s="6"/>
      <c r="AC468" s="6"/>
      <c r="AD468" s="6"/>
    </row>
    <row r="469" spans="28:30" ht="13.2">
      <c r="AB469" s="6"/>
      <c r="AC469" s="6"/>
      <c r="AD469" s="6"/>
    </row>
    <row r="470" spans="28:30" ht="13.2">
      <c r="AB470" s="6"/>
      <c r="AC470" s="6"/>
      <c r="AD470" s="6"/>
    </row>
    <row r="471" spans="28:30" ht="13.2">
      <c r="AB471" s="6"/>
      <c r="AC471" s="6"/>
      <c r="AD471" s="6"/>
    </row>
    <row r="472" spans="28:30" ht="13.2">
      <c r="AB472" s="6"/>
      <c r="AC472" s="6"/>
      <c r="AD472" s="6"/>
    </row>
    <row r="473" spans="28:30" ht="13.2">
      <c r="AB473" s="6"/>
      <c r="AC473" s="6"/>
      <c r="AD473" s="6"/>
    </row>
    <row r="474" spans="28:30" ht="13.2">
      <c r="AB474" s="6"/>
      <c r="AC474" s="6"/>
      <c r="AD474" s="6"/>
    </row>
    <row r="475" spans="28:30" ht="13.2">
      <c r="AB475" s="6"/>
      <c r="AC475" s="6"/>
      <c r="AD475" s="6"/>
    </row>
    <row r="476" spans="28:30" ht="13.2">
      <c r="AB476" s="6"/>
      <c r="AC476" s="6"/>
      <c r="AD476" s="6"/>
    </row>
    <row r="477" spans="28:30" ht="13.2">
      <c r="AB477" s="6"/>
      <c r="AC477" s="6"/>
      <c r="AD477" s="6"/>
    </row>
    <row r="478" spans="28:30" ht="13.2">
      <c r="AB478" s="6"/>
      <c r="AC478" s="6"/>
      <c r="AD478" s="6"/>
    </row>
    <row r="479" spans="28:30" ht="13.2">
      <c r="AB479" s="6"/>
      <c r="AC479" s="6"/>
      <c r="AD479" s="6"/>
    </row>
    <row r="480" spans="28:30" ht="13.2">
      <c r="AB480" s="6"/>
      <c r="AC480" s="6"/>
      <c r="AD480" s="6"/>
    </row>
    <row r="481" spans="28:30" ht="13.2">
      <c r="AB481" s="6"/>
      <c r="AC481" s="6"/>
      <c r="AD481" s="6"/>
    </row>
    <row r="482" spans="28:30" ht="13.2">
      <c r="AB482" s="6"/>
      <c r="AC482" s="6"/>
      <c r="AD482" s="6"/>
    </row>
    <row r="483" spans="28:30" ht="13.2">
      <c r="AB483" s="6"/>
      <c r="AC483" s="6"/>
      <c r="AD483" s="6"/>
    </row>
    <row r="484" spans="28:30" ht="13.2">
      <c r="AB484" s="6"/>
      <c r="AC484" s="6"/>
      <c r="AD484" s="6"/>
    </row>
    <row r="485" spans="28:30" ht="13.2">
      <c r="AB485" s="6"/>
      <c r="AC485" s="6"/>
      <c r="AD485" s="6"/>
    </row>
    <row r="486" spans="28:30" ht="13.2">
      <c r="AB486" s="6"/>
      <c r="AC486" s="6"/>
      <c r="AD486" s="6"/>
    </row>
    <row r="487" spans="28:30" ht="13.2">
      <c r="AB487" s="6"/>
      <c r="AC487" s="6"/>
      <c r="AD487" s="6"/>
    </row>
    <row r="488" spans="28:30" ht="13.2">
      <c r="AB488" s="6"/>
      <c r="AC488" s="6"/>
      <c r="AD488" s="6"/>
    </row>
    <row r="489" spans="28:30" ht="13.2">
      <c r="AB489" s="6"/>
      <c r="AC489" s="6"/>
      <c r="AD489" s="6"/>
    </row>
    <row r="490" spans="28:30" ht="13.2">
      <c r="AB490" s="6"/>
      <c r="AC490" s="6"/>
      <c r="AD490" s="6"/>
    </row>
    <row r="491" spans="28:30" ht="13.2">
      <c r="AB491" s="6"/>
      <c r="AC491" s="6"/>
      <c r="AD491" s="6"/>
    </row>
    <row r="492" spans="28:30" ht="13.2">
      <c r="AB492" s="6"/>
      <c r="AC492" s="6"/>
      <c r="AD492" s="6"/>
    </row>
    <row r="493" spans="28:30" ht="13.2">
      <c r="AB493" s="6"/>
      <c r="AC493" s="6"/>
      <c r="AD493" s="6"/>
    </row>
    <row r="494" spans="28:30" ht="13.2">
      <c r="AB494" s="6"/>
      <c r="AC494" s="6"/>
      <c r="AD494" s="6"/>
    </row>
    <row r="495" spans="28:30" ht="13.2">
      <c r="AB495" s="6"/>
      <c r="AC495" s="6"/>
      <c r="AD495" s="6"/>
    </row>
    <row r="496" spans="28:30" ht="13.2">
      <c r="AB496" s="6"/>
      <c r="AC496" s="6"/>
      <c r="AD496" s="6"/>
    </row>
    <row r="497" spans="28:30" ht="13.2">
      <c r="AB497" s="6"/>
      <c r="AC497" s="6"/>
      <c r="AD497" s="6"/>
    </row>
    <row r="498" spans="28:30" ht="13.2">
      <c r="AB498" s="6"/>
      <c r="AC498" s="6"/>
      <c r="AD498" s="6"/>
    </row>
    <row r="499" spans="28:30" ht="13.2">
      <c r="AB499" s="6"/>
      <c r="AC499" s="6"/>
      <c r="AD499" s="6"/>
    </row>
    <row r="500" spans="28:30" ht="13.2">
      <c r="AB500" s="6"/>
      <c r="AC500" s="6"/>
      <c r="AD500" s="6"/>
    </row>
    <row r="501" spans="28:30" ht="13.2">
      <c r="AB501" s="6"/>
      <c r="AC501" s="6"/>
      <c r="AD501" s="6"/>
    </row>
    <row r="502" spans="28:30" ht="13.2">
      <c r="AB502" s="6"/>
      <c r="AC502" s="6"/>
      <c r="AD502" s="6"/>
    </row>
    <row r="503" spans="28:30" ht="13.2">
      <c r="AB503" s="6"/>
      <c r="AC503" s="6"/>
      <c r="AD503" s="6"/>
    </row>
    <row r="504" spans="28:30" ht="13.2">
      <c r="AB504" s="6"/>
      <c r="AC504" s="6"/>
      <c r="AD504" s="6"/>
    </row>
    <row r="505" spans="28:30" ht="13.2">
      <c r="AB505" s="6"/>
      <c r="AC505" s="6"/>
      <c r="AD505" s="6"/>
    </row>
    <row r="506" spans="28:30" ht="13.2">
      <c r="AB506" s="6"/>
      <c r="AC506" s="6"/>
      <c r="AD506" s="6"/>
    </row>
    <row r="507" spans="28:30" ht="13.2">
      <c r="AB507" s="6"/>
      <c r="AC507" s="6"/>
      <c r="AD507" s="6"/>
    </row>
    <row r="508" spans="28:30" ht="13.2">
      <c r="AB508" s="6"/>
      <c r="AC508" s="6"/>
      <c r="AD508" s="6"/>
    </row>
    <row r="509" spans="28:30" ht="13.2">
      <c r="AB509" s="6"/>
      <c r="AC509" s="6"/>
      <c r="AD509" s="6"/>
    </row>
    <row r="510" spans="28:30" ht="13.2">
      <c r="AB510" s="6"/>
      <c r="AC510" s="6"/>
      <c r="AD510" s="6"/>
    </row>
    <row r="511" spans="28:30" ht="13.2">
      <c r="AB511" s="6"/>
      <c r="AC511" s="6"/>
      <c r="AD511" s="6"/>
    </row>
    <row r="512" spans="28:30" ht="13.2">
      <c r="AB512" s="6"/>
      <c r="AC512" s="6"/>
      <c r="AD512" s="6"/>
    </row>
    <row r="513" spans="28:30" ht="13.2">
      <c r="AB513" s="6"/>
      <c r="AC513" s="6"/>
      <c r="AD513" s="6"/>
    </row>
    <row r="514" spans="28:30" ht="13.2">
      <c r="AB514" s="6"/>
      <c r="AC514" s="6"/>
      <c r="AD514" s="6"/>
    </row>
    <row r="515" spans="28:30" ht="13.2">
      <c r="AB515" s="6"/>
      <c r="AC515" s="6"/>
      <c r="AD515" s="6"/>
    </row>
    <row r="516" spans="28:30" ht="13.2">
      <c r="AB516" s="6"/>
      <c r="AC516" s="6"/>
      <c r="AD516" s="6"/>
    </row>
    <row r="517" spans="28:30" ht="13.2">
      <c r="AB517" s="6"/>
      <c r="AC517" s="6"/>
      <c r="AD517" s="6"/>
    </row>
    <row r="518" spans="28:30" ht="13.2">
      <c r="AB518" s="6"/>
      <c r="AC518" s="6"/>
      <c r="AD518" s="6"/>
    </row>
    <row r="519" spans="28:30" ht="13.2">
      <c r="AB519" s="6"/>
      <c r="AC519" s="6"/>
      <c r="AD519" s="6"/>
    </row>
    <row r="520" spans="28:30" ht="13.2">
      <c r="AB520" s="6"/>
      <c r="AC520" s="6"/>
      <c r="AD520" s="6"/>
    </row>
    <row r="521" spans="28:30" ht="13.2">
      <c r="AB521" s="6"/>
      <c r="AC521" s="6"/>
      <c r="AD521" s="6"/>
    </row>
    <row r="522" spans="28:30" ht="13.2">
      <c r="AB522" s="6"/>
      <c r="AC522" s="6"/>
      <c r="AD522" s="6"/>
    </row>
    <row r="523" spans="28:30" ht="13.2">
      <c r="AB523" s="6"/>
      <c r="AC523" s="6"/>
      <c r="AD523" s="6"/>
    </row>
    <row r="524" spans="28:30" ht="13.2">
      <c r="AB524" s="6"/>
      <c r="AC524" s="6"/>
      <c r="AD524" s="6"/>
    </row>
    <row r="525" spans="28:30" ht="13.2">
      <c r="AB525" s="6"/>
      <c r="AC525" s="6"/>
      <c r="AD525" s="6"/>
    </row>
    <row r="526" spans="28:30" ht="13.2">
      <c r="AB526" s="6"/>
      <c r="AC526" s="6"/>
      <c r="AD526" s="6"/>
    </row>
    <row r="527" spans="28:30" ht="13.2">
      <c r="AB527" s="6"/>
      <c r="AC527" s="6"/>
      <c r="AD527" s="6"/>
    </row>
    <row r="528" spans="28:30" ht="13.2">
      <c r="AB528" s="6"/>
      <c r="AC528" s="6"/>
      <c r="AD528" s="6"/>
    </row>
    <row r="529" spans="28:30" ht="13.2">
      <c r="AB529" s="6"/>
      <c r="AC529" s="6"/>
      <c r="AD529" s="6"/>
    </row>
    <row r="530" spans="28:30" ht="13.2">
      <c r="AB530" s="6"/>
      <c r="AC530" s="6"/>
      <c r="AD530" s="6"/>
    </row>
    <row r="531" spans="28:30" ht="13.2">
      <c r="AB531" s="6"/>
      <c r="AC531" s="6"/>
      <c r="AD531" s="6"/>
    </row>
    <row r="532" spans="28:30" ht="13.2">
      <c r="AB532" s="6"/>
      <c r="AC532" s="6"/>
      <c r="AD532" s="6"/>
    </row>
    <row r="533" spans="28:30" ht="13.2">
      <c r="AB533" s="6"/>
      <c r="AC533" s="6"/>
      <c r="AD533" s="6"/>
    </row>
    <row r="534" spans="28:30" ht="13.2">
      <c r="AB534" s="6"/>
      <c r="AC534" s="6"/>
      <c r="AD534" s="6"/>
    </row>
    <row r="535" spans="28:30" ht="13.2">
      <c r="AB535" s="6"/>
      <c r="AC535" s="6"/>
      <c r="AD535" s="6"/>
    </row>
    <row r="536" spans="28:30" ht="13.2">
      <c r="AB536" s="6"/>
      <c r="AC536" s="6"/>
      <c r="AD536" s="6"/>
    </row>
    <row r="537" spans="28:30" ht="13.2">
      <c r="AB537" s="6"/>
      <c r="AC537" s="6"/>
      <c r="AD537" s="6"/>
    </row>
    <row r="538" spans="28:30" ht="13.2">
      <c r="AB538" s="6"/>
      <c r="AC538" s="6"/>
      <c r="AD538" s="6"/>
    </row>
    <row r="539" spans="28:30" ht="13.2">
      <c r="AB539" s="6"/>
      <c r="AC539" s="6"/>
      <c r="AD539" s="6"/>
    </row>
    <row r="540" spans="28:30" ht="13.2">
      <c r="AB540" s="6"/>
      <c r="AC540" s="6"/>
      <c r="AD540" s="6"/>
    </row>
    <row r="541" spans="28:30" ht="13.2">
      <c r="AB541" s="6"/>
      <c r="AC541" s="6"/>
      <c r="AD541" s="6"/>
    </row>
    <row r="542" spans="28:30" ht="13.2">
      <c r="AB542" s="6"/>
      <c r="AC542" s="6"/>
      <c r="AD542" s="6"/>
    </row>
    <row r="543" spans="28:30" ht="13.2">
      <c r="AB543" s="6"/>
      <c r="AC543" s="6"/>
      <c r="AD543" s="6"/>
    </row>
    <row r="544" spans="28:30" ht="13.2">
      <c r="AB544" s="6"/>
      <c r="AC544" s="6"/>
      <c r="AD544" s="6"/>
    </row>
    <row r="545" spans="28:30" ht="13.2">
      <c r="AB545" s="6"/>
      <c r="AC545" s="6"/>
      <c r="AD545" s="6"/>
    </row>
    <row r="546" spans="28:30" ht="13.2">
      <c r="AB546" s="6"/>
      <c r="AC546" s="6"/>
      <c r="AD546" s="6"/>
    </row>
    <row r="547" spans="28:30" ht="13.2">
      <c r="AB547" s="6"/>
      <c r="AC547" s="6"/>
      <c r="AD547" s="6"/>
    </row>
    <row r="548" spans="28:30" ht="13.2">
      <c r="AB548" s="6"/>
      <c r="AC548" s="6"/>
      <c r="AD548" s="6"/>
    </row>
    <row r="549" spans="28:30" ht="13.2">
      <c r="AB549" s="6"/>
      <c r="AC549" s="6"/>
      <c r="AD549" s="6"/>
    </row>
    <row r="550" spans="28:30" ht="13.2">
      <c r="AB550" s="6"/>
      <c r="AC550" s="6"/>
      <c r="AD550" s="6"/>
    </row>
    <row r="551" spans="28:30" ht="13.2">
      <c r="AB551" s="6"/>
      <c r="AC551" s="6"/>
      <c r="AD551" s="6"/>
    </row>
    <row r="552" spans="28:30" ht="13.2">
      <c r="AB552" s="6"/>
      <c r="AC552" s="6"/>
      <c r="AD552" s="6"/>
    </row>
    <row r="553" spans="28:30" ht="13.2">
      <c r="AB553" s="6"/>
      <c r="AC553" s="6"/>
      <c r="AD553" s="6"/>
    </row>
    <row r="554" spans="28:30" ht="13.2">
      <c r="AB554" s="6"/>
      <c r="AC554" s="6"/>
      <c r="AD554" s="6"/>
    </row>
    <row r="555" spans="28:30" ht="13.2">
      <c r="AB555" s="6"/>
      <c r="AC555" s="6"/>
      <c r="AD555" s="6"/>
    </row>
    <row r="556" spans="28:30" ht="13.2">
      <c r="AB556" s="6"/>
      <c r="AC556" s="6"/>
      <c r="AD556" s="6"/>
    </row>
    <row r="557" spans="28:30" ht="13.2">
      <c r="AB557" s="6"/>
      <c r="AC557" s="6"/>
      <c r="AD557" s="6"/>
    </row>
    <row r="558" spans="28:30" ht="13.2">
      <c r="AB558" s="6"/>
      <c r="AC558" s="6"/>
      <c r="AD558" s="6"/>
    </row>
    <row r="559" spans="28:30" ht="13.2">
      <c r="AB559" s="6"/>
      <c r="AC559" s="6"/>
      <c r="AD559" s="6"/>
    </row>
    <row r="560" spans="28:30" ht="13.2">
      <c r="AB560" s="6"/>
      <c r="AC560" s="6"/>
      <c r="AD560" s="6"/>
    </row>
    <row r="561" spans="28:30" ht="13.2">
      <c r="AB561" s="6"/>
      <c r="AC561" s="6"/>
      <c r="AD561" s="6"/>
    </row>
    <row r="562" spans="28:30" ht="13.2">
      <c r="AB562" s="6"/>
      <c r="AC562" s="6"/>
      <c r="AD562" s="6"/>
    </row>
    <row r="563" spans="28:30" ht="13.2">
      <c r="AB563" s="6"/>
      <c r="AC563" s="6"/>
      <c r="AD563" s="6"/>
    </row>
    <row r="564" spans="28:30" ht="13.2">
      <c r="AB564" s="6"/>
      <c r="AC564" s="6"/>
      <c r="AD564" s="6"/>
    </row>
    <row r="565" spans="28:30" ht="13.2">
      <c r="AB565" s="6"/>
      <c r="AC565" s="6"/>
      <c r="AD565" s="6"/>
    </row>
    <row r="566" spans="28:30" ht="13.2">
      <c r="AB566" s="6"/>
      <c r="AC566" s="6"/>
      <c r="AD566" s="6"/>
    </row>
    <row r="567" spans="28:30" ht="13.2">
      <c r="AB567" s="6"/>
      <c r="AC567" s="6"/>
      <c r="AD567" s="6"/>
    </row>
    <row r="568" spans="28:30" ht="13.2">
      <c r="AB568" s="6"/>
      <c r="AC568" s="6"/>
      <c r="AD568" s="6"/>
    </row>
    <row r="569" spans="28:30" ht="13.2">
      <c r="AB569" s="6"/>
      <c r="AC569" s="6"/>
      <c r="AD569" s="6"/>
    </row>
    <row r="570" spans="28:30" ht="13.2">
      <c r="AB570" s="6"/>
      <c r="AC570" s="6"/>
      <c r="AD570" s="6"/>
    </row>
    <row r="571" spans="28:30" ht="13.2">
      <c r="AB571" s="6"/>
      <c r="AC571" s="6"/>
      <c r="AD571" s="6"/>
    </row>
    <row r="572" spans="28:30" ht="13.2">
      <c r="AB572" s="6"/>
      <c r="AC572" s="6"/>
      <c r="AD572" s="6"/>
    </row>
    <row r="573" spans="28:30" ht="13.2">
      <c r="AB573" s="6"/>
      <c r="AC573" s="6"/>
      <c r="AD573" s="6"/>
    </row>
    <row r="574" spans="28:30" ht="13.2">
      <c r="AB574" s="6"/>
      <c r="AC574" s="6"/>
      <c r="AD574" s="6"/>
    </row>
    <row r="575" spans="28:30" ht="13.2">
      <c r="AB575" s="6"/>
      <c r="AC575" s="6"/>
      <c r="AD575" s="6"/>
    </row>
    <row r="576" spans="28:30" ht="13.2">
      <c r="AB576" s="6"/>
      <c r="AC576" s="6"/>
      <c r="AD576" s="6"/>
    </row>
    <row r="577" spans="28:30" ht="13.2">
      <c r="AB577" s="6"/>
      <c r="AC577" s="6"/>
      <c r="AD577" s="6"/>
    </row>
    <row r="578" spans="28:30" ht="13.2">
      <c r="AB578" s="6"/>
      <c r="AC578" s="6"/>
      <c r="AD578" s="6"/>
    </row>
    <row r="579" spans="28:30" ht="13.2">
      <c r="AB579" s="6"/>
      <c r="AC579" s="6"/>
      <c r="AD579" s="6"/>
    </row>
    <row r="580" spans="28:30" ht="13.2">
      <c r="AB580" s="6"/>
      <c r="AC580" s="6"/>
      <c r="AD580" s="6"/>
    </row>
    <row r="581" spans="28:30" ht="13.2">
      <c r="AB581" s="6"/>
      <c r="AC581" s="6"/>
      <c r="AD581" s="6"/>
    </row>
    <row r="582" spans="28:30" ht="13.2">
      <c r="AB582" s="6"/>
      <c r="AC582" s="6"/>
      <c r="AD582" s="6"/>
    </row>
    <row r="583" spans="28:30" ht="13.2">
      <c r="AB583" s="6"/>
      <c r="AC583" s="6"/>
      <c r="AD583" s="6"/>
    </row>
    <row r="584" spans="28:30" ht="13.2">
      <c r="AB584" s="6"/>
      <c r="AC584" s="6"/>
      <c r="AD584" s="6"/>
    </row>
    <row r="585" spans="28:30" ht="13.2">
      <c r="AB585" s="6"/>
      <c r="AC585" s="6"/>
      <c r="AD585" s="6"/>
    </row>
    <row r="586" spans="28:30" ht="13.2">
      <c r="AB586" s="6"/>
      <c r="AC586" s="6"/>
      <c r="AD586" s="6"/>
    </row>
    <row r="587" spans="28:30" ht="13.2">
      <c r="AB587" s="6"/>
      <c r="AC587" s="6"/>
      <c r="AD587" s="6"/>
    </row>
    <row r="588" spans="28:30" ht="13.2">
      <c r="AB588" s="6"/>
      <c r="AC588" s="6"/>
      <c r="AD588" s="6"/>
    </row>
    <row r="589" spans="28:30" ht="13.2">
      <c r="AB589" s="6"/>
      <c r="AC589" s="6"/>
      <c r="AD589" s="6"/>
    </row>
    <row r="590" spans="28:30" ht="13.2">
      <c r="AB590" s="6"/>
      <c r="AC590" s="6"/>
      <c r="AD590" s="6"/>
    </row>
    <row r="591" spans="28:30" ht="13.2">
      <c r="AB591" s="6"/>
      <c r="AC591" s="6"/>
      <c r="AD591" s="6"/>
    </row>
    <row r="592" spans="28:30" ht="13.2">
      <c r="AB592" s="6"/>
      <c r="AC592" s="6"/>
      <c r="AD592" s="6"/>
    </row>
    <row r="593" spans="28:30" ht="13.2">
      <c r="AB593" s="6"/>
      <c r="AC593" s="6"/>
      <c r="AD593" s="6"/>
    </row>
    <row r="594" spans="28:30" ht="13.2">
      <c r="AB594" s="6"/>
      <c r="AC594" s="6"/>
      <c r="AD594" s="6"/>
    </row>
    <row r="595" spans="28:30" ht="13.2">
      <c r="AB595" s="6"/>
      <c r="AC595" s="6"/>
      <c r="AD595" s="6"/>
    </row>
    <row r="596" spans="28:30" ht="13.2">
      <c r="AB596" s="6"/>
      <c r="AC596" s="6"/>
      <c r="AD596" s="6"/>
    </row>
    <row r="597" spans="28:30" ht="13.2">
      <c r="AB597" s="6"/>
      <c r="AC597" s="6"/>
      <c r="AD597" s="6"/>
    </row>
    <row r="598" spans="28:30" ht="13.2">
      <c r="AB598" s="6"/>
      <c r="AC598" s="6"/>
      <c r="AD598" s="6"/>
    </row>
    <row r="599" spans="28:30" ht="13.2">
      <c r="AB599" s="6"/>
      <c r="AC599" s="6"/>
      <c r="AD599" s="6"/>
    </row>
    <row r="600" spans="28:30" ht="13.2">
      <c r="AB600" s="6"/>
      <c r="AC600" s="6"/>
      <c r="AD600" s="6"/>
    </row>
    <row r="601" spans="28:30" ht="13.2">
      <c r="AB601" s="6"/>
      <c r="AC601" s="6"/>
      <c r="AD601" s="6"/>
    </row>
    <row r="602" spans="28:30" ht="13.2">
      <c r="AB602" s="6"/>
      <c r="AC602" s="6"/>
      <c r="AD602" s="6"/>
    </row>
    <row r="603" spans="28:30" ht="13.2">
      <c r="AB603" s="6"/>
      <c r="AC603" s="6"/>
      <c r="AD603" s="6"/>
    </row>
    <row r="604" spans="28:30" ht="13.2">
      <c r="AB604" s="6"/>
      <c r="AC604" s="6"/>
      <c r="AD604" s="6"/>
    </row>
    <row r="605" spans="28:30" ht="13.2">
      <c r="AB605" s="6"/>
      <c r="AC605" s="6"/>
      <c r="AD605" s="6"/>
    </row>
    <row r="606" spans="28:30" ht="13.2">
      <c r="AB606" s="6"/>
      <c r="AC606" s="6"/>
      <c r="AD606" s="6"/>
    </row>
    <row r="607" spans="28:30" ht="13.2">
      <c r="AB607" s="6"/>
      <c r="AC607" s="6"/>
      <c r="AD607" s="6"/>
    </row>
    <row r="608" spans="28:30" ht="13.2">
      <c r="AB608" s="6"/>
      <c r="AC608" s="6"/>
      <c r="AD608" s="6"/>
    </row>
    <row r="609" spans="28:30" ht="13.2">
      <c r="AB609" s="6"/>
      <c r="AC609" s="6"/>
      <c r="AD609" s="6"/>
    </row>
    <row r="610" spans="28:30" ht="13.2">
      <c r="AB610" s="6"/>
      <c r="AC610" s="6"/>
      <c r="AD610" s="6"/>
    </row>
    <row r="611" spans="28:30" ht="13.2">
      <c r="AB611" s="6"/>
      <c r="AC611" s="6"/>
      <c r="AD611" s="6"/>
    </row>
    <row r="612" spans="28:30" ht="13.2">
      <c r="AB612" s="6"/>
      <c r="AC612" s="6"/>
      <c r="AD612" s="6"/>
    </row>
    <row r="613" spans="28:30" ht="13.2">
      <c r="AB613" s="6"/>
      <c r="AC613" s="6"/>
      <c r="AD613" s="6"/>
    </row>
    <row r="614" spans="28:30" ht="13.2">
      <c r="AB614" s="6"/>
      <c r="AC614" s="6"/>
      <c r="AD614" s="6"/>
    </row>
    <row r="615" spans="28:30" ht="13.2">
      <c r="AB615" s="6"/>
      <c r="AC615" s="6"/>
      <c r="AD615" s="6"/>
    </row>
    <row r="616" spans="28:30" ht="13.2">
      <c r="AB616" s="6"/>
      <c r="AC616" s="6"/>
      <c r="AD616" s="6"/>
    </row>
    <row r="617" spans="28:30" ht="13.2">
      <c r="AB617" s="6"/>
      <c r="AC617" s="6"/>
      <c r="AD617" s="6"/>
    </row>
    <row r="618" spans="28:30" ht="13.2">
      <c r="AB618" s="6"/>
      <c r="AC618" s="6"/>
      <c r="AD618" s="6"/>
    </row>
    <row r="619" spans="28:30" ht="13.2">
      <c r="AB619" s="6"/>
      <c r="AC619" s="6"/>
      <c r="AD619" s="6"/>
    </row>
    <row r="620" spans="28:30" ht="13.2">
      <c r="AB620" s="6"/>
      <c r="AC620" s="6"/>
      <c r="AD620" s="6"/>
    </row>
    <row r="621" spans="28:30" ht="13.2">
      <c r="AB621" s="6"/>
      <c r="AC621" s="6"/>
      <c r="AD621" s="6"/>
    </row>
    <row r="622" spans="28:30" ht="13.2">
      <c r="AB622" s="6"/>
      <c r="AC622" s="6"/>
      <c r="AD622" s="6"/>
    </row>
    <row r="623" spans="28:30" ht="13.2">
      <c r="AB623" s="6"/>
      <c r="AC623" s="6"/>
      <c r="AD623" s="6"/>
    </row>
    <row r="624" spans="28:30" ht="13.2">
      <c r="AB624" s="6"/>
      <c r="AC624" s="6"/>
      <c r="AD624" s="6"/>
    </row>
    <row r="625" spans="28:30" ht="13.2">
      <c r="AB625" s="6"/>
      <c r="AC625" s="6"/>
      <c r="AD625" s="6"/>
    </row>
    <row r="626" spans="28:30" ht="13.2">
      <c r="AB626" s="6"/>
      <c r="AC626" s="6"/>
      <c r="AD626" s="6"/>
    </row>
    <row r="627" spans="28:30" ht="13.2">
      <c r="AB627" s="6"/>
      <c r="AC627" s="6"/>
      <c r="AD627" s="6"/>
    </row>
    <row r="628" spans="28:30" ht="13.2">
      <c r="AB628" s="6"/>
      <c r="AC628" s="6"/>
      <c r="AD628" s="6"/>
    </row>
    <row r="629" spans="28:30" ht="13.2">
      <c r="AB629" s="6"/>
      <c r="AC629" s="6"/>
      <c r="AD629" s="6"/>
    </row>
    <row r="630" spans="28:30" ht="13.2">
      <c r="AB630" s="6"/>
      <c r="AC630" s="6"/>
      <c r="AD630" s="6"/>
    </row>
    <row r="631" spans="28:30" ht="13.2">
      <c r="AB631" s="6"/>
      <c r="AC631" s="6"/>
      <c r="AD631" s="6"/>
    </row>
    <row r="632" spans="28:30" ht="13.2">
      <c r="AB632" s="6"/>
      <c r="AC632" s="6"/>
      <c r="AD632" s="6"/>
    </row>
    <row r="633" spans="28:30" ht="13.2">
      <c r="AB633" s="6"/>
      <c r="AC633" s="6"/>
      <c r="AD633" s="6"/>
    </row>
    <row r="634" spans="28:30" ht="13.2">
      <c r="AB634" s="6"/>
      <c r="AC634" s="6"/>
      <c r="AD634" s="6"/>
    </row>
    <row r="635" spans="28:30" ht="13.2">
      <c r="AB635" s="6"/>
      <c r="AC635" s="6"/>
      <c r="AD635" s="6"/>
    </row>
    <row r="636" spans="28:30" ht="13.2">
      <c r="AB636" s="6"/>
      <c r="AC636" s="6"/>
      <c r="AD636" s="6"/>
    </row>
    <row r="637" spans="28:30" ht="13.2">
      <c r="AB637" s="6"/>
      <c r="AC637" s="6"/>
      <c r="AD637" s="6"/>
    </row>
    <row r="638" spans="28:30" ht="13.2">
      <c r="AB638" s="6"/>
      <c r="AC638" s="6"/>
      <c r="AD638" s="6"/>
    </row>
    <row r="639" spans="28:30" ht="13.2">
      <c r="AB639" s="6"/>
      <c r="AC639" s="6"/>
      <c r="AD639" s="6"/>
    </row>
    <row r="640" spans="28:30" ht="13.2">
      <c r="AB640" s="6"/>
      <c r="AC640" s="6"/>
      <c r="AD640" s="6"/>
    </row>
    <row r="641" spans="28:30" ht="13.2">
      <c r="AB641" s="6"/>
      <c r="AC641" s="6"/>
      <c r="AD641" s="6"/>
    </row>
    <row r="642" spans="28:30" ht="13.2">
      <c r="AB642" s="6"/>
      <c r="AC642" s="6"/>
      <c r="AD642" s="6"/>
    </row>
    <row r="643" spans="28:30" ht="13.2">
      <c r="AB643" s="6"/>
      <c r="AC643" s="6"/>
      <c r="AD643" s="6"/>
    </row>
    <row r="644" spans="28:30" ht="13.2">
      <c r="AB644" s="6"/>
      <c r="AC644" s="6"/>
      <c r="AD644" s="6"/>
    </row>
    <row r="645" spans="28:30" ht="13.2">
      <c r="AB645" s="6"/>
      <c r="AC645" s="6"/>
      <c r="AD645" s="6"/>
    </row>
    <row r="646" spans="28:30" ht="13.2">
      <c r="AB646" s="6"/>
      <c r="AC646" s="6"/>
      <c r="AD646" s="6"/>
    </row>
    <row r="647" spans="28:30" ht="13.2">
      <c r="AB647" s="6"/>
      <c r="AC647" s="6"/>
      <c r="AD647" s="6"/>
    </row>
    <row r="648" spans="28:30" ht="13.2">
      <c r="AB648" s="6"/>
      <c r="AC648" s="6"/>
      <c r="AD648" s="6"/>
    </row>
    <row r="649" spans="28:30" ht="13.2">
      <c r="AB649" s="6"/>
      <c r="AC649" s="6"/>
      <c r="AD649" s="6"/>
    </row>
    <row r="650" spans="28:30" ht="13.2">
      <c r="AB650" s="6"/>
      <c r="AC650" s="6"/>
      <c r="AD650" s="6"/>
    </row>
    <row r="651" spans="28:30" ht="13.2">
      <c r="AB651" s="6"/>
      <c r="AC651" s="6"/>
      <c r="AD651" s="6"/>
    </row>
    <row r="652" spans="28:30" ht="13.2">
      <c r="AB652" s="6"/>
      <c r="AC652" s="6"/>
      <c r="AD652" s="6"/>
    </row>
    <row r="653" spans="28:30" ht="13.2">
      <c r="AB653" s="6"/>
      <c r="AC653" s="6"/>
      <c r="AD653" s="6"/>
    </row>
    <row r="654" spans="28:30" ht="13.2">
      <c r="AB654" s="6"/>
      <c r="AC654" s="6"/>
      <c r="AD654" s="6"/>
    </row>
    <row r="655" spans="28:30" ht="13.2">
      <c r="AB655" s="6"/>
      <c r="AC655" s="6"/>
      <c r="AD655" s="6"/>
    </row>
    <row r="656" spans="28:30" ht="13.2">
      <c r="AB656" s="6"/>
      <c r="AC656" s="6"/>
      <c r="AD656" s="6"/>
    </row>
    <row r="657" spans="28:30" ht="13.2">
      <c r="AB657" s="6"/>
      <c r="AC657" s="6"/>
      <c r="AD657" s="6"/>
    </row>
    <row r="658" spans="28:30" ht="13.2">
      <c r="AB658" s="6"/>
      <c r="AC658" s="6"/>
      <c r="AD658" s="6"/>
    </row>
    <row r="659" spans="28:30" ht="13.2">
      <c r="AB659" s="6"/>
      <c r="AC659" s="6"/>
      <c r="AD659" s="6"/>
    </row>
    <row r="660" spans="28:30" ht="13.2">
      <c r="AB660" s="6"/>
      <c r="AC660" s="6"/>
      <c r="AD660" s="6"/>
    </row>
    <row r="661" spans="28:30" ht="13.2">
      <c r="AB661" s="6"/>
      <c r="AC661" s="6"/>
      <c r="AD661" s="6"/>
    </row>
    <row r="662" spans="28:30" ht="13.2">
      <c r="AB662" s="6"/>
      <c r="AC662" s="6"/>
      <c r="AD662" s="6"/>
    </row>
    <row r="663" spans="28:30" ht="13.2">
      <c r="AB663" s="6"/>
      <c r="AC663" s="6"/>
      <c r="AD663" s="6"/>
    </row>
    <row r="664" spans="28:30" ht="13.2">
      <c r="AB664" s="6"/>
      <c r="AC664" s="6"/>
      <c r="AD664" s="6"/>
    </row>
    <row r="665" spans="28:30" ht="13.2">
      <c r="AB665" s="6"/>
      <c r="AC665" s="6"/>
      <c r="AD665" s="6"/>
    </row>
    <row r="666" spans="28:30" ht="13.2">
      <c r="AB666" s="6"/>
      <c r="AC666" s="6"/>
      <c r="AD666" s="6"/>
    </row>
    <row r="667" spans="28:30" ht="13.2">
      <c r="AB667" s="6"/>
      <c r="AC667" s="6"/>
      <c r="AD667" s="6"/>
    </row>
    <row r="668" spans="28:30" ht="13.2">
      <c r="AB668" s="6"/>
      <c r="AC668" s="6"/>
      <c r="AD668" s="6"/>
    </row>
    <row r="669" spans="28:30" ht="13.2">
      <c r="AB669" s="6"/>
      <c r="AC669" s="6"/>
      <c r="AD669" s="6"/>
    </row>
    <row r="670" spans="28:30" ht="13.2">
      <c r="AB670" s="6"/>
      <c r="AC670" s="6"/>
      <c r="AD670" s="6"/>
    </row>
    <row r="671" spans="28:30" ht="13.2">
      <c r="AB671" s="6"/>
      <c r="AC671" s="6"/>
      <c r="AD671" s="6"/>
    </row>
    <row r="672" spans="28:30" ht="13.2">
      <c r="AB672" s="6"/>
      <c r="AC672" s="6"/>
      <c r="AD672" s="6"/>
    </row>
    <row r="673" spans="28:30" ht="13.2">
      <c r="AB673" s="6"/>
      <c r="AC673" s="6"/>
      <c r="AD673" s="6"/>
    </row>
    <row r="674" spans="28:30" ht="13.2">
      <c r="AB674" s="6"/>
      <c r="AC674" s="6"/>
      <c r="AD674" s="6"/>
    </row>
    <row r="675" spans="28:30" ht="13.2">
      <c r="AB675" s="6"/>
      <c r="AC675" s="6"/>
      <c r="AD675" s="6"/>
    </row>
    <row r="676" spans="28:30" ht="13.2">
      <c r="AB676" s="6"/>
      <c r="AC676" s="6"/>
      <c r="AD676" s="6"/>
    </row>
    <row r="677" spans="28:30" ht="13.2">
      <c r="AB677" s="6"/>
      <c r="AC677" s="6"/>
      <c r="AD677" s="6"/>
    </row>
    <row r="678" spans="28:30" ht="13.2">
      <c r="AB678" s="6"/>
      <c r="AC678" s="6"/>
      <c r="AD678" s="6"/>
    </row>
    <row r="679" spans="28:30" ht="13.2">
      <c r="AB679" s="6"/>
      <c r="AC679" s="6"/>
      <c r="AD679" s="6"/>
    </row>
    <row r="680" spans="28:30" ht="13.2">
      <c r="AB680" s="6"/>
      <c r="AC680" s="6"/>
      <c r="AD680" s="6"/>
    </row>
    <row r="681" spans="28:30" ht="13.2">
      <c r="AB681" s="6"/>
      <c r="AC681" s="6"/>
      <c r="AD681" s="6"/>
    </row>
    <row r="682" spans="28:30" ht="13.2">
      <c r="AB682" s="6"/>
      <c r="AC682" s="6"/>
      <c r="AD682" s="6"/>
    </row>
    <row r="683" spans="28:30" ht="13.2">
      <c r="AB683" s="6"/>
      <c r="AC683" s="6"/>
      <c r="AD683" s="6"/>
    </row>
    <row r="684" spans="28:30" ht="13.2">
      <c r="AB684" s="6"/>
      <c r="AC684" s="6"/>
      <c r="AD684" s="6"/>
    </row>
    <row r="685" spans="28:30" ht="13.2">
      <c r="AB685" s="6"/>
      <c r="AC685" s="6"/>
      <c r="AD685" s="6"/>
    </row>
    <row r="686" spans="28:30" ht="13.2">
      <c r="AB686" s="6"/>
      <c r="AC686" s="6"/>
      <c r="AD686" s="6"/>
    </row>
    <row r="687" spans="28:30" ht="13.2">
      <c r="AB687" s="6"/>
      <c r="AC687" s="6"/>
      <c r="AD687" s="6"/>
    </row>
    <row r="688" spans="28:30" ht="13.2">
      <c r="AB688" s="6"/>
      <c r="AC688" s="6"/>
      <c r="AD688" s="6"/>
    </row>
    <row r="689" spans="28:30" ht="13.2">
      <c r="AB689" s="6"/>
      <c r="AC689" s="6"/>
      <c r="AD689" s="6"/>
    </row>
    <row r="690" spans="28:30" ht="13.2">
      <c r="AB690" s="6"/>
      <c r="AC690" s="6"/>
      <c r="AD690" s="6"/>
    </row>
    <row r="691" spans="28:30" ht="13.2">
      <c r="AB691" s="6"/>
      <c r="AC691" s="6"/>
      <c r="AD691" s="6"/>
    </row>
    <row r="692" spans="28:30" ht="13.2">
      <c r="AB692" s="6"/>
      <c r="AC692" s="6"/>
      <c r="AD692" s="6"/>
    </row>
    <row r="693" spans="28:30" ht="13.2">
      <c r="AB693" s="6"/>
      <c r="AC693" s="6"/>
      <c r="AD693" s="6"/>
    </row>
    <row r="694" spans="28:30" ht="13.2">
      <c r="AB694" s="6"/>
      <c r="AC694" s="6"/>
      <c r="AD694" s="6"/>
    </row>
    <row r="695" spans="28:30" ht="13.2">
      <c r="AB695" s="6"/>
      <c r="AC695" s="6"/>
      <c r="AD695" s="6"/>
    </row>
    <row r="696" spans="28:30" ht="13.2">
      <c r="AB696" s="6"/>
      <c r="AC696" s="6"/>
      <c r="AD696" s="6"/>
    </row>
    <row r="697" spans="28:30" ht="13.2">
      <c r="AB697" s="6"/>
      <c r="AC697" s="6"/>
      <c r="AD697" s="6"/>
    </row>
    <row r="698" spans="28:30" ht="13.2">
      <c r="AB698" s="6"/>
      <c r="AC698" s="6"/>
      <c r="AD698" s="6"/>
    </row>
    <row r="699" spans="28:30" ht="13.2">
      <c r="AB699" s="6"/>
      <c r="AC699" s="6"/>
      <c r="AD699" s="6"/>
    </row>
    <row r="700" spans="28:30" ht="13.2">
      <c r="AB700" s="6"/>
      <c r="AC700" s="6"/>
      <c r="AD700" s="6"/>
    </row>
    <row r="701" spans="28:30" ht="13.2">
      <c r="AB701" s="6"/>
      <c r="AC701" s="6"/>
      <c r="AD701" s="6"/>
    </row>
    <row r="702" spans="28:30" ht="13.2">
      <c r="AB702" s="6"/>
      <c r="AC702" s="6"/>
      <c r="AD702" s="6"/>
    </row>
    <row r="703" spans="28:30" ht="13.2">
      <c r="AB703" s="6"/>
      <c r="AC703" s="6"/>
      <c r="AD703" s="6"/>
    </row>
    <row r="704" spans="28:30" ht="13.2">
      <c r="AB704" s="6"/>
      <c r="AC704" s="6"/>
      <c r="AD704" s="6"/>
    </row>
    <row r="705" spans="28:30" ht="13.2">
      <c r="AB705" s="6"/>
      <c r="AC705" s="6"/>
      <c r="AD705" s="6"/>
    </row>
    <row r="706" spans="28:30" ht="13.2">
      <c r="AB706" s="6"/>
      <c r="AC706" s="6"/>
      <c r="AD706" s="6"/>
    </row>
    <row r="707" spans="28:30" ht="13.2">
      <c r="AB707" s="6"/>
      <c r="AC707" s="6"/>
      <c r="AD707" s="6"/>
    </row>
    <row r="708" spans="28:30" ht="13.2">
      <c r="AB708" s="6"/>
      <c r="AC708" s="6"/>
      <c r="AD708" s="6"/>
    </row>
    <row r="709" spans="28:30" ht="13.2">
      <c r="AB709" s="6"/>
      <c r="AC709" s="6"/>
      <c r="AD709" s="6"/>
    </row>
    <row r="710" spans="28:30" ht="13.2">
      <c r="AB710" s="6"/>
      <c r="AC710" s="6"/>
      <c r="AD710" s="6"/>
    </row>
    <row r="711" spans="28:30" ht="13.2">
      <c r="AB711" s="6"/>
      <c r="AC711" s="6"/>
      <c r="AD711" s="6"/>
    </row>
    <row r="712" spans="28:30" ht="13.2">
      <c r="AB712" s="6"/>
      <c r="AC712" s="6"/>
      <c r="AD712" s="6"/>
    </row>
    <row r="713" spans="28:30" ht="13.2">
      <c r="AB713" s="6"/>
      <c r="AC713" s="6"/>
      <c r="AD713" s="6"/>
    </row>
    <row r="714" spans="28:30" ht="13.2">
      <c r="AB714" s="6"/>
      <c r="AC714" s="6"/>
      <c r="AD714" s="6"/>
    </row>
    <row r="715" spans="28:30" ht="13.2">
      <c r="AB715" s="6"/>
      <c r="AC715" s="6"/>
      <c r="AD715" s="6"/>
    </row>
    <row r="716" spans="28:30" ht="13.2">
      <c r="AB716" s="6"/>
      <c r="AC716" s="6"/>
      <c r="AD716" s="6"/>
    </row>
    <row r="717" spans="28:30" ht="13.2">
      <c r="AB717" s="6"/>
      <c r="AC717" s="6"/>
      <c r="AD717" s="6"/>
    </row>
    <row r="718" spans="28:30" ht="13.2">
      <c r="AB718" s="6"/>
      <c r="AC718" s="6"/>
      <c r="AD718" s="6"/>
    </row>
    <row r="719" spans="28:30" ht="13.2">
      <c r="AB719" s="6"/>
      <c r="AC719" s="6"/>
      <c r="AD719" s="6"/>
    </row>
    <row r="720" spans="28:30" ht="13.2">
      <c r="AB720" s="6"/>
      <c r="AC720" s="6"/>
      <c r="AD720" s="6"/>
    </row>
    <row r="721" spans="28:30" ht="13.2">
      <c r="AB721" s="6"/>
      <c r="AC721" s="6"/>
      <c r="AD721" s="6"/>
    </row>
    <row r="722" spans="28:30" ht="13.2">
      <c r="AB722" s="6"/>
      <c r="AC722" s="6"/>
      <c r="AD722" s="6"/>
    </row>
    <row r="723" spans="28:30" ht="13.2">
      <c r="AB723" s="6"/>
      <c r="AC723" s="6"/>
      <c r="AD723" s="6"/>
    </row>
    <row r="724" spans="28:30" ht="13.2">
      <c r="AB724" s="6"/>
      <c r="AC724" s="6"/>
      <c r="AD724" s="6"/>
    </row>
    <row r="725" spans="28:30" ht="13.2">
      <c r="AB725" s="6"/>
      <c r="AC725" s="6"/>
      <c r="AD725" s="6"/>
    </row>
    <row r="726" spans="28:30" ht="13.2">
      <c r="AB726" s="6"/>
      <c r="AC726" s="6"/>
      <c r="AD726" s="6"/>
    </row>
    <row r="727" spans="28:30" ht="13.2">
      <c r="AB727" s="6"/>
      <c r="AC727" s="6"/>
      <c r="AD727" s="6"/>
    </row>
    <row r="728" spans="28:30" ht="13.2">
      <c r="AB728" s="6"/>
      <c r="AC728" s="6"/>
      <c r="AD728" s="6"/>
    </row>
    <row r="729" spans="28:30" ht="13.2">
      <c r="AB729" s="6"/>
      <c r="AC729" s="6"/>
      <c r="AD729" s="6"/>
    </row>
    <row r="730" spans="28:30" ht="13.2">
      <c r="AB730" s="6"/>
      <c r="AC730" s="6"/>
      <c r="AD730" s="6"/>
    </row>
    <row r="731" spans="28:30" ht="13.2">
      <c r="AB731" s="6"/>
      <c r="AC731" s="6"/>
      <c r="AD731" s="6"/>
    </row>
    <row r="732" spans="28:30" ht="13.2">
      <c r="AB732" s="6"/>
      <c r="AC732" s="6"/>
      <c r="AD732" s="6"/>
    </row>
    <row r="733" spans="28:30" ht="13.2">
      <c r="AB733" s="6"/>
      <c r="AC733" s="6"/>
      <c r="AD733" s="6"/>
    </row>
    <row r="734" spans="28:30" ht="13.2">
      <c r="AB734" s="6"/>
      <c r="AC734" s="6"/>
      <c r="AD734" s="6"/>
    </row>
    <row r="735" spans="28:30" ht="13.2">
      <c r="AB735" s="6"/>
      <c r="AC735" s="6"/>
      <c r="AD735" s="6"/>
    </row>
    <row r="736" spans="28:30" ht="13.2">
      <c r="AB736" s="6"/>
      <c r="AC736" s="6"/>
      <c r="AD736" s="6"/>
    </row>
    <row r="737" spans="28:30" ht="13.2">
      <c r="AB737" s="6"/>
      <c r="AC737" s="6"/>
      <c r="AD737" s="6"/>
    </row>
    <row r="738" spans="28:30" ht="13.2">
      <c r="AB738" s="6"/>
      <c r="AC738" s="6"/>
      <c r="AD738" s="6"/>
    </row>
    <row r="739" spans="28:30" ht="13.2">
      <c r="AB739" s="6"/>
      <c r="AC739" s="6"/>
      <c r="AD739" s="6"/>
    </row>
    <row r="740" spans="28:30" ht="13.2">
      <c r="AB740" s="6"/>
      <c r="AC740" s="6"/>
      <c r="AD740" s="6"/>
    </row>
    <row r="741" spans="28:30" ht="13.2">
      <c r="AB741" s="6"/>
      <c r="AC741" s="6"/>
      <c r="AD741" s="6"/>
    </row>
    <row r="742" spans="28:30" ht="13.2">
      <c r="AB742" s="6"/>
      <c r="AC742" s="6"/>
      <c r="AD742" s="6"/>
    </row>
    <row r="743" spans="28:30" ht="13.2">
      <c r="AB743" s="6"/>
      <c r="AC743" s="6"/>
      <c r="AD743" s="6"/>
    </row>
    <row r="744" spans="28:30" ht="13.2">
      <c r="AB744" s="6"/>
      <c r="AC744" s="6"/>
      <c r="AD744" s="6"/>
    </row>
    <row r="745" spans="28:30" ht="13.2">
      <c r="AB745" s="6"/>
      <c r="AC745" s="6"/>
      <c r="AD745" s="6"/>
    </row>
    <row r="746" spans="28:30" ht="13.2">
      <c r="AB746" s="6"/>
      <c r="AC746" s="6"/>
      <c r="AD746" s="6"/>
    </row>
    <row r="747" spans="28:30" ht="13.2">
      <c r="AB747" s="6"/>
      <c r="AC747" s="6"/>
      <c r="AD747" s="6"/>
    </row>
    <row r="748" spans="28:30" ht="13.2">
      <c r="AB748" s="6"/>
      <c r="AC748" s="6"/>
      <c r="AD748" s="6"/>
    </row>
    <row r="749" spans="28:30" ht="13.2">
      <c r="AB749" s="6"/>
      <c r="AC749" s="6"/>
      <c r="AD749" s="6"/>
    </row>
    <row r="750" spans="28:30" ht="13.2">
      <c r="AB750" s="6"/>
      <c r="AC750" s="6"/>
      <c r="AD750" s="6"/>
    </row>
    <row r="751" spans="28:30" ht="13.2">
      <c r="AB751" s="6"/>
      <c r="AC751" s="6"/>
      <c r="AD751" s="6"/>
    </row>
    <row r="752" spans="28:30" ht="13.2">
      <c r="AB752" s="6"/>
      <c r="AC752" s="6"/>
      <c r="AD752" s="6"/>
    </row>
    <row r="753" spans="28:30" ht="13.2">
      <c r="AB753" s="6"/>
      <c r="AC753" s="6"/>
      <c r="AD753" s="6"/>
    </row>
    <row r="754" spans="28:30" ht="13.2">
      <c r="AB754" s="6"/>
      <c r="AC754" s="6"/>
      <c r="AD754" s="6"/>
    </row>
    <row r="755" spans="28:30" ht="13.2">
      <c r="AB755" s="6"/>
      <c r="AC755" s="6"/>
      <c r="AD755" s="6"/>
    </row>
    <row r="756" spans="28:30" ht="13.2">
      <c r="AB756" s="6"/>
      <c r="AC756" s="6"/>
      <c r="AD756" s="6"/>
    </row>
    <row r="757" spans="28:30" ht="13.2">
      <c r="AB757" s="6"/>
      <c r="AC757" s="6"/>
      <c r="AD757" s="6"/>
    </row>
    <row r="758" spans="28:30" ht="13.2">
      <c r="AB758" s="6"/>
      <c r="AC758" s="6"/>
      <c r="AD758" s="6"/>
    </row>
    <row r="759" spans="28:30" ht="13.2">
      <c r="AB759" s="6"/>
      <c r="AC759" s="6"/>
      <c r="AD759" s="6"/>
    </row>
    <row r="760" spans="28:30" ht="13.2">
      <c r="AB760" s="6"/>
      <c r="AC760" s="6"/>
      <c r="AD760" s="6"/>
    </row>
    <row r="761" spans="28:30" ht="13.2">
      <c r="AB761" s="6"/>
      <c r="AC761" s="6"/>
      <c r="AD761" s="6"/>
    </row>
    <row r="762" spans="28:30" ht="13.2">
      <c r="AB762" s="6"/>
      <c r="AC762" s="6"/>
      <c r="AD762" s="6"/>
    </row>
    <row r="763" spans="28:30" ht="13.2">
      <c r="AB763" s="6"/>
      <c r="AC763" s="6"/>
      <c r="AD763" s="6"/>
    </row>
    <row r="764" spans="28:30" ht="13.2">
      <c r="AB764" s="6"/>
      <c r="AC764" s="6"/>
      <c r="AD764" s="6"/>
    </row>
    <row r="765" spans="28:30" ht="13.2">
      <c r="AB765" s="6"/>
      <c r="AC765" s="6"/>
      <c r="AD765" s="6"/>
    </row>
    <row r="766" spans="28:30" ht="13.2">
      <c r="AB766" s="6"/>
      <c r="AC766" s="6"/>
      <c r="AD766" s="6"/>
    </row>
    <row r="767" spans="28:30" ht="13.2">
      <c r="AB767" s="6"/>
      <c r="AC767" s="6"/>
      <c r="AD767" s="6"/>
    </row>
    <row r="768" spans="28:30" ht="13.2">
      <c r="AB768" s="6"/>
      <c r="AC768" s="6"/>
      <c r="AD768" s="6"/>
    </row>
    <row r="769" spans="28:30" ht="13.2">
      <c r="AB769" s="6"/>
      <c r="AC769" s="6"/>
      <c r="AD769" s="6"/>
    </row>
    <row r="770" spans="28:30" ht="13.2">
      <c r="AB770" s="6"/>
      <c r="AC770" s="6"/>
      <c r="AD770" s="6"/>
    </row>
    <row r="771" spans="28:30" ht="13.2">
      <c r="AB771" s="6"/>
      <c r="AC771" s="6"/>
      <c r="AD771" s="6"/>
    </row>
    <row r="772" spans="28:30" ht="13.2">
      <c r="AB772" s="6"/>
      <c r="AC772" s="6"/>
      <c r="AD772" s="6"/>
    </row>
    <row r="773" spans="28:30" ht="13.2">
      <c r="AB773" s="6"/>
      <c r="AC773" s="6"/>
      <c r="AD773" s="6"/>
    </row>
    <row r="774" spans="28:30" ht="13.2">
      <c r="AB774" s="6"/>
      <c r="AC774" s="6"/>
      <c r="AD774" s="6"/>
    </row>
    <row r="775" spans="28:30" ht="13.2">
      <c r="AB775" s="6"/>
      <c r="AC775" s="6"/>
      <c r="AD775" s="6"/>
    </row>
    <row r="776" spans="28:30" ht="13.2">
      <c r="AB776" s="6"/>
      <c r="AC776" s="6"/>
      <c r="AD776" s="6"/>
    </row>
    <row r="777" spans="28:30" ht="13.2">
      <c r="AB777" s="6"/>
      <c r="AC777" s="6"/>
      <c r="AD777" s="6"/>
    </row>
    <row r="778" spans="28:30" ht="13.2">
      <c r="AB778" s="6"/>
      <c r="AC778" s="6"/>
      <c r="AD778" s="6"/>
    </row>
    <row r="779" spans="28:30" ht="13.2">
      <c r="AB779" s="6"/>
      <c r="AC779" s="6"/>
      <c r="AD779" s="6"/>
    </row>
    <row r="780" spans="28:30" ht="13.2">
      <c r="AB780" s="6"/>
      <c r="AC780" s="6"/>
      <c r="AD780" s="6"/>
    </row>
    <row r="781" spans="28:30" ht="13.2">
      <c r="AB781" s="6"/>
      <c r="AC781" s="6"/>
      <c r="AD781" s="6"/>
    </row>
    <row r="782" spans="28:30" ht="13.2">
      <c r="AB782" s="6"/>
      <c r="AC782" s="6"/>
      <c r="AD782" s="6"/>
    </row>
    <row r="783" spans="28:30" ht="13.2">
      <c r="AB783" s="6"/>
      <c r="AC783" s="6"/>
      <c r="AD783" s="6"/>
    </row>
    <row r="784" spans="28:30" ht="13.2">
      <c r="AB784" s="6"/>
      <c r="AC784" s="6"/>
      <c r="AD784" s="6"/>
    </row>
    <row r="785" spans="28:30" ht="13.2">
      <c r="AB785" s="6"/>
      <c r="AC785" s="6"/>
      <c r="AD785" s="6"/>
    </row>
    <row r="786" spans="28:30" ht="13.2">
      <c r="AB786" s="6"/>
      <c r="AC786" s="6"/>
      <c r="AD786" s="6"/>
    </row>
    <row r="787" spans="28:30" ht="13.2">
      <c r="AB787" s="6"/>
      <c r="AC787" s="6"/>
      <c r="AD787" s="6"/>
    </row>
    <row r="788" spans="28:30" ht="13.2">
      <c r="AB788" s="6"/>
      <c r="AC788" s="6"/>
      <c r="AD788" s="6"/>
    </row>
    <row r="789" spans="28:30" ht="13.2">
      <c r="AB789" s="6"/>
      <c r="AC789" s="6"/>
      <c r="AD789" s="6"/>
    </row>
    <row r="790" spans="28:30" ht="13.2">
      <c r="AB790" s="6"/>
      <c r="AC790" s="6"/>
      <c r="AD790" s="6"/>
    </row>
    <row r="791" spans="28:30" ht="13.2">
      <c r="AB791" s="6"/>
      <c r="AC791" s="6"/>
      <c r="AD791" s="6"/>
    </row>
    <row r="792" spans="28:30" ht="13.2">
      <c r="AB792" s="6"/>
      <c r="AC792" s="6"/>
      <c r="AD792" s="6"/>
    </row>
    <row r="793" spans="28:30" ht="13.2">
      <c r="AB793" s="6"/>
      <c r="AC793" s="6"/>
      <c r="AD793" s="6"/>
    </row>
    <row r="794" spans="28:30" ht="13.2">
      <c r="AB794" s="6"/>
      <c r="AC794" s="6"/>
      <c r="AD794" s="6"/>
    </row>
    <row r="795" spans="28:30" ht="13.2">
      <c r="AB795" s="6"/>
      <c r="AC795" s="6"/>
      <c r="AD795" s="6"/>
    </row>
    <row r="796" spans="28:30" ht="13.2">
      <c r="AB796" s="6"/>
      <c r="AC796" s="6"/>
      <c r="AD796" s="6"/>
    </row>
    <row r="797" spans="28:30" ht="13.2">
      <c r="AB797" s="6"/>
      <c r="AC797" s="6"/>
      <c r="AD797" s="6"/>
    </row>
    <row r="798" spans="28:30" ht="13.2">
      <c r="AB798" s="6"/>
      <c r="AC798" s="6"/>
      <c r="AD798" s="6"/>
    </row>
    <row r="799" spans="28:30" ht="13.2">
      <c r="AB799" s="6"/>
      <c r="AC799" s="6"/>
      <c r="AD799" s="6"/>
    </row>
    <row r="800" spans="28:30" ht="13.2">
      <c r="AB800" s="6"/>
      <c r="AC800" s="6"/>
      <c r="AD800" s="6"/>
    </row>
  </sheetData>
  <conditionalFormatting sqref="B4:B134">
    <cfRule type="cellIs" dxfId="40" priority="1" operator="equal">
      <formula>"Pago"</formula>
    </cfRule>
  </conditionalFormatting>
  <conditionalFormatting sqref="C4:C190">
    <cfRule type="cellIs" dxfId="39" priority="3" operator="equal">
      <formula>"ok"</formula>
    </cfRule>
  </conditionalFormatting>
  <conditionalFormatting sqref="G1 D4:G218">
    <cfRule type="cellIs" dxfId="38" priority="2" operator="equal">
      <formula>"Si"</formula>
    </cfRule>
  </conditionalFormatting>
  <conditionalFormatting sqref="AB3:AD800">
    <cfRule type="cellIs" dxfId="37" priority="4" operator="equal">
      <formula>"Terminado"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I1002"/>
  <sheetViews>
    <sheetView topLeftCell="B1" workbookViewId="0"/>
  </sheetViews>
  <sheetFormatPr defaultColWidth="12.6640625" defaultRowHeight="15.75" customHeight="1"/>
  <cols>
    <col min="1" max="1" width="20.109375" hidden="1" customWidth="1"/>
    <col min="2" max="3" width="13.88671875" customWidth="1"/>
    <col min="4" max="4" width="15.44140625" customWidth="1"/>
    <col min="5" max="5" width="19.21875" customWidth="1"/>
    <col min="6" max="6" width="4.6640625" customWidth="1"/>
    <col min="7" max="7" width="5.109375" hidden="1" customWidth="1"/>
    <col min="8" max="8" width="4.33203125" hidden="1" customWidth="1"/>
    <col min="9" max="9" width="12.6640625" hidden="1"/>
    <col min="10" max="10" width="4.77734375" hidden="1" customWidth="1"/>
    <col min="11" max="11" width="12.6640625" hidden="1"/>
    <col min="12" max="12" width="8.44140625" customWidth="1"/>
    <col min="13" max="13" width="16.33203125" customWidth="1"/>
    <col min="14" max="14" width="15.21875" customWidth="1"/>
    <col min="15" max="16" width="12.6640625" hidden="1"/>
    <col min="17" max="17" width="8.33203125" customWidth="1"/>
    <col min="19" max="24" width="12.6640625" hidden="1"/>
    <col min="25" max="25" width="17.33203125" hidden="1" customWidth="1"/>
    <col min="26" max="26" width="7.109375" hidden="1" customWidth="1"/>
    <col min="27" max="27" width="12.6640625" hidden="1"/>
    <col min="29" max="33" width="12.6640625" hidden="1"/>
  </cols>
  <sheetData>
    <row r="1" spans="1:35" ht="15.75" customHeight="1">
      <c r="A1" s="40"/>
      <c r="B1" s="48" t="s">
        <v>33</v>
      </c>
      <c r="D1" s="49"/>
      <c r="E1" s="49"/>
      <c r="F1" s="49"/>
      <c r="G1" s="49"/>
      <c r="H1" s="49"/>
      <c r="I1" s="50"/>
      <c r="J1" s="5"/>
      <c r="K1" s="5"/>
      <c r="L1" s="5"/>
      <c r="M1" s="5"/>
      <c r="N1" s="5"/>
      <c r="O1" s="5"/>
      <c r="P1" s="5"/>
      <c r="Q1" s="4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35" ht="15.6">
      <c r="A2" s="40"/>
      <c r="B2" s="51" t="s">
        <v>39</v>
      </c>
      <c r="C2" s="2"/>
      <c r="D2" s="2"/>
      <c r="E2" s="2"/>
      <c r="F2" s="63" t="str">
        <f ca="1">"Inscriptos: "&amp;COUNTA(C4:C300)</f>
        <v>Inscriptos: 123</v>
      </c>
      <c r="G2" s="2"/>
      <c r="H2" s="2"/>
      <c r="I2" s="54"/>
      <c r="J2" s="54"/>
      <c r="K2" s="54"/>
      <c r="L2" s="2"/>
      <c r="M2" s="2"/>
      <c r="N2" s="40"/>
      <c r="O2" s="2"/>
      <c r="P2" s="2"/>
      <c r="Q2" s="54"/>
      <c r="R2" s="2"/>
      <c r="S2" s="54"/>
      <c r="T2" s="54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5" ht="92.4">
      <c r="A3" s="40" t="s">
        <v>40</v>
      </c>
      <c r="B3" s="2" t="str">
        <f ca="1">IFERROR(__xludf.DUMMYFUNCTION("query(Titulos)"),"Dia y Hora")</f>
        <v>Dia y Hora</v>
      </c>
      <c r="C3" s="66" t="str">
        <f ca="1">IFERROR(__xludf.DUMMYFUNCTION("""COMPUTED_VALUE"""),"Nombre")</f>
        <v>Nombre</v>
      </c>
      <c r="D3" s="66" t="str">
        <f ca="1">IFERROR(__xludf.DUMMYFUNCTION("""COMPUTED_VALUE"""),"Apellido")</f>
        <v>Apellido</v>
      </c>
      <c r="E3" s="66" t="str">
        <f ca="1">IFERROR(__xludf.DUMMYFUNCTION("""COMPUTED_VALUE"""),"Ciudad")</f>
        <v>Ciudad</v>
      </c>
      <c r="F3" s="2" t="str">
        <f ca="1">IFERROR(__xludf.DUMMYFUNCTION("""COMPUTED_VALUE"""),"Pais")</f>
        <v>Pais</v>
      </c>
      <c r="G3" s="2" t="str">
        <f ca="1">IFERROR(__xludf.DUMMYFUNCTION("""COMPUTED_VALUE"""),"DNI")</f>
        <v>DNI</v>
      </c>
      <c r="H3" s="2" t="str">
        <f ca="1">IFERROR(__xludf.DUMMYFUNCTION("""COMPUTED_VALUE"""),"Nacimiento")</f>
        <v>Nacimiento</v>
      </c>
      <c r="I3" s="54" t="str">
        <f ca="1">IFERROR(__xludf.DUMMYFUNCTION("""COMPUTED_VALUE"""),"Celular de Contacto")</f>
        <v>Celular de Contacto</v>
      </c>
      <c r="J3" s="54" t="str">
        <f ca="1">IFERROR(__xludf.DUMMYFUNCTION("""COMPUTED_VALUE"""),"Celular de Emergencias")</f>
        <v>Celular de Emergencias</v>
      </c>
      <c r="K3" s="54" t="str">
        <f ca="1">IFERROR(__xludf.DUMMYFUNCTION("""COMPUTED_VALUE"""),"email")</f>
        <v>email</v>
      </c>
      <c r="L3" s="2" t="str">
        <f ca="1">IFERROR(__xludf.DUMMYFUNCTION("""COMPUTED_VALUE"""),"Sexo")</f>
        <v>Sexo</v>
      </c>
      <c r="M3" s="2" t="str">
        <f ca="1">IFERROR(__xludf.DUMMYFUNCTION("""COMPUTED_VALUE"""),"Club")</f>
        <v>Club</v>
      </c>
      <c r="N3" s="2" t="str">
        <f ca="1">IFERROR(__xludf.DUMMYFUNCTION("""COMPUTED_VALUE"""),"Categoría")</f>
        <v>Categoría</v>
      </c>
      <c r="O3" s="2" t="str">
        <f ca="1">IFERROR(__xludf.DUMMYFUNCTION("""COMPUTED_VALUE"""),"Clase")</f>
        <v>Clase</v>
      </c>
      <c r="P3" s="2" t="str">
        <f ca="1">IFERROR(__xludf.DUMMYFUNCTION("""COMPUTED_VALUE"""),"Proa Nº")</f>
        <v>Proa Nº</v>
      </c>
      <c r="Q3" s="54" t="str">
        <f ca="1">IFERROR(__xludf.DUMMYFUNCTION("""COMPUTED_VALUE"""),"Vela")</f>
        <v>Vela</v>
      </c>
      <c r="R3" s="2" t="str">
        <f ca="1">IFERROR(__xludf.DUMMYFUNCTION("""COMPUTED_VALUE"""),"Nombre del Barco")</f>
        <v>Nombre del Barco</v>
      </c>
      <c r="S3" s="54" t="str">
        <f ca="1">IFERROR(__xludf.DUMMYFUNCTION("""COMPUTED_VALUE"""),"Tripulante 1")</f>
        <v>Tripulante 1</v>
      </c>
      <c r="T3" s="54" t="str">
        <f ca="1">IFERROR(__xludf.DUMMYFUNCTION("""COMPUTED_VALUE"""),"Tripulante 2")</f>
        <v>Tripulante 2</v>
      </c>
      <c r="U3" s="2" t="str">
        <f ca="1">IFERROR(__xludf.DUMMYFUNCTION("""COMPUTED_VALUE"""),"Tripulante 3")</f>
        <v>Tripulante 3</v>
      </c>
      <c r="V3" s="2" t="str">
        <f ca="1">IFERROR(__xludf.DUMMYFUNCTION("""COMPUTED_VALUE"""),"Tripulante 4")</f>
        <v>Tripulante 4</v>
      </c>
      <c r="W3" s="2" t="str">
        <f ca="1">IFERROR(__xludf.DUMMYFUNCTION("""COMPUTED_VALUE"""),"Tripulante 5")</f>
        <v>Tripulante 5</v>
      </c>
      <c r="X3" s="2" t="str">
        <f ca="1">IFERROR(__xludf.DUMMYFUNCTION("""COMPUTED_VALUE"""),"Tripulante 6")</f>
        <v>Tripulante 6</v>
      </c>
      <c r="Y3" s="2" t="str">
        <f ca="1">IFERROR(__xludf.DUMMYFUNCTION("""COMPUTED_VALUE"""),"Obra Social/Nº Afiliado")</f>
        <v>Obra Social/Nº Afiliado</v>
      </c>
      <c r="Z3" s="54" t="str">
        <f ca="1">IFERROR(__xludf.DUMMYFUNCTION("""COMPUTED_VALUE"""),"Bajada YCO")</f>
        <v>Bajada YCO</v>
      </c>
      <c r="AA3" s="54" t="str">
        <f ca="1">IFERROR(__xludf.DUMMYFUNCTION("""COMPUTED_VALUE"""),"Términos y Condiciones")</f>
        <v>Términos y Condiciones</v>
      </c>
      <c r="AB3" s="54" t="str">
        <f ca="1">IFERROR(__xludf.DUMMYFUNCTION("""COMPUTED_VALUE"""),"Pago")</f>
        <v>Pago</v>
      </c>
      <c r="AC3" s="54" t="str">
        <f ca="1">IFERROR(__xludf.DUMMYFUNCTION("""COMPUTED_VALUE"""),"Importe")</f>
        <v>Importe</v>
      </c>
      <c r="AD3" s="54" t="str">
        <f ca="1">IFERROR(__xludf.DUMMYFUNCTION("""COMPUTED_VALUE"""),"RECIBO")</f>
        <v>RECIBO</v>
      </c>
      <c r="AH3" s="41" t="s">
        <v>41</v>
      </c>
      <c r="AI3" s="41" t="s">
        <v>32</v>
      </c>
    </row>
    <row r="4" spans="1:35" ht="13.2">
      <c r="B4" s="68">
        <f ca="1">IFERROR(__xludf.DUMMYFUNCTION("filter(Datos,Clases=A3)"),45538.8905321064)</f>
        <v>45538.890532106401</v>
      </c>
      <c r="C4" s="36" t="str">
        <f ca="1">IFERROR(__xludf.DUMMYFUNCTION("""COMPUTED_VALUE"""),"Ines ")</f>
        <v xml:space="preserve">Ines </v>
      </c>
      <c r="D4" s="36" t="str">
        <f ca="1">IFERROR(__xludf.DUMMYFUNCTION("""COMPUTED_VALUE"""),"Adlercreutz ")</f>
        <v xml:space="preserve">Adlercreutz </v>
      </c>
      <c r="E4" s="36" t="str">
        <f ca="1">IFERROR(__xludf.DUMMYFUNCTION("""COMPUTED_VALUE"""),"CABA")</f>
        <v>CABA</v>
      </c>
      <c r="F4" s="6" t="str">
        <f ca="1">IFERROR(__xludf.DUMMYFUNCTION("""COMPUTED_VALUE"""),"ARG")</f>
        <v>ARG</v>
      </c>
      <c r="G4" s="6">
        <f ca="1">IFERROR(__xludf.DUMMYFUNCTION("""COMPUTED_VALUE"""),52454232)</f>
        <v>52454232</v>
      </c>
      <c r="H4" s="37">
        <f ca="1">IFERROR(__xludf.DUMMYFUNCTION("""COMPUTED_VALUE"""),41059)</f>
        <v>41059</v>
      </c>
      <c r="I4" s="38">
        <f ca="1">IFERROR(__xludf.DUMMYFUNCTION("""COMPUTED_VALUE"""),1130054450)</f>
        <v>1130054450</v>
      </c>
      <c r="J4" s="38">
        <f ca="1">IFERROR(__xludf.DUMMYFUNCTION("""COMPUTED_VALUE"""),1144078857)</f>
        <v>1144078857</v>
      </c>
      <c r="K4" s="38" t="str">
        <f ca="1">IFERROR(__xludf.DUMMYFUNCTION("""COMPUTED_VALUE"""),"martin@adlercreutz.org")</f>
        <v>martin@adlercreutz.org</v>
      </c>
      <c r="L4" s="38" t="str">
        <f ca="1">IFERROR(__xludf.DUMMYFUNCTION("""COMPUTED_VALUE"""),"Femenino")</f>
        <v>Femenino</v>
      </c>
      <c r="M4" s="6" t="str">
        <f ca="1">IFERROR(__xludf.DUMMYFUNCTION("""COMPUTED_VALUE"""),"CUBA")</f>
        <v>CUBA</v>
      </c>
      <c r="N4" s="38" t="str">
        <f ca="1">IFERROR(__xludf.DUMMYFUNCTION("""COMPUTED_VALUE"""),"Femenino, Sub12")</f>
        <v>Femenino, Sub12</v>
      </c>
      <c r="O4" s="38" t="str">
        <f ca="1">IFERROR(__xludf.DUMMYFUNCTION("""COMPUTED_VALUE"""),"OPTIMIST TIMONELES")</f>
        <v>OPTIMIST TIMONELES</v>
      </c>
      <c r="P4" s="38"/>
      <c r="Q4" s="6">
        <f ca="1">IFERROR(__xludf.DUMMYFUNCTION("""COMPUTED_VALUE"""),3736)</f>
        <v>3736</v>
      </c>
      <c r="R4" s="38"/>
      <c r="S4" s="38"/>
      <c r="T4" s="38"/>
      <c r="U4" s="38"/>
      <c r="V4" s="38"/>
      <c r="W4" s="38"/>
      <c r="X4" s="38"/>
      <c r="Y4" s="38" t="str">
        <f ca="1">IFERROR(__xludf.DUMMYFUNCTION("""COMPUTED_VALUE"""),"Swiss Medical ")</f>
        <v xml:space="preserve">Swiss Medical </v>
      </c>
      <c r="Z4" s="6" t="str">
        <f ca="1">IFERROR(__xludf.DUMMYFUNCTION("""COMPUTED_VALUE"""),"No")</f>
        <v>No</v>
      </c>
      <c r="AA4" s="6" t="str">
        <f ca="1">IFERROR(__xludf.DUMMYFUNCTION("""COMPUTED_VALUE"""),"Acepto")</f>
        <v>Acepto</v>
      </c>
      <c r="AB4" s="6" t="str">
        <f ca="1">IFERROR(__xludf.DUMMYFUNCTION("""COMPUTED_VALUE"""),"Pendiente")</f>
        <v>Pendiente</v>
      </c>
      <c r="AC4" s="6"/>
      <c r="AD4" s="6"/>
      <c r="AE4" s="38"/>
      <c r="AF4" s="38"/>
      <c r="AG4" s="38"/>
      <c r="AH4" s="6"/>
      <c r="AI4" s="6"/>
    </row>
    <row r="5" spans="1:35" ht="13.2">
      <c r="B5" s="68">
        <f ca="1">IFERROR(__xludf.DUMMYFUNCTION("""COMPUTED_VALUE"""),45531.8355027777)</f>
        <v>45531.8355027777</v>
      </c>
      <c r="C5" s="36" t="str">
        <f ca="1">IFERROR(__xludf.DUMMYFUNCTION("""COMPUTED_VALUE"""),"Gonzalo")</f>
        <v>Gonzalo</v>
      </c>
      <c r="D5" s="36" t="str">
        <f ca="1">IFERROR(__xludf.DUMMYFUNCTION("""COMPUTED_VALUE"""),"Aldaya")</f>
        <v>Aldaya</v>
      </c>
      <c r="E5" s="36" t="str">
        <f ca="1">IFERROR(__xludf.DUMMYFUNCTION("""COMPUTED_VALUE"""),"Parque Leloir")</f>
        <v>Parque Leloir</v>
      </c>
      <c r="F5" s="6" t="str">
        <f ca="1">IFERROR(__xludf.DUMMYFUNCTION("""COMPUTED_VALUE"""),"ARG")</f>
        <v>ARG</v>
      </c>
      <c r="G5" s="6">
        <f ca="1">IFERROR(__xludf.DUMMYFUNCTION("""COMPUTED_VALUE"""),50703202)</f>
        <v>50703202</v>
      </c>
      <c r="H5" s="37">
        <f ca="1">IFERROR(__xludf.DUMMYFUNCTION("""COMPUTED_VALUE"""),40486)</f>
        <v>40486</v>
      </c>
      <c r="I5" s="38">
        <f ca="1">IFERROR(__xludf.DUMMYFUNCTION("""COMPUTED_VALUE"""),1150478199)</f>
        <v>1150478199</v>
      </c>
      <c r="J5" s="38">
        <f ca="1">IFERROR(__xludf.DUMMYFUNCTION("""COMPUTED_VALUE"""),1144191617)</f>
        <v>1144191617</v>
      </c>
      <c r="K5" s="38" t="str">
        <f ca="1">IFERROR(__xludf.DUMMYFUNCTION("""COMPUTED_VALUE"""),"gealdaya@gmail.com")</f>
        <v>gealdaya@gmail.com</v>
      </c>
      <c r="L5" s="38" t="str">
        <f ca="1">IFERROR(__xludf.DUMMYFUNCTION("""COMPUTED_VALUE"""),"Masculino")</f>
        <v>Masculino</v>
      </c>
      <c r="M5" s="6" t="str">
        <f ca="1">IFERROR(__xludf.DUMMYFUNCTION("""COMPUTED_VALUE"""),"YCO")</f>
        <v>YCO</v>
      </c>
      <c r="N5" s="38"/>
      <c r="O5" s="38" t="str">
        <f ca="1">IFERROR(__xludf.DUMMYFUNCTION("""COMPUTED_VALUE"""),"OPTIMIST TIMONELES")</f>
        <v>OPTIMIST TIMONELES</v>
      </c>
      <c r="P5" s="38"/>
      <c r="Q5" s="6">
        <f ca="1">IFERROR(__xludf.DUMMYFUNCTION("""COMPUTED_VALUE"""),3808)</f>
        <v>3808</v>
      </c>
      <c r="R5" s="38"/>
      <c r="S5" s="38"/>
      <c r="T5" s="38"/>
      <c r="U5" s="38"/>
      <c r="V5" s="38"/>
      <c r="W5" s="38"/>
      <c r="X5" s="38"/>
      <c r="Y5" s="38" t="str">
        <f ca="1">IFERROR(__xludf.DUMMYFUNCTION("""COMPUTED_VALUE"""),"SwissMedical")</f>
        <v>SwissMedical</v>
      </c>
      <c r="Z5" s="6" t="str">
        <f ca="1">IFERROR(__xludf.DUMMYFUNCTION("""COMPUTED_VALUE"""),"Si")</f>
        <v>Si</v>
      </c>
      <c r="AA5" s="6" t="str">
        <f ca="1">IFERROR(__xludf.DUMMYFUNCTION("""COMPUTED_VALUE"""),"Acepto")</f>
        <v>Acepto</v>
      </c>
      <c r="AB5" s="6" t="str">
        <f ca="1">IFERROR(__xludf.DUMMYFUNCTION("""COMPUTED_VALUE"""),"Terminado")</f>
        <v>Terminado</v>
      </c>
      <c r="AC5" s="6">
        <f ca="1">IFERROR(__xludf.DUMMYFUNCTION("""COMPUTED_VALUE"""),50000)</f>
        <v>50000</v>
      </c>
      <c r="AD5" s="6">
        <f ca="1">IFERROR(__xludf.DUMMYFUNCTION("""COMPUTED_VALUE"""),205063)</f>
        <v>205063</v>
      </c>
      <c r="AE5" s="38" t="str">
        <f ca="1">IFERROR(__xludf.DUMMYFUNCTION("""COMPUTED_VALUE"""),"TRF 27-08")</f>
        <v>TRF 27-08</v>
      </c>
      <c r="AF5" s="38"/>
      <c r="AG5" s="38"/>
      <c r="AH5" s="6"/>
      <c r="AI5" s="6"/>
    </row>
    <row r="6" spans="1:35" ht="13.2">
      <c r="B6" s="68">
        <f ca="1">IFERROR(__xludf.DUMMYFUNCTION("""COMPUTED_VALUE"""),45537.4975813541)</f>
        <v>45537.497581354102</v>
      </c>
      <c r="C6" s="36" t="str">
        <f ca="1">IFERROR(__xludf.DUMMYFUNCTION("""COMPUTED_VALUE"""),"Joaco")</f>
        <v>Joaco</v>
      </c>
      <c r="D6" s="36" t="str">
        <f ca="1">IFERROR(__xludf.DUMMYFUNCTION("""COMPUTED_VALUE"""),"Arocena")</f>
        <v>Arocena</v>
      </c>
      <c r="E6" s="36" t="str">
        <f ca="1">IFERROR(__xludf.DUMMYFUNCTION("""COMPUTED_VALUE"""),"San Fernando")</f>
        <v>San Fernando</v>
      </c>
      <c r="F6" s="6" t="str">
        <f ca="1">IFERROR(__xludf.DUMMYFUNCTION("""COMPUTED_VALUE"""),"ARG")</f>
        <v>ARG</v>
      </c>
      <c r="G6" s="6">
        <f ca="1">IFERROR(__xludf.DUMMYFUNCTION("""COMPUTED_VALUE"""),51066390)</f>
        <v>51066390</v>
      </c>
      <c r="H6" s="37">
        <f ca="1">IFERROR(__xludf.DUMMYFUNCTION("""COMPUTED_VALUE"""),40625)</f>
        <v>40625</v>
      </c>
      <c r="I6" s="38">
        <f ca="1">IFERROR(__xludf.DUMMYFUNCTION("""COMPUTED_VALUE"""),1164825593)</f>
        <v>1164825593</v>
      </c>
      <c r="J6" s="38">
        <f ca="1">IFERROR(__xludf.DUMMYFUNCTION("""COMPUTED_VALUE"""),1165518797)</f>
        <v>1165518797</v>
      </c>
      <c r="K6" s="38" t="str">
        <f ca="1">IFERROR(__xludf.DUMMYFUNCTION("""COMPUTED_VALUE"""),"luchoarocena@gmail.com")</f>
        <v>luchoarocena@gmail.com</v>
      </c>
      <c r="L6" s="38" t="str">
        <f ca="1">IFERROR(__xludf.DUMMYFUNCTION("""COMPUTED_VALUE"""),"Masculino")</f>
        <v>Masculino</v>
      </c>
      <c r="M6" s="6" t="str">
        <f ca="1">IFERROR(__xludf.DUMMYFUNCTION("""COMPUTED_VALUE"""),"CNSI")</f>
        <v>CNSI</v>
      </c>
      <c r="N6" s="38"/>
      <c r="O6" s="38" t="str">
        <f ca="1">IFERROR(__xludf.DUMMYFUNCTION("""COMPUTED_VALUE"""),"OPTIMIST TIMONELES")</f>
        <v>OPTIMIST TIMONELES</v>
      </c>
      <c r="P6" s="38"/>
      <c r="Q6" s="6">
        <f ca="1">IFERROR(__xludf.DUMMYFUNCTION("""COMPUTED_VALUE"""),3563)</f>
        <v>3563</v>
      </c>
      <c r="R6" s="38" t="str">
        <f ca="1">IFERROR(__xludf.DUMMYFUNCTION("""COMPUTED_VALUE"""),"Racha")</f>
        <v>Racha</v>
      </c>
      <c r="S6" s="38"/>
      <c r="T6" s="38"/>
      <c r="U6" s="38"/>
      <c r="V6" s="38"/>
      <c r="W6" s="38"/>
      <c r="X6" s="38"/>
      <c r="Y6" s="38" t="str">
        <f ca="1">IFERROR(__xludf.DUMMYFUNCTION("""COMPUTED_VALUE"""),"OSPJN / 88946-21")</f>
        <v>OSPJN / 88946-21</v>
      </c>
      <c r="Z6" s="6" t="str">
        <f ca="1">IFERROR(__xludf.DUMMYFUNCTION("""COMPUTED_VALUE"""),"No")</f>
        <v>No</v>
      </c>
      <c r="AA6" s="6" t="str">
        <f ca="1">IFERROR(__xludf.DUMMYFUNCTION("""COMPUTED_VALUE"""),"Acepto")</f>
        <v>Acepto</v>
      </c>
      <c r="AB6" s="6" t="str">
        <f ca="1">IFERROR(__xludf.DUMMYFUNCTION("""COMPUTED_VALUE"""),"Terminado")</f>
        <v>Terminado</v>
      </c>
      <c r="AC6" s="6">
        <f ca="1">IFERROR(__xludf.DUMMYFUNCTION("""COMPUTED_VALUE"""),50000)</f>
        <v>50000</v>
      </c>
      <c r="AD6" s="6">
        <f ca="1">IFERROR(__xludf.DUMMYFUNCTION("""COMPUTED_VALUE"""),205403)</f>
        <v>205403</v>
      </c>
      <c r="AE6" s="38" t="str">
        <f ca="1">IFERROR(__xludf.DUMMYFUNCTION("""COMPUTED_VALUE"""),"TRF 02-09")</f>
        <v>TRF 02-09</v>
      </c>
      <c r="AF6" s="38"/>
      <c r="AG6" s="38"/>
      <c r="AH6" s="6"/>
      <c r="AI6" s="6"/>
    </row>
    <row r="7" spans="1:35" ht="13.2">
      <c r="B7" s="68">
        <f ca="1">IFERROR(__xludf.DUMMYFUNCTION("""COMPUTED_VALUE"""),45535.8640045254)</f>
        <v>45535.8640045254</v>
      </c>
      <c r="C7" s="36" t="str">
        <f ca="1">IFERROR(__xludf.DUMMYFUNCTION("""COMPUTED_VALUE"""),"Milo")</f>
        <v>Milo</v>
      </c>
      <c r="D7" s="36" t="str">
        <f ca="1">IFERROR(__xludf.DUMMYFUNCTION("""COMPUTED_VALUE"""),"Azzaretti ")</f>
        <v xml:space="preserve">Azzaretti </v>
      </c>
      <c r="E7" s="36" t="str">
        <f ca="1">IFERROR(__xludf.DUMMYFUNCTION("""COMPUTED_VALUE"""),"San Pedro ")</f>
        <v xml:space="preserve">San Pedro </v>
      </c>
      <c r="F7" s="6" t="str">
        <f ca="1">IFERROR(__xludf.DUMMYFUNCTION("""COMPUTED_VALUE"""),"ARG")</f>
        <v>ARG</v>
      </c>
      <c r="G7" s="6">
        <f ca="1">IFERROR(__xludf.DUMMYFUNCTION("""COMPUTED_VALUE"""),53820853)</f>
        <v>53820853</v>
      </c>
      <c r="H7" s="37">
        <f ca="1">IFERROR(__xludf.DUMMYFUNCTION("""COMPUTED_VALUE"""),41746)</f>
        <v>41746</v>
      </c>
      <c r="I7" s="38">
        <f ca="1">IFERROR(__xludf.DUMMYFUNCTION("""COMPUTED_VALUE"""),3329478390)</f>
        <v>3329478390</v>
      </c>
      <c r="J7" s="38">
        <f ca="1">IFERROR(__xludf.DUMMYFUNCTION("""COMPUTED_VALUE"""),3329507042)</f>
        <v>3329507042</v>
      </c>
      <c r="K7" s="38" t="str">
        <f ca="1">IFERROR(__xludf.DUMMYFUNCTION("""COMPUTED_VALUE"""),"mazzaretti1@gmail.com")</f>
        <v>mazzaretti1@gmail.com</v>
      </c>
      <c r="L7" s="38" t="str">
        <f ca="1">IFERROR(__xludf.DUMMYFUNCTION("""COMPUTED_VALUE"""),"Masculino")</f>
        <v>Masculino</v>
      </c>
      <c r="M7" s="6" t="str">
        <f ca="1">IFERROR(__xludf.DUMMYFUNCTION("""COMPUTED_VALUE"""),"CNSP")</f>
        <v>CNSP</v>
      </c>
      <c r="N7" s="38" t="str">
        <f ca="1">IFERROR(__xludf.DUMMYFUNCTION("""COMPUTED_VALUE"""),"Interior (Optimist)")</f>
        <v>Interior (Optimist)</v>
      </c>
      <c r="O7" s="38" t="str">
        <f ca="1">IFERROR(__xludf.DUMMYFUNCTION("""COMPUTED_VALUE"""),"OPTIMIST TIMONELES")</f>
        <v>OPTIMIST TIMONELES</v>
      </c>
      <c r="P7" s="38"/>
      <c r="Q7" s="6">
        <f ca="1">IFERROR(__xludf.DUMMYFUNCTION("""COMPUTED_VALUE"""),3462)</f>
        <v>3462</v>
      </c>
      <c r="R7" s="38">
        <f ca="1">IFERROR(__xludf.DUMMYFUNCTION("""COMPUTED_VALUE"""),3462)</f>
        <v>3462</v>
      </c>
      <c r="S7" s="38"/>
      <c r="T7" s="38"/>
      <c r="U7" s="38"/>
      <c r="V7" s="38"/>
      <c r="W7" s="38"/>
      <c r="X7" s="38"/>
      <c r="Y7" s="38" t="str">
        <f ca="1">IFERROR(__xludf.DUMMYFUNCTION("""COMPUTED_VALUE"""),"IOMA")</f>
        <v>IOMA</v>
      </c>
      <c r="Z7" s="6" t="str">
        <f ca="1">IFERROR(__xludf.DUMMYFUNCTION("""COMPUTED_VALUE"""),"Si")</f>
        <v>Si</v>
      </c>
      <c r="AA7" s="6" t="str">
        <f ca="1">IFERROR(__xludf.DUMMYFUNCTION("""COMPUTED_VALUE"""),"Acepto")</f>
        <v>Acepto</v>
      </c>
      <c r="AB7" s="6" t="str">
        <f ca="1">IFERROR(__xludf.DUMMYFUNCTION("""COMPUTED_VALUE"""),"Terminado")</f>
        <v>Terminado</v>
      </c>
      <c r="AC7" s="6">
        <f ca="1">IFERROR(__xludf.DUMMYFUNCTION("""COMPUTED_VALUE"""),42500)</f>
        <v>42500</v>
      </c>
      <c r="AD7" s="6">
        <f ca="1">IFERROR(__xludf.DUMMYFUNCTION("""COMPUTED_VALUE"""),205344)</f>
        <v>205344</v>
      </c>
      <c r="AE7" s="38" t="str">
        <f ca="1">IFERROR(__xludf.DUMMYFUNCTION("""COMPUTED_VALUE"""),"TRF 31-08")</f>
        <v>TRF 31-08</v>
      </c>
      <c r="AF7" s="38"/>
      <c r="AG7" s="38"/>
      <c r="AH7" s="6"/>
      <c r="AI7" s="6"/>
    </row>
    <row r="8" spans="1:35" ht="13.2">
      <c r="B8" s="68">
        <f ca="1">IFERROR(__xludf.DUMMYFUNCTION("""COMPUTED_VALUE"""),45534.622192905)</f>
        <v>45534.622192905001</v>
      </c>
      <c r="C8" s="36" t="str">
        <f ca="1">IFERROR(__xludf.DUMMYFUNCTION("""COMPUTED_VALUE"""),"Mateo")</f>
        <v>Mateo</v>
      </c>
      <c r="D8" s="36" t="str">
        <f ca="1">IFERROR(__xludf.DUMMYFUNCTION("""COMPUTED_VALUE"""),"Badorrey ")</f>
        <v xml:space="preserve">Badorrey </v>
      </c>
      <c r="E8" s="36" t="str">
        <f ca="1">IFERROR(__xludf.DUMMYFUNCTION("""COMPUTED_VALUE"""),"La Plata ")</f>
        <v xml:space="preserve">La Plata </v>
      </c>
      <c r="F8" s="6" t="str">
        <f ca="1">IFERROR(__xludf.DUMMYFUNCTION("""COMPUTED_VALUE"""),"ARG")</f>
        <v>ARG</v>
      </c>
      <c r="G8" s="6">
        <f ca="1">IFERROR(__xludf.DUMMYFUNCTION("""COMPUTED_VALUE"""),49426277)</f>
        <v>49426277</v>
      </c>
      <c r="H8" s="37">
        <f ca="1">IFERROR(__xludf.DUMMYFUNCTION("""COMPUTED_VALUE"""),39937)</f>
        <v>39937</v>
      </c>
      <c r="I8" s="38">
        <f ca="1">IFERROR(__xludf.DUMMYFUNCTION("""COMPUTED_VALUE"""),2214372462)</f>
        <v>2214372462</v>
      </c>
      <c r="J8" s="38">
        <f ca="1">IFERROR(__xludf.DUMMYFUNCTION("""COMPUTED_VALUE"""),2215066655)</f>
        <v>2215066655</v>
      </c>
      <c r="K8" s="38" t="str">
        <f ca="1">IFERROR(__xludf.DUMMYFUNCTION("""COMPUTED_VALUE"""),"marcelojbadorrey@gmail.com")</f>
        <v>marcelojbadorrey@gmail.com</v>
      </c>
      <c r="L8" s="38" t="str">
        <f ca="1">IFERROR(__xludf.DUMMYFUNCTION("""COMPUTED_VALUE"""),"Masculino")</f>
        <v>Masculino</v>
      </c>
      <c r="M8" s="6" t="str">
        <f ca="1">IFERROR(__xludf.DUMMYFUNCTION("""COMPUTED_VALUE"""),"CRLP")</f>
        <v>CRLP</v>
      </c>
      <c r="N8" s="38" t="str">
        <f ca="1">IFERROR(__xludf.DUMMYFUNCTION("""COMPUTED_VALUE"""),"Optimist Timoneles")</f>
        <v>Optimist Timoneles</v>
      </c>
      <c r="O8" s="38" t="str">
        <f ca="1">IFERROR(__xludf.DUMMYFUNCTION("""COMPUTED_VALUE"""),"OPTIMIST TIMONELES")</f>
        <v>OPTIMIST TIMONELES</v>
      </c>
      <c r="P8" s="38"/>
      <c r="Q8" s="6" t="str">
        <f ca="1">IFERROR(__xludf.DUMMYFUNCTION("""COMPUTED_VALUE"""),"ARG 4043")</f>
        <v>ARG 4043</v>
      </c>
      <c r="R8" s="38" t="str">
        <f ca="1">IFERROR(__xludf.DUMMYFUNCTION("""COMPUTED_VALUE"""),"Milocura ")</f>
        <v xml:space="preserve">Milocura </v>
      </c>
      <c r="S8" s="38"/>
      <c r="T8" s="38"/>
      <c r="U8" s="38"/>
      <c r="V8" s="38"/>
      <c r="W8" s="38"/>
      <c r="X8" s="38"/>
      <c r="Y8" s="38" t="str">
        <f ca="1">IFERROR(__xludf.DUMMYFUNCTION("""COMPUTED_VALUE"""),"OSPe A604")</f>
        <v>OSPe A604</v>
      </c>
      <c r="Z8" s="6" t="str">
        <f ca="1">IFERROR(__xludf.DUMMYFUNCTION("""COMPUTED_VALUE"""),"Si")</f>
        <v>Si</v>
      </c>
      <c r="AA8" s="6" t="str">
        <f ca="1">IFERROR(__xludf.DUMMYFUNCTION("""COMPUTED_VALUE"""),"Acepto")</f>
        <v>Acepto</v>
      </c>
      <c r="AB8" s="6" t="str">
        <f ca="1">IFERROR(__xludf.DUMMYFUNCTION("""COMPUTED_VALUE"""),"Terminado")</f>
        <v>Terminado</v>
      </c>
      <c r="AC8" s="6">
        <f ca="1">IFERROR(__xludf.DUMMYFUNCTION("""COMPUTED_VALUE"""),50000)</f>
        <v>50000</v>
      </c>
      <c r="AD8" s="6">
        <f ca="1">IFERROR(__xludf.DUMMYFUNCTION("""COMPUTED_VALUE"""),205105)</f>
        <v>205105</v>
      </c>
      <c r="AE8" s="38" t="str">
        <f ca="1">IFERROR(__xludf.DUMMYFUNCTION("""COMPUTED_VALUE"""),"TRF 30-08")</f>
        <v>TRF 30-08</v>
      </c>
      <c r="AF8" s="38"/>
      <c r="AG8" s="38"/>
      <c r="AH8" s="6"/>
      <c r="AI8" s="6"/>
    </row>
    <row r="9" spans="1:35" ht="13.2">
      <c r="B9" s="68">
        <f ca="1">IFERROR(__xludf.DUMMYFUNCTION("""COMPUTED_VALUE"""),45537.3805456944)</f>
        <v>45537.380545694403</v>
      </c>
      <c r="C9" s="36" t="str">
        <f ca="1">IFERROR(__xludf.DUMMYFUNCTION("""COMPUTED_VALUE"""),"Alfredo Enrique ")</f>
        <v xml:space="preserve">Alfredo Enrique </v>
      </c>
      <c r="D9" s="36" t="str">
        <f ca="1">IFERROR(__xludf.DUMMYFUNCTION("""COMPUTED_VALUE"""),"Bafico Trench ")</f>
        <v xml:space="preserve">Bafico Trench </v>
      </c>
      <c r="E9" s="36" t="str">
        <f ca="1">IFERROR(__xludf.DUMMYFUNCTION("""COMPUTED_VALUE"""),"CABA")</f>
        <v>CABA</v>
      </c>
      <c r="F9" s="6" t="str">
        <f ca="1">IFERROR(__xludf.DUMMYFUNCTION("""COMPUTED_VALUE"""),"ARG")</f>
        <v>ARG</v>
      </c>
      <c r="G9" s="6">
        <f ca="1">IFERROR(__xludf.DUMMYFUNCTION("""COMPUTED_VALUE"""),28997106)</f>
        <v>28997106</v>
      </c>
      <c r="H9" s="37">
        <f ca="1">IFERROR(__xludf.DUMMYFUNCTION("""COMPUTED_VALUE"""),29842)</f>
        <v>29842</v>
      </c>
      <c r="I9" s="38">
        <f ca="1">IFERROR(__xludf.DUMMYFUNCTION("""COMPUTED_VALUE"""),1162788414)</f>
        <v>1162788414</v>
      </c>
      <c r="J9" s="38">
        <f ca="1">IFERROR(__xludf.DUMMYFUNCTION("""COMPUTED_VALUE"""),1150047649)</f>
        <v>1150047649</v>
      </c>
      <c r="K9" s="38" t="str">
        <f ca="1">IFERROR(__xludf.DUMMYFUNCTION("""COMPUTED_VALUE"""),"abaficotrench@gmail.com")</f>
        <v>abaficotrench@gmail.com</v>
      </c>
      <c r="L9" s="38" t="str">
        <f ca="1">IFERROR(__xludf.DUMMYFUNCTION("""COMPUTED_VALUE"""),"Masculino")</f>
        <v>Masculino</v>
      </c>
      <c r="M9" s="6" t="str">
        <f ca="1">IFERROR(__xludf.DUMMYFUNCTION("""COMPUTED_VALUE"""),"CNGSM")</f>
        <v>CNGSM</v>
      </c>
      <c r="N9" s="38" t="str">
        <f ca="1">IFERROR(__xludf.DUMMYFUNCTION("""COMPUTED_VALUE"""),"Optimist Timoneles instructor ")</f>
        <v xml:space="preserve">Optimist Timoneles instructor </v>
      </c>
      <c r="O9" s="38" t="str">
        <f ca="1">IFERROR(__xludf.DUMMYFUNCTION("""COMPUTED_VALUE"""),"OPTIMIST TIMONELES")</f>
        <v>OPTIMIST TIMONELES</v>
      </c>
      <c r="P9" s="38"/>
      <c r="Q9" s="6">
        <f ca="1">IFERROR(__xludf.DUMMYFUNCTION("""COMPUTED_VALUE"""),1)</f>
        <v>1</v>
      </c>
      <c r="R9" s="38">
        <f ca="1">IFERROR(__xludf.DUMMYFUNCTION("""COMPUTED_VALUE"""),1)</f>
        <v>1</v>
      </c>
      <c r="S9" s="38"/>
      <c r="T9" s="38"/>
      <c r="U9" s="38"/>
      <c r="V9" s="38"/>
      <c r="W9" s="38"/>
      <c r="X9" s="38"/>
      <c r="Y9" s="38"/>
      <c r="Z9" s="6" t="str">
        <f ca="1">IFERROR(__xludf.DUMMYFUNCTION("""COMPUTED_VALUE"""),"No")</f>
        <v>No</v>
      </c>
      <c r="AA9" s="6" t="str">
        <f ca="1">IFERROR(__xludf.DUMMYFUNCTION("""COMPUTED_VALUE"""),"Acepto")</f>
        <v>Acepto</v>
      </c>
      <c r="AB9" s="6" t="str">
        <f ca="1">IFERROR(__xludf.DUMMYFUNCTION("""COMPUTED_VALUE"""),"Pendiente")</f>
        <v>Pendiente</v>
      </c>
      <c r="AC9" s="6"/>
      <c r="AD9" s="6"/>
      <c r="AE9" s="38"/>
      <c r="AF9" s="38"/>
      <c r="AG9" s="38"/>
      <c r="AH9" s="6"/>
      <c r="AI9" s="6"/>
    </row>
    <row r="10" spans="1:35" ht="13.2">
      <c r="B10" s="68">
        <f ca="1">IFERROR(__xludf.DUMMYFUNCTION("""COMPUTED_VALUE"""),45519.7975014467)</f>
        <v>45519.797501446701</v>
      </c>
      <c r="C10" s="36" t="str">
        <f ca="1">IFERROR(__xludf.DUMMYFUNCTION("""COMPUTED_VALUE"""),"Joaquin")</f>
        <v>Joaquin</v>
      </c>
      <c r="D10" s="36" t="str">
        <f ca="1">IFERROR(__xludf.DUMMYFUNCTION("""COMPUTED_VALUE"""),"Balbuena")</f>
        <v>Balbuena</v>
      </c>
      <c r="E10" s="36" t="str">
        <f ca="1">IFERROR(__xludf.DUMMYFUNCTION("""COMPUTED_VALUE"""),"Buenos aires")</f>
        <v>Buenos aires</v>
      </c>
      <c r="F10" s="6" t="str">
        <f ca="1">IFERROR(__xludf.DUMMYFUNCTION("""COMPUTED_VALUE"""),"ARG")</f>
        <v>ARG</v>
      </c>
      <c r="G10" s="6">
        <f ca="1">IFERROR(__xludf.DUMMYFUNCTION("""COMPUTED_VALUE"""),49835037)</f>
        <v>49835037</v>
      </c>
      <c r="H10" s="37">
        <f ca="1">IFERROR(__xludf.DUMMYFUNCTION("""COMPUTED_VALUE"""),40080)</f>
        <v>40080</v>
      </c>
      <c r="I10" s="38">
        <f ca="1">IFERROR(__xludf.DUMMYFUNCTION("""COMPUTED_VALUE"""),1131963911)</f>
        <v>1131963911</v>
      </c>
      <c r="J10" s="38">
        <f ca="1">IFERROR(__xludf.DUMMYFUNCTION("""COMPUTED_VALUE"""),1131963911)</f>
        <v>1131963911</v>
      </c>
      <c r="K10" s="38" t="str">
        <f ca="1">IFERROR(__xludf.DUMMYFUNCTION("""COMPUTED_VALUE"""),"Euge611@gmail.com")</f>
        <v>Euge611@gmail.com</v>
      </c>
      <c r="L10" s="38" t="str">
        <f ca="1">IFERROR(__xludf.DUMMYFUNCTION("""COMPUTED_VALUE"""),"Masculino")</f>
        <v>Masculino</v>
      </c>
      <c r="M10" s="6" t="str">
        <f ca="1">IFERROR(__xludf.DUMMYFUNCTION("""COMPUTED_VALUE"""),"BARRANCAS")</f>
        <v>BARRANCAS</v>
      </c>
      <c r="N10" s="38"/>
      <c r="O10" s="38" t="str">
        <f ca="1">IFERROR(__xludf.DUMMYFUNCTION("""COMPUTED_VALUE"""),"OPTIMIST TIMONELES")</f>
        <v>OPTIMIST TIMONELES</v>
      </c>
      <c r="P10" s="38"/>
      <c r="Q10" s="6">
        <f ca="1">IFERROR(__xludf.DUMMYFUNCTION("""COMPUTED_VALUE"""),4032)</f>
        <v>4032</v>
      </c>
      <c r="R10" s="38"/>
      <c r="S10" s="38"/>
      <c r="T10" s="38"/>
      <c r="U10" s="38"/>
      <c r="V10" s="38"/>
      <c r="W10" s="38"/>
      <c r="X10" s="38"/>
      <c r="Y10" s="38" t="str">
        <f ca="1">IFERROR(__xludf.DUMMYFUNCTION("""COMPUTED_VALUE"""),"Swiss")</f>
        <v>Swiss</v>
      </c>
      <c r="Z10" s="6" t="str">
        <f ca="1">IFERROR(__xludf.DUMMYFUNCTION("""COMPUTED_VALUE"""),"Si")</f>
        <v>Si</v>
      </c>
      <c r="AA10" s="6" t="str">
        <f ca="1">IFERROR(__xludf.DUMMYFUNCTION("""COMPUTED_VALUE"""),"Acepto")</f>
        <v>Acepto</v>
      </c>
      <c r="AB10" s="6" t="str">
        <f ca="1">IFERROR(__xludf.DUMMYFUNCTION("""COMPUTED_VALUE"""),"Repetido")</f>
        <v>Repetido</v>
      </c>
      <c r="AC10" s="6"/>
      <c r="AD10" s="6"/>
      <c r="AE10" s="38"/>
      <c r="AF10" s="38"/>
      <c r="AG10" s="38"/>
      <c r="AH10" s="6"/>
      <c r="AI10" s="6"/>
    </row>
    <row r="11" spans="1:35" ht="13.2">
      <c r="B11" s="68">
        <f ca="1">IFERROR(__xludf.DUMMYFUNCTION("""COMPUTED_VALUE"""),45519.7994952314)</f>
        <v>45519.799495231397</v>
      </c>
      <c r="C11" s="36" t="str">
        <f ca="1">IFERROR(__xludf.DUMMYFUNCTION("""COMPUTED_VALUE"""),"Fran")</f>
        <v>Fran</v>
      </c>
      <c r="D11" s="36" t="str">
        <f ca="1">IFERROR(__xludf.DUMMYFUNCTION("""COMPUTED_VALUE"""),"Balbuena")</f>
        <v>Balbuena</v>
      </c>
      <c r="E11" s="36" t="str">
        <f ca="1">IFERROR(__xludf.DUMMYFUNCTION("""COMPUTED_VALUE"""),"Buenos aires")</f>
        <v>Buenos aires</v>
      </c>
      <c r="F11" s="6" t="str">
        <f ca="1">IFERROR(__xludf.DUMMYFUNCTION("""COMPUTED_VALUE"""),"ARG")</f>
        <v>ARG</v>
      </c>
      <c r="G11" s="6">
        <f ca="1">IFERROR(__xludf.DUMMYFUNCTION("""COMPUTED_VALUE"""),52676878)</f>
        <v>52676878</v>
      </c>
      <c r="H11" s="37">
        <f ca="1">IFERROR(__xludf.DUMMYFUNCTION("""COMPUTED_VALUE"""),41122)</f>
        <v>41122</v>
      </c>
      <c r="I11" s="38">
        <f ca="1">IFERROR(__xludf.DUMMYFUNCTION("""COMPUTED_VALUE"""),1131963911)</f>
        <v>1131963911</v>
      </c>
      <c r="J11" s="38">
        <f ca="1">IFERROR(__xludf.DUMMYFUNCTION("""COMPUTED_VALUE"""),1131963911)</f>
        <v>1131963911</v>
      </c>
      <c r="K11" s="38" t="str">
        <f ca="1">IFERROR(__xludf.DUMMYFUNCTION("""COMPUTED_VALUE"""),"Euge611@gmail.com")</f>
        <v>Euge611@gmail.com</v>
      </c>
      <c r="L11" s="38" t="str">
        <f ca="1">IFERROR(__xludf.DUMMYFUNCTION("""COMPUTED_VALUE"""),"Masculino")</f>
        <v>Masculino</v>
      </c>
      <c r="M11" s="6" t="str">
        <f ca="1">IFERROR(__xludf.DUMMYFUNCTION("""COMPUTED_VALUE"""),"BARRANCAS")</f>
        <v>BARRANCAS</v>
      </c>
      <c r="N11" s="38"/>
      <c r="O11" s="38" t="str">
        <f ca="1">IFERROR(__xludf.DUMMYFUNCTION("""COMPUTED_VALUE"""),"OPTIMIST TIMONELES")</f>
        <v>OPTIMIST TIMONELES</v>
      </c>
      <c r="P11" s="38"/>
      <c r="Q11" s="6">
        <f ca="1">IFERROR(__xludf.DUMMYFUNCTION("""COMPUTED_VALUE"""),4092)</f>
        <v>4092</v>
      </c>
      <c r="R11" s="38"/>
      <c r="S11" s="38"/>
      <c r="T11" s="38"/>
      <c r="U11" s="38"/>
      <c r="V11" s="38"/>
      <c r="W11" s="38"/>
      <c r="X11" s="38"/>
      <c r="Y11" s="38" t="str">
        <f ca="1">IFERROR(__xludf.DUMMYFUNCTION("""COMPUTED_VALUE"""),"Swiss")</f>
        <v>Swiss</v>
      </c>
      <c r="Z11" s="6" t="str">
        <f ca="1">IFERROR(__xludf.DUMMYFUNCTION("""COMPUTED_VALUE"""),"Si")</f>
        <v>Si</v>
      </c>
      <c r="AA11" s="6" t="str">
        <f ca="1">IFERROR(__xludf.DUMMYFUNCTION("""COMPUTED_VALUE"""),"Acepto")</f>
        <v>Acepto</v>
      </c>
      <c r="AB11" s="6" t="str">
        <f ca="1">IFERROR(__xludf.DUMMYFUNCTION("""COMPUTED_VALUE"""),"Repetido")</f>
        <v>Repetido</v>
      </c>
      <c r="AC11" s="6"/>
      <c r="AD11" s="6"/>
      <c r="AE11" s="38"/>
      <c r="AF11" s="38"/>
      <c r="AG11" s="38"/>
      <c r="AH11" s="6"/>
      <c r="AI11" s="6"/>
    </row>
    <row r="12" spans="1:35" ht="13.2">
      <c r="B12" s="68">
        <f ca="1">IFERROR(__xludf.DUMMYFUNCTION("""COMPUTED_VALUE"""),45525.700451956)</f>
        <v>45525.700451956</v>
      </c>
      <c r="C12" s="36" t="str">
        <f ca="1">IFERROR(__xludf.DUMMYFUNCTION("""COMPUTED_VALUE"""),"Cayetana")</f>
        <v>Cayetana</v>
      </c>
      <c r="D12" s="36" t="str">
        <f ca="1">IFERROR(__xludf.DUMMYFUNCTION("""COMPUTED_VALUE"""),"Balbuena")</f>
        <v>Balbuena</v>
      </c>
      <c r="E12" s="36" t="str">
        <f ca="1">IFERROR(__xludf.DUMMYFUNCTION("""COMPUTED_VALUE"""),"Bs As")</f>
        <v>Bs As</v>
      </c>
      <c r="F12" s="6" t="str">
        <f ca="1">IFERROR(__xludf.DUMMYFUNCTION("""COMPUTED_VALUE"""),"ARG")</f>
        <v>ARG</v>
      </c>
      <c r="G12" s="6">
        <f ca="1">IFERROR(__xludf.DUMMYFUNCTION("""COMPUTED_VALUE"""),50235461)</f>
        <v>50235461</v>
      </c>
      <c r="H12" s="37">
        <f ca="1">IFERROR(__xludf.DUMMYFUNCTION("""COMPUTED_VALUE"""),40310)</f>
        <v>40310</v>
      </c>
      <c r="I12" s="38">
        <f ca="1">IFERROR(__xludf.DUMMYFUNCTION("""COMPUTED_VALUE"""),54638567)</f>
        <v>54638567</v>
      </c>
      <c r="J12" s="38" t="str">
        <f ca="1">IFERROR(__xludf.DUMMYFUNCTION("""COMPUTED_VALUE"""),"40692753 54638567")</f>
        <v>40692753 54638567</v>
      </c>
      <c r="K12" s="38" t="str">
        <f ca="1">IFERROR(__xludf.DUMMYFUNCTION("""COMPUTED_VALUE"""),"sbalbuena@mcca.com.ar")</f>
        <v>sbalbuena@mcca.com.ar</v>
      </c>
      <c r="L12" s="38" t="str">
        <f ca="1">IFERROR(__xludf.DUMMYFUNCTION("""COMPUTED_VALUE"""),"Femenino")</f>
        <v>Femenino</v>
      </c>
      <c r="M12" s="6" t="str">
        <f ca="1">IFERROR(__xludf.DUMMYFUNCTION("""COMPUTED_VALUE"""),"CPNLB")</f>
        <v>CPNLB</v>
      </c>
      <c r="N12" s="38" t="str">
        <f ca="1">IFERROR(__xludf.DUMMYFUNCTION("""COMPUTED_VALUE"""),"Femenino")</f>
        <v>Femenino</v>
      </c>
      <c r="O12" s="38" t="str">
        <f ca="1">IFERROR(__xludf.DUMMYFUNCTION("""COMPUTED_VALUE"""),"OPTIMIST TIMONELES")</f>
        <v>OPTIMIST TIMONELES</v>
      </c>
      <c r="P12" s="38"/>
      <c r="Q12" s="6" t="str">
        <f ca="1">IFERROR(__xludf.DUMMYFUNCTION("""COMPUTED_VALUE"""),"Arg 4061")</f>
        <v>Arg 4061</v>
      </c>
      <c r="R12" s="38"/>
      <c r="S12" s="38"/>
      <c r="T12" s="38"/>
      <c r="U12" s="38"/>
      <c r="V12" s="38"/>
      <c r="W12" s="38"/>
      <c r="X12" s="38"/>
      <c r="Y12" s="38" t="str">
        <f ca="1">IFERROR(__xludf.DUMMYFUNCTION("""COMPUTED_VALUE"""),"Osde")</f>
        <v>Osde</v>
      </c>
      <c r="Z12" s="6" t="str">
        <f ca="1">IFERROR(__xludf.DUMMYFUNCTION("""COMPUTED_VALUE"""),"Si")</f>
        <v>Si</v>
      </c>
      <c r="AA12" s="6" t="str">
        <f ca="1">IFERROR(__xludf.DUMMYFUNCTION("""COMPUTED_VALUE"""),"Acepto")</f>
        <v>Acepto</v>
      </c>
      <c r="AB12" s="6" t="str">
        <f ca="1">IFERROR(__xludf.DUMMYFUNCTION("""COMPUTED_VALUE"""),"Pendiente")</f>
        <v>Pendiente</v>
      </c>
      <c r="AC12" s="6"/>
      <c r="AD12" s="6"/>
      <c r="AE12" s="38"/>
      <c r="AF12" s="38"/>
      <c r="AG12" s="38"/>
      <c r="AH12" s="6"/>
      <c r="AI12" s="6"/>
    </row>
    <row r="13" spans="1:35" ht="13.2">
      <c r="B13" s="68">
        <f ca="1">IFERROR(__xludf.DUMMYFUNCTION("""COMPUTED_VALUE"""),45535.4411291898)</f>
        <v>45535.4411291898</v>
      </c>
      <c r="C13" s="36" t="str">
        <f ca="1">IFERROR(__xludf.DUMMYFUNCTION("""COMPUTED_VALUE"""),"Joaco")</f>
        <v>Joaco</v>
      </c>
      <c r="D13" s="36" t="str">
        <f ca="1">IFERROR(__xludf.DUMMYFUNCTION("""COMPUTED_VALUE"""),"Balbuena")</f>
        <v>Balbuena</v>
      </c>
      <c r="E13" s="36" t="str">
        <f ca="1">IFERROR(__xludf.DUMMYFUNCTION("""COMPUTED_VALUE"""),"Acassuso")</f>
        <v>Acassuso</v>
      </c>
      <c r="F13" s="6" t="str">
        <f ca="1">IFERROR(__xludf.DUMMYFUNCTION("""COMPUTED_VALUE"""),"ARG")</f>
        <v>ARG</v>
      </c>
      <c r="G13" s="6">
        <f ca="1">IFERROR(__xludf.DUMMYFUNCTION("""COMPUTED_VALUE"""),49835037)</f>
        <v>49835037</v>
      </c>
      <c r="H13" s="37">
        <f ca="1">IFERROR(__xludf.DUMMYFUNCTION("""COMPUTED_VALUE"""),40080)</f>
        <v>40080</v>
      </c>
      <c r="I13" s="38">
        <f ca="1">IFERROR(__xludf.DUMMYFUNCTION("""COMPUTED_VALUE"""),1131963911)</f>
        <v>1131963911</v>
      </c>
      <c r="J13" s="38"/>
      <c r="K13" s="38" t="str">
        <f ca="1">IFERROR(__xludf.DUMMYFUNCTION("""COMPUTED_VALUE"""),"euge611@gmail.com")</f>
        <v>euge611@gmail.com</v>
      </c>
      <c r="L13" s="38" t="str">
        <f ca="1">IFERROR(__xludf.DUMMYFUNCTION("""COMPUTED_VALUE"""),"Masculino")</f>
        <v>Masculino</v>
      </c>
      <c r="M13" s="6" t="str">
        <f ca="1">IFERROR(__xludf.DUMMYFUNCTION("""COMPUTED_VALUE"""),"BARRANCAS")</f>
        <v>BARRANCAS</v>
      </c>
      <c r="N13" s="38"/>
      <c r="O13" s="38" t="str">
        <f ca="1">IFERROR(__xludf.DUMMYFUNCTION("""COMPUTED_VALUE"""),"OPTIMIST TIMONELES")</f>
        <v>OPTIMIST TIMONELES</v>
      </c>
      <c r="P13" s="38"/>
      <c r="Q13" s="6">
        <f ca="1">IFERROR(__xludf.DUMMYFUNCTION("""COMPUTED_VALUE"""),4032)</f>
        <v>4032</v>
      </c>
      <c r="R13" s="38"/>
      <c r="S13" s="38"/>
      <c r="T13" s="38"/>
      <c r="U13" s="38"/>
      <c r="V13" s="38"/>
      <c r="W13" s="38"/>
      <c r="X13" s="38"/>
      <c r="Y13" s="38" t="str">
        <f ca="1">IFERROR(__xludf.DUMMYFUNCTION("""COMPUTED_VALUE"""),"Swiss medical")</f>
        <v>Swiss medical</v>
      </c>
      <c r="Z13" s="6" t="str">
        <f ca="1">IFERROR(__xludf.DUMMYFUNCTION("""COMPUTED_VALUE"""),"Si")</f>
        <v>Si</v>
      </c>
      <c r="AA13" s="6" t="str">
        <f ca="1">IFERROR(__xludf.DUMMYFUNCTION("""COMPUTED_VALUE"""),"Acepto")</f>
        <v>Acepto</v>
      </c>
      <c r="AB13" s="6" t="str">
        <f ca="1">IFERROR(__xludf.DUMMYFUNCTION("""COMPUTED_VALUE"""),"Terminado")</f>
        <v>Terminado</v>
      </c>
      <c r="AC13" s="6">
        <f ca="1">IFERROR(__xludf.DUMMYFUNCTION("""COMPUTED_VALUE"""),50000)</f>
        <v>50000</v>
      </c>
      <c r="AD13" s="6">
        <f ca="1">IFERROR(__xludf.DUMMYFUNCTION("""COMPUTED_VALUE"""),205115)</f>
        <v>205115</v>
      </c>
      <c r="AE13" s="38" t="str">
        <f ca="1">IFERROR(__xludf.DUMMYFUNCTION("""COMPUTED_VALUE"""),"Tarj 31-08")</f>
        <v>Tarj 31-08</v>
      </c>
      <c r="AF13" s="38"/>
      <c r="AG13" s="38"/>
      <c r="AH13" s="6"/>
      <c r="AI13" s="6"/>
    </row>
    <row r="14" spans="1:35" ht="13.2">
      <c r="B14" s="68">
        <f ca="1">IFERROR(__xludf.DUMMYFUNCTION("""COMPUTED_VALUE"""),45535.4422567708)</f>
        <v>45535.442256770802</v>
      </c>
      <c r="C14" s="36" t="str">
        <f ca="1">IFERROR(__xludf.DUMMYFUNCTION("""COMPUTED_VALUE"""),"Fran")</f>
        <v>Fran</v>
      </c>
      <c r="D14" s="36" t="str">
        <f ca="1">IFERROR(__xludf.DUMMYFUNCTION("""COMPUTED_VALUE"""),"Balbuena")</f>
        <v>Balbuena</v>
      </c>
      <c r="E14" s="36" t="str">
        <f ca="1">IFERROR(__xludf.DUMMYFUNCTION("""COMPUTED_VALUE"""),"Acassuso")</f>
        <v>Acassuso</v>
      </c>
      <c r="F14" s="6" t="str">
        <f ca="1">IFERROR(__xludf.DUMMYFUNCTION("""COMPUTED_VALUE"""),"ARG")</f>
        <v>ARG</v>
      </c>
      <c r="G14" s="6">
        <f ca="1">IFERROR(__xludf.DUMMYFUNCTION("""COMPUTED_VALUE"""),52676878)</f>
        <v>52676878</v>
      </c>
      <c r="H14" s="37">
        <f ca="1">IFERROR(__xludf.DUMMYFUNCTION("""COMPUTED_VALUE"""),41122)</f>
        <v>41122</v>
      </c>
      <c r="I14" s="38">
        <f ca="1">IFERROR(__xludf.DUMMYFUNCTION("""COMPUTED_VALUE"""),1131963911)</f>
        <v>1131963911</v>
      </c>
      <c r="J14" s="38"/>
      <c r="K14" s="38" t="str">
        <f ca="1">IFERROR(__xludf.DUMMYFUNCTION("""COMPUTED_VALUE"""),"euge611@gmail.com")</f>
        <v>euge611@gmail.com</v>
      </c>
      <c r="L14" s="38" t="str">
        <f ca="1">IFERROR(__xludf.DUMMYFUNCTION("""COMPUTED_VALUE"""),"Masculino")</f>
        <v>Masculino</v>
      </c>
      <c r="M14" s="6" t="str">
        <f ca="1">IFERROR(__xludf.DUMMYFUNCTION("""COMPUTED_VALUE"""),"BARRANCAS")</f>
        <v>BARRANCAS</v>
      </c>
      <c r="N14" s="38"/>
      <c r="O14" s="38" t="str">
        <f ca="1">IFERROR(__xludf.DUMMYFUNCTION("""COMPUTED_VALUE"""),"OPTIMIST TIMONELES")</f>
        <v>OPTIMIST TIMONELES</v>
      </c>
      <c r="P14" s="38"/>
      <c r="Q14" s="6">
        <f ca="1">IFERROR(__xludf.DUMMYFUNCTION("""COMPUTED_VALUE"""),4092)</f>
        <v>4092</v>
      </c>
      <c r="R14" s="38"/>
      <c r="S14" s="38"/>
      <c r="T14" s="38"/>
      <c r="U14" s="38"/>
      <c r="V14" s="38"/>
      <c r="W14" s="38"/>
      <c r="X14" s="38"/>
      <c r="Y14" s="38" t="str">
        <f ca="1">IFERROR(__xludf.DUMMYFUNCTION("""COMPUTED_VALUE"""),"Swiss medical")</f>
        <v>Swiss medical</v>
      </c>
      <c r="Z14" s="6" t="str">
        <f ca="1">IFERROR(__xludf.DUMMYFUNCTION("""COMPUTED_VALUE"""),"Si")</f>
        <v>Si</v>
      </c>
      <c r="AA14" s="6" t="str">
        <f ca="1">IFERROR(__xludf.DUMMYFUNCTION("""COMPUTED_VALUE"""),"Acepto")</f>
        <v>Acepto</v>
      </c>
      <c r="AB14" s="6" t="str">
        <f ca="1">IFERROR(__xludf.DUMMYFUNCTION("""COMPUTED_VALUE"""),"Terminado")</f>
        <v>Terminado</v>
      </c>
      <c r="AC14" s="6">
        <f ca="1">IFERROR(__xludf.DUMMYFUNCTION("""COMPUTED_VALUE"""),50000)</f>
        <v>50000</v>
      </c>
      <c r="AD14" s="6">
        <f ca="1">IFERROR(__xludf.DUMMYFUNCTION("""COMPUTED_VALUE"""),205115)</f>
        <v>205115</v>
      </c>
      <c r="AE14" s="38" t="str">
        <f ca="1">IFERROR(__xludf.DUMMYFUNCTION("""COMPUTED_VALUE"""),"Tarj 31-08")</f>
        <v>Tarj 31-08</v>
      </c>
      <c r="AF14" s="38"/>
      <c r="AG14" s="38"/>
      <c r="AH14" s="6"/>
      <c r="AI14" s="6"/>
    </row>
    <row r="15" spans="1:35" ht="13.2">
      <c r="B15" s="68">
        <f ca="1">IFERROR(__xludf.DUMMYFUNCTION("""COMPUTED_VALUE"""),45536.4394899768)</f>
        <v>45536.439489976801</v>
      </c>
      <c r="C15" s="36" t="str">
        <f ca="1">IFERROR(__xludf.DUMMYFUNCTION("""COMPUTED_VALUE"""),"Lola")</f>
        <v>Lola</v>
      </c>
      <c r="D15" s="36" t="str">
        <f ca="1">IFERROR(__xludf.DUMMYFUNCTION("""COMPUTED_VALUE"""),"Barceló")</f>
        <v>Barceló</v>
      </c>
      <c r="E15" s="36" t="str">
        <f ca="1">IFERROR(__xludf.DUMMYFUNCTION("""COMPUTED_VALUE"""),"San Pedro")</f>
        <v>San Pedro</v>
      </c>
      <c r="F15" s="6" t="str">
        <f ca="1">IFERROR(__xludf.DUMMYFUNCTION("""COMPUTED_VALUE"""),"ARG")</f>
        <v>ARG</v>
      </c>
      <c r="G15" s="6">
        <f ca="1">IFERROR(__xludf.DUMMYFUNCTION("""COMPUTED_VALUE"""),25096935)</f>
        <v>25096935</v>
      </c>
      <c r="H15" s="37">
        <f ca="1">IFERROR(__xludf.DUMMYFUNCTION("""COMPUTED_VALUE"""),41145)</f>
        <v>41145</v>
      </c>
      <c r="I15" s="38" t="str">
        <f ca="1">IFERROR(__xludf.DUMMYFUNCTION("""COMPUTED_VALUE"""),"11 5835 5770")</f>
        <v>11 5835 5770</v>
      </c>
      <c r="J15" s="38" t="str">
        <f ca="1">IFERROR(__xludf.DUMMYFUNCTION("""COMPUTED_VALUE"""),"11 5835 5770 ")</f>
        <v xml:space="preserve">11 5835 5770 </v>
      </c>
      <c r="K15" s="38" t="str">
        <f ca="1">IFERROR(__xludf.DUMMYFUNCTION("""COMPUTED_VALUE"""),"sole_mz@yahoo.com.ar")</f>
        <v>sole_mz@yahoo.com.ar</v>
      </c>
      <c r="L15" s="38" t="str">
        <f ca="1">IFERROR(__xludf.DUMMYFUNCTION("""COMPUTED_VALUE"""),"Femenino")</f>
        <v>Femenino</v>
      </c>
      <c r="M15" s="6" t="str">
        <f ca="1">IFERROR(__xludf.DUMMYFUNCTION("""COMPUTED_VALUE"""),"CNSP")</f>
        <v>CNSP</v>
      </c>
      <c r="N15" s="38" t="str">
        <f ca="1">IFERROR(__xludf.DUMMYFUNCTION("""COMPUTED_VALUE"""),"Femenino, Interior (Optimist)")</f>
        <v>Femenino, Interior (Optimist)</v>
      </c>
      <c r="O15" s="38" t="str">
        <f ca="1">IFERROR(__xludf.DUMMYFUNCTION("""COMPUTED_VALUE"""),"OPTIMIST TIMONELES")</f>
        <v>OPTIMIST TIMONELES</v>
      </c>
      <c r="P15" s="38"/>
      <c r="Q15" s="6">
        <f ca="1">IFERROR(__xludf.DUMMYFUNCTION("""COMPUTED_VALUE"""),3908)</f>
        <v>3908</v>
      </c>
      <c r="R15" s="38"/>
      <c r="S15" s="38"/>
      <c r="T15" s="38"/>
      <c r="U15" s="38"/>
      <c r="V15" s="38"/>
      <c r="W15" s="38"/>
      <c r="X15" s="38"/>
      <c r="Y15" s="38" t="str">
        <f ca="1">IFERROR(__xludf.DUMMYFUNCTION("""COMPUTED_VALUE"""),"Swiss Medical")</f>
        <v>Swiss Medical</v>
      </c>
      <c r="Z15" s="6" t="str">
        <f ca="1">IFERROR(__xludf.DUMMYFUNCTION("""COMPUTED_VALUE"""),"Si")</f>
        <v>Si</v>
      </c>
      <c r="AA15" s="6" t="str">
        <f ca="1">IFERROR(__xludf.DUMMYFUNCTION("""COMPUTED_VALUE"""),"Acepto")</f>
        <v>Acepto</v>
      </c>
      <c r="AB15" s="6" t="str">
        <f ca="1">IFERROR(__xludf.DUMMYFUNCTION("""COMPUTED_VALUE"""),"Terminado")</f>
        <v>Terminado</v>
      </c>
      <c r="AC15" s="6">
        <f ca="1">IFERROR(__xludf.DUMMYFUNCTION("""COMPUTED_VALUE"""),42500)</f>
        <v>42500</v>
      </c>
      <c r="AD15" s="6">
        <f ca="1">IFERROR(__xludf.DUMMYFUNCTION("""COMPUTED_VALUE"""),205376)</f>
        <v>205376</v>
      </c>
      <c r="AE15" s="38" t="str">
        <f ca="1">IFERROR(__xludf.DUMMYFUNCTION("""COMPUTED_VALUE"""),"TRF 02-09")</f>
        <v>TRF 02-09</v>
      </c>
      <c r="AF15" s="38"/>
      <c r="AG15" s="38"/>
      <c r="AH15" s="6"/>
      <c r="AI15" s="6"/>
    </row>
    <row r="16" spans="1:35" ht="13.2">
      <c r="B16" s="68">
        <f ca="1">IFERROR(__xludf.DUMMYFUNCTION("""COMPUTED_VALUE"""),45538.4740970717)</f>
        <v>45538.474097071703</v>
      </c>
      <c r="C16" s="36" t="str">
        <f ca="1">IFERROR(__xludf.DUMMYFUNCTION("""COMPUTED_VALUE"""),"Isaías")</f>
        <v>Isaías</v>
      </c>
      <c r="D16" s="36" t="str">
        <f ca="1">IFERROR(__xludf.DUMMYFUNCTION("""COMPUTED_VALUE"""),"Barrera")</f>
        <v>Barrera</v>
      </c>
      <c r="E16" s="36" t="str">
        <f ca="1">IFERROR(__xludf.DUMMYFUNCTION("""COMPUTED_VALUE"""),"San Isidro")</f>
        <v>San Isidro</v>
      </c>
      <c r="F16" s="6" t="str">
        <f ca="1">IFERROR(__xludf.DUMMYFUNCTION("""COMPUTED_VALUE"""),"ARG")</f>
        <v>ARG</v>
      </c>
      <c r="G16" s="6">
        <f ca="1">IFERROR(__xludf.DUMMYFUNCTION("""COMPUTED_VALUE"""),52593162)</f>
        <v>52593162</v>
      </c>
      <c r="H16" s="37">
        <f ca="1">IFERROR(__xludf.DUMMYFUNCTION("""COMPUTED_VALUE"""),41070)</f>
        <v>41070</v>
      </c>
      <c r="I16" s="38" t="str">
        <f ca="1">IFERROR(__xludf.DUMMYFUNCTION("""COMPUTED_VALUE"""),"+54 9 11 3394-3846")</f>
        <v>+54 9 11 3394-3846</v>
      </c>
      <c r="J16" s="38"/>
      <c r="K16" s="38" t="str">
        <f ca="1">IFERROR(__xludf.DUMMYFUNCTION("""COMPUTED_VALUE"""),"ignacio.varisco@gmail.com")</f>
        <v>ignacio.varisco@gmail.com</v>
      </c>
      <c r="L16" s="38" t="str">
        <f ca="1">IFERROR(__xludf.DUMMYFUNCTION("""COMPUTED_VALUE"""),"Masculino")</f>
        <v>Masculino</v>
      </c>
      <c r="M16" s="6" t="str">
        <f ca="1">IFERROR(__xludf.DUMMYFUNCTION("""COMPUTED_VALUE"""),"CPNLB- CBRIO")</f>
        <v>CPNLB- CBRIO</v>
      </c>
      <c r="N16" s="38"/>
      <c r="O16" s="38" t="str">
        <f ca="1">IFERROR(__xludf.DUMMYFUNCTION("""COMPUTED_VALUE"""),"OPTIMIST TIMONELES")</f>
        <v>OPTIMIST TIMONELES</v>
      </c>
      <c r="P16" s="38"/>
      <c r="Q16" s="6" t="str">
        <f ca="1">IFERROR(__xludf.DUMMYFUNCTION("""COMPUTED_VALUE"""),"ARG 3828")</f>
        <v>ARG 3828</v>
      </c>
      <c r="R16" s="38" t="str">
        <f ca="1">IFERROR(__xludf.DUMMYFUNCTION("""COMPUTED_VALUE"""),"Foiler")</f>
        <v>Foiler</v>
      </c>
      <c r="S16" s="38"/>
      <c r="T16" s="38"/>
      <c r="U16" s="38"/>
      <c r="V16" s="38"/>
      <c r="W16" s="38"/>
      <c r="X16" s="38"/>
      <c r="Y16" s="38"/>
      <c r="Z16" s="6" t="str">
        <f ca="1">IFERROR(__xludf.DUMMYFUNCTION("""COMPUTED_VALUE"""),"Si")</f>
        <v>Si</v>
      </c>
      <c r="AA16" s="6" t="str">
        <f ca="1">IFERROR(__xludf.DUMMYFUNCTION("""COMPUTED_VALUE"""),"Acepto")</f>
        <v>Acepto</v>
      </c>
      <c r="AB16" s="6" t="str">
        <f ca="1">IFERROR(__xludf.DUMMYFUNCTION("""COMPUTED_VALUE"""),"Pendiente")</f>
        <v>Pendiente</v>
      </c>
      <c r="AC16" s="6"/>
      <c r="AD16" s="6"/>
      <c r="AE16" s="38"/>
      <c r="AF16" s="38"/>
      <c r="AG16" s="38"/>
      <c r="AH16" s="6"/>
      <c r="AI16" s="6"/>
    </row>
    <row r="17" spans="2:35" ht="13.2">
      <c r="B17" s="68">
        <f ca="1">IFERROR(__xludf.DUMMYFUNCTION("""COMPUTED_VALUE"""),45535.832373449)</f>
        <v>45535.832373448997</v>
      </c>
      <c r="C17" s="36" t="str">
        <f ca="1">IFERROR(__xludf.DUMMYFUNCTION("""COMPUTED_VALUE"""),"Delfina")</f>
        <v>Delfina</v>
      </c>
      <c r="D17" s="36" t="str">
        <f ca="1">IFERROR(__xludf.DUMMYFUNCTION("""COMPUTED_VALUE"""),"Becerra")</f>
        <v>Becerra</v>
      </c>
      <c r="E17" s="36" t="str">
        <f ca="1">IFERROR(__xludf.DUMMYFUNCTION("""COMPUTED_VALUE"""),"San Fernando")</f>
        <v>San Fernando</v>
      </c>
      <c r="F17" s="6" t="str">
        <f ca="1">IFERROR(__xludf.DUMMYFUNCTION("""COMPUTED_VALUE"""),"ARG")</f>
        <v>ARG</v>
      </c>
      <c r="G17" s="6">
        <f ca="1">IFERROR(__xludf.DUMMYFUNCTION("""COMPUTED_VALUE"""),51183098)</f>
        <v>51183098</v>
      </c>
      <c r="H17" s="37">
        <f ca="1">IFERROR(__xludf.DUMMYFUNCTION("""COMPUTED_VALUE"""),40733)</f>
        <v>40733</v>
      </c>
      <c r="I17" s="38">
        <f ca="1">IFERROR(__xludf.DUMMYFUNCTION("""COMPUTED_VALUE"""),1154522861)</f>
        <v>1154522861</v>
      </c>
      <c r="J17" s="38">
        <f ca="1">IFERROR(__xludf.DUMMYFUNCTION("""COMPUTED_VALUE"""),1154522871)</f>
        <v>1154522871</v>
      </c>
      <c r="K17" s="38" t="str">
        <f ca="1">IFERROR(__xludf.DUMMYFUNCTION("""COMPUTED_VALUE"""),"mechicanofrers@hotmail.com")</f>
        <v>mechicanofrers@hotmail.com</v>
      </c>
      <c r="L17" s="38" t="str">
        <f ca="1">IFERROR(__xludf.DUMMYFUNCTION("""COMPUTED_VALUE"""),"Femenino")</f>
        <v>Femenino</v>
      </c>
      <c r="M17" s="6" t="str">
        <f ca="1">IFERROR(__xludf.DUMMYFUNCTION("""COMPUTED_VALUE"""),"CNSI")</f>
        <v>CNSI</v>
      </c>
      <c r="N17" s="38" t="str">
        <f ca="1">IFERROR(__xludf.DUMMYFUNCTION("""COMPUTED_VALUE"""),"Femenino")</f>
        <v>Femenino</v>
      </c>
      <c r="O17" s="38" t="str">
        <f ca="1">IFERROR(__xludf.DUMMYFUNCTION("""COMPUTED_VALUE"""),"OPTIMIST TIMONELES")</f>
        <v>OPTIMIST TIMONELES</v>
      </c>
      <c r="P17" s="38"/>
      <c r="Q17" s="6">
        <f ca="1">IFERROR(__xludf.DUMMYFUNCTION("""COMPUTED_VALUE"""),4)</f>
        <v>4</v>
      </c>
      <c r="R17" s="38"/>
      <c r="S17" s="38"/>
      <c r="T17" s="38"/>
      <c r="U17" s="38"/>
      <c r="V17" s="38"/>
      <c r="W17" s="38"/>
      <c r="X17" s="38"/>
      <c r="Y17" s="38">
        <f ca="1">IFERROR(__xludf.DUMMYFUNCTION("""COMPUTED_VALUE"""),60796880905)</f>
        <v>60796880905</v>
      </c>
      <c r="Z17" s="6" t="str">
        <f ca="1">IFERROR(__xludf.DUMMYFUNCTION("""COMPUTED_VALUE"""),"No")</f>
        <v>No</v>
      </c>
      <c r="AA17" s="6" t="str">
        <f ca="1">IFERROR(__xludf.DUMMYFUNCTION("""COMPUTED_VALUE"""),"Acepto")</f>
        <v>Acepto</v>
      </c>
      <c r="AB17" s="6" t="str">
        <f ca="1">IFERROR(__xludf.DUMMYFUNCTION("""COMPUTED_VALUE"""),"Terminado")</f>
        <v>Terminado</v>
      </c>
      <c r="AC17" s="6">
        <f ca="1">IFERROR(__xludf.DUMMYFUNCTION("""COMPUTED_VALUE"""),50000)</f>
        <v>50000</v>
      </c>
      <c r="AD17" s="6">
        <f ca="1">IFERROR(__xludf.DUMMYFUNCTION("""COMPUTED_VALUE"""),205346)</f>
        <v>205346</v>
      </c>
      <c r="AE17" s="38" t="str">
        <f ca="1">IFERROR(__xludf.DUMMYFUNCTION("""COMPUTED_VALUE"""),"TRF 31-08")</f>
        <v>TRF 31-08</v>
      </c>
      <c r="AF17" s="38"/>
      <c r="AG17" s="38"/>
      <c r="AH17" s="6"/>
      <c r="AI17" s="6"/>
    </row>
    <row r="18" spans="2:35" ht="13.2">
      <c r="B18" s="68">
        <f ca="1">IFERROR(__xludf.DUMMYFUNCTION("""COMPUTED_VALUE"""),45538.5886824305)</f>
        <v>45538.588682430498</v>
      </c>
      <c r="C18" s="36" t="str">
        <f ca="1">IFERROR(__xludf.DUMMYFUNCTION("""COMPUTED_VALUE"""),"AMELIA ")</f>
        <v xml:space="preserve">AMELIA </v>
      </c>
      <c r="D18" s="36" t="str">
        <f ca="1">IFERROR(__xludf.DUMMYFUNCTION("""COMPUTED_VALUE"""),"BELARDI DE LEON ")</f>
        <v xml:space="preserve">BELARDI DE LEON </v>
      </c>
      <c r="E18" s="36" t="str">
        <f ca="1">IFERROR(__xludf.DUMMYFUNCTION("""COMPUTED_VALUE"""),"Buenos Aires ")</f>
        <v xml:space="preserve">Buenos Aires </v>
      </c>
      <c r="F18" s="6" t="str">
        <f ca="1">IFERROR(__xludf.DUMMYFUNCTION("""COMPUTED_VALUE"""),"ARG")</f>
        <v>ARG</v>
      </c>
      <c r="G18" s="6">
        <f ca="1">IFERROR(__xludf.DUMMYFUNCTION("""COMPUTED_VALUE"""),51397535)</f>
        <v>51397535</v>
      </c>
      <c r="H18" s="37">
        <f ca="1">IFERROR(__xludf.DUMMYFUNCTION("""COMPUTED_VALUE"""),40806)</f>
        <v>40806</v>
      </c>
      <c r="I18" s="38">
        <f ca="1">IFERROR(__xludf.DUMMYFUNCTION("""COMPUTED_VALUE"""),1534037248)</f>
        <v>1534037248</v>
      </c>
      <c r="J18" s="38">
        <f ca="1">IFERROR(__xludf.DUMMYFUNCTION("""COMPUTED_VALUE"""),1534195571)</f>
        <v>1534195571</v>
      </c>
      <c r="K18" s="38" t="str">
        <f ca="1">IFERROR(__xludf.DUMMYFUNCTION("""COMPUTED_VALUE"""),"pikicernic@gmail.com")</f>
        <v>pikicernic@gmail.com</v>
      </c>
      <c r="L18" s="38" t="str">
        <f ca="1">IFERROR(__xludf.DUMMYFUNCTION("""COMPUTED_VALUE"""),"Femenino")</f>
        <v>Femenino</v>
      </c>
      <c r="M18" s="6" t="str">
        <f ca="1">IFERROR(__xludf.DUMMYFUNCTION("""COMPUTED_VALUE"""),"CNSI")</f>
        <v>CNSI</v>
      </c>
      <c r="N18" s="38"/>
      <c r="O18" s="38" t="str">
        <f ca="1">IFERROR(__xludf.DUMMYFUNCTION("""COMPUTED_VALUE"""),"OPTIMIST TIMONELES")</f>
        <v>OPTIMIST TIMONELES</v>
      </c>
      <c r="P18" s="38"/>
      <c r="Q18" s="6" t="str">
        <f ca="1">IFERROR(__xludf.DUMMYFUNCTION("""COMPUTED_VALUE"""),"ARG 4096")</f>
        <v>ARG 4096</v>
      </c>
      <c r="R18" s="38"/>
      <c r="S18" s="38"/>
      <c r="T18" s="38"/>
      <c r="U18" s="38"/>
      <c r="V18" s="38"/>
      <c r="W18" s="38"/>
      <c r="X18" s="38"/>
      <c r="Y18" s="38" t="str">
        <f ca="1">IFERROR(__xludf.DUMMYFUNCTION("""COMPUTED_VALUE"""),"OSDE 60844562103")</f>
        <v>OSDE 60844562103</v>
      </c>
      <c r="Z18" s="6" t="str">
        <f ca="1">IFERROR(__xludf.DUMMYFUNCTION("""COMPUTED_VALUE"""),"No")</f>
        <v>No</v>
      </c>
      <c r="AA18" s="6" t="str">
        <f ca="1">IFERROR(__xludf.DUMMYFUNCTION("""COMPUTED_VALUE"""),"Acepto")</f>
        <v>Acepto</v>
      </c>
      <c r="AB18" s="6" t="str">
        <f ca="1">IFERROR(__xludf.DUMMYFUNCTION("""COMPUTED_VALUE"""),"Terminado")</f>
        <v>Terminado</v>
      </c>
      <c r="AC18" s="6">
        <f ca="1">IFERROR(__xludf.DUMMYFUNCTION("""COMPUTED_VALUE"""),50000)</f>
        <v>50000</v>
      </c>
      <c r="AD18" s="6">
        <f ca="1">IFERROR(__xludf.DUMMYFUNCTION("""COMPUTED_VALUE"""),205434)</f>
        <v>205434</v>
      </c>
      <c r="AE18" s="38" t="str">
        <f ca="1">IFERROR(__xludf.DUMMYFUNCTION("""COMPUTED_VALUE"""),"TRF 03-09")</f>
        <v>TRF 03-09</v>
      </c>
      <c r="AF18" s="38"/>
      <c r="AG18" s="38"/>
      <c r="AH18" s="6"/>
      <c r="AI18" s="6"/>
    </row>
    <row r="19" spans="2:35" ht="13.2">
      <c r="B19" s="68">
        <f ca="1">IFERROR(__xludf.DUMMYFUNCTION("""COMPUTED_VALUE"""),45535.4058961111)</f>
        <v>45535.4058961111</v>
      </c>
      <c r="C19" s="36" t="str">
        <f ca="1">IFERROR(__xludf.DUMMYFUNCTION("""COMPUTED_VALUE"""),"Maria Emilia")</f>
        <v>Maria Emilia</v>
      </c>
      <c r="D19" s="36" t="str">
        <f ca="1">IFERROR(__xludf.DUMMYFUNCTION("""COMPUTED_VALUE"""),"Bieler")</f>
        <v>Bieler</v>
      </c>
      <c r="E19" s="36" t="str">
        <f ca="1">IFERROR(__xludf.DUMMYFUNCTION("""COMPUTED_VALUE"""),"Santa Fe")</f>
        <v>Santa Fe</v>
      </c>
      <c r="F19" s="6" t="str">
        <f ca="1">IFERROR(__xludf.DUMMYFUNCTION("""COMPUTED_VALUE"""),"ARG")</f>
        <v>ARG</v>
      </c>
      <c r="G19" s="6">
        <f ca="1">IFERROR(__xludf.DUMMYFUNCTION("""COMPUTED_VALUE"""),50349144)</f>
        <v>50349144</v>
      </c>
      <c r="H19" s="37">
        <f ca="1">IFERROR(__xludf.DUMMYFUNCTION("""COMPUTED_VALUE"""),40326)</f>
        <v>40326</v>
      </c>
      <c r="I19" s="38">
        <f ca="1">IFERROR(__xludf.DUMMYFUNCTION("""COMPUTED_VALUE"""),3424403334)</f>
        <v>3424403334</v>
      </c>
      <c r="J19" s="38">
        <f ca="1">IFERROR(__xludf.DUMMYFUNCTION("""COMPUTED_VALUE"""),3424403334)</f>
        <v>3424403334</v>
      </c>
      <c r="K19" s="38" t="str">
        <f ca="1">IFERROR(__xludf.DUMMYFUNCTION("""COMPUTED_VALUE"""),"cariolalla@yahoo.com")</f>
        <v>cariolalla@yahoo.com</v>
      </c>
      <c r="L19" s="38" t="str">
        <f ca="1">IFERROR(__xludf.DUMMYFUNCTION("""COMPUTED_VALUE"""),"Femenino")</f>
        <v>Femenino</v>
      </c>
      <c r="M19" s="6" t="str">
        <f ca="1">IFERROR(__xludf.DUMMYFUNCTION("""COMPUTED_VALUE"""),"YCO")</f>
        <v>YCO</v>
      </c>
      <c r="N19" s="38" t="str">
        <f ca="1">IFERROR(__xludf.DUMMYFUNCTION("""COMPUTED_VALUE"""),"Femenino, Interior (Optimist)")</f>
        <v>Femenino, Interior (Optimist)</v>
      </c>
      <c r="O19" s="38" t="str">
        <f ca="1">IFERROR(__xludf.DUMMYFUNCTION("""COMPUTED_VALUE"""),"OPTIMIST TIMONELES")</f>
        <v>OPTIMIST TIMONELES</v>
      </c>
      <c r="P19" s="38"/>
      <c r="Q19" s="6">
        <f ca="1">IFERROR(__xludf.DUMMYFUNCTION("""COMPUTED_VALUE"""),3989)</f>
        <v>3989</v>
      </c>
      <c r="R19" s="38"/>
      <c r="S19" s="38"/>
      <c r="T19" s="38"/>
      <c r="U19" s="38"/>
      <c r="V19" s="38"/>
      <c r="W19" s="38"/>
      <c r="X19" s="38"/>
      <c r="Y19" s="38" t="str">
        <f ca="1">IFERROR(__xludf.DUMMYFUNCTION("""COMPUTED_VALUE"""),"SANATORIO SANTA FE 94702")</f>
        <v>SANATORIO SANTA FE 94702</v>
      </c>
      <c r="Z19" s="6" t="str">
        <f ca="1">IFERROR(__xludf.DUMMYFUNCTION("""COMPUTED_VALUE"""),"Si")</f>
        <v>Si</v>
      </c>
      <c r="AA19" s="6" t="str">
        <f ca="1">IFERROR(__xludf.DUMMYFUNCTION("""COMPUTED_VALUE"""),"Acepto")</f>
        <v>Acepto</v>
      </c>
      <c r="AB19" s="6" t="str">
        <f ca="1">IFERROR(__xludf.DUMMYFUNCTION("""COMPUTED_VALUE"""),"Terminado")</f>
        <v>Terminado</v>
      </c>
      <c r="AC19" s="6">
        <f ca="1">IFERROR(__xludf.DUMMYFUNCTION("""COMPUTED_VALUE"""),50000)</f>
        <v>50000</v>
      </c>
      <c r="AD19" s="6">
        <f ca="1">IFERROR(__xludf.DUMMYFUNCTION("""COMPUTED_VALUE"""),205109)</f>
        <v>205109</v>
      </c>
      <c r="AE19" s="38" t="str">
        <f ca="1">IFERROR(__xludf.DUMMYFUNCTION("""COMPUTED_VALUE"""),"Tarj 31-08")</f>
        <v>Tarj 31-08</v>
      </c>
      <c r="AF19" s="38"/>
      <c r="AG19" s="38"/>
      <c r="AH19" s="6"/>
      <c r="AI19" s="6"/>
    </row>
    <row r="20" spans="2:35" ht="13.2">
      <c r="B20" s="68">
        <f ca="1">IFERROR(__xludf.DUMMYFUNCTION("""COMPUTED_VALUE"""),45524.8832807175)</f>
        <v>45524.883280717499</v>
      </c>
      <c r="C20" s="36" t="str">
        <f ca="1">IFERROR(__xludf.DUMMYFUNCTION("""COMPUTED_VALUE"""),"Diego")</f>
        <v>Diego</v>
      </c>
      <c r="D20" s="36" t="str">
        <f ca="1">IFERROR(__xludf.DUMMYFUNCTION("""COMPUTED_VALUE"""),"Borlenghi")</f>
        <v>Borlenghi</v>
      </c>
      <c r="E20" s="36" t="str">
        <f ca="1">IFERROR(__xludf.DUMMYFUNCTION("""COMPUTED_VALUE"""),"buenos aires")</f>
        <v>buenos aires</v>
      </c>
      <c r="F20" s="6" t="str">
        <f ca="1">IFERROR(__xludf.DUMMYFUNCTION("""COMPUTED_VALUE"""),"ARG")</f>
        <v>ARG</v>
      </c>
      <c r="G20" s="6">
        <f ca="1">IFERROR(__xludf.DUMMYFUNCTION("""COMPUTED_VALUE"""),52827491)</f>
        <v>52827491</v>
      </c>
      <c r="H20" s="37">
        <f ca="1">IFERROR(__xludf.DUMMYFUNCTION("""COMPUTED_VALUE"""),41261)</f>
        <v>41261</v>
      </c>
      <c r="I20" s="38">
        <f ca="1">IFERROR(__xludf.DUMMYFUNCTION("""COMPUTED_VALUE"""),1156913406)</f>
        <v>1156913406</v>
      </c>
      <c r="J20" s="38"/>
      <c r="K20" s="38" t="str">
        <f ca="1">IFERROR(__xludf.DUMMYFUNCTION("""COMPUTED_VALUE"""),"gaby.rodriguez@yahoo.com.ar")</f>
        <v>gaby.rodriguez@yahoo.com.ar</v>
      </c>
      <c r="L20" s="38" t="str">
        <f ca="1">IFERROR(__xludf.DUMMYFUNCTION("""COMPUTED_VALUE"""),"Masculino")</f>
        <v>Masculino</v>
      </c>
      <c r="M20" s="6" t="str">
        <f ca="1">IFERROR(__xludf.DUMMYFUNCTION("""COMPUTED_VALUE"""),"CPNLB ")</f>
        <v xml:space="preserve">CPNLB </v>
      </c>
      <c r="N20" s="38"/>
      <c r="O20" s="38" t="str">
        <f ca="1">IFERROR(__xludf.DUMMYFUNCTION("""COMPUTED_VALUE"""),"OPTIMIST TIMONELES")</f>
        <v>OPTIMIST TIMONELES</v>
      </c>
      <c r="P20" s="38"/>
      <c r="Q20" s="6">
        <f ca="1">IFERROR(__xludf.DUMMYFUNCTION("""COMPUTED_VALUE"""),4023)</f>
        <v>4023</v>
      </c>
      <c r="R20" s="38"/>
      <c r="S20" s="38"/>
      <c r="T20" s="38"/>
      <c r="U20" s="38"/>
      <c r="V20" s="38"/>
      <c r="W20" s="38"/>
      <c r="X20" s="38"/>
      <c r="Y20" s="38"/>
      <c r="Z20" s="6" t="str">
        <f ca="1">IFERROR(__xludf.DUMMYFUNCTION("""COMPUTED_VALUE"""),"Si")</f>
        <v>Si</v>
      </c>
      <c r="AA20" s="6" t="str">
        <f ca="1">IFERROR(__xludf.DUMMYFUNCTION("""COMPUTED_VALUE"""),"Acepto")</f>
        <v>Acepto</v>
      </c>
      <c r="AB20" s="6" t="str">
        <f ca="1">IFERROR(__xludf.DUMMYFUNCTION("""COMPUTED_VALUE"""),"Terminado")</f>
        <v>Terminado</v>
      </c>
      <c r="AC20" s="6">
        <f ca="1">IFERROR(__xludf.DUMMYFUNCTION("""COMPUTED_VALUE"""),60000)</f>
        <v>60000</v>
      </c>
      <c r="AD20" s="6">
        <f ca="1">IFERROR(__xludf.DUMMYFUNCTION("""COMPUTED_VALUE"""),205012)</f>
        <v>205012</v>
      </c>
      <c r="AE20" s="38" t="str">
        <f ca="1">IFERROR(__xludf.DUMMYFUNCTION("""COMPUTED_VALUE"""),"TRF 20-08")</f>
        <v>TRF 20-08</v>
      </c>
      <c r="AF20" s="38"/>
      <c r="AG20" s="38"/>
      <c r="AH20" s="6"/>
      <c r="AI20" s="6"/>
    </row>
    <row r="21" spans="2:35" ht="13.2">
      <c r="B21" s="68">
        <f ca="1">IFERROR(__xludf.DUMMYFUNCTION("""COMPUTED_VALUE"""),45533.9223677199)</f>
        <v>45533.922367719897</v>
      </c>
      <c r="C21" s="36" t="str">
        <f ca="1">IFERROR(__xludf.DUMMYFUNCTION("""COMPUTED_VALUE"""),"Olivia ")</f>
        <v xml:space="preserve">Olivia </v>
      </c>
      <c r="D21" s="36" t="str">
        <f ca="1">IFERROR(__xludf.DUMMYFUNCTION("""COMPUTED_VALUE"""),"Bouvier ")</f>
        <v xml:space="preserve">Bouvier </v>
      </c>
      <c r="E21" s="36" t="str">
        <f ca="1">IFERROR(__xludf.DUMMYFUNCTION("""COMPUTED_VALUE"""),"Zárate ")</f>
        <v xml:space="preserve">Zárate </v>
      </c>
      <c r="F21" s="6" t="str">
        <f ca="1">IFERROR(__xludf.DUMMYFUNCTION("""COMPUTED_VALUE"""),"ARG")</f>
        <v>ARG</v>
      </c>
      <c r="G21" s="6">
        <f ca="1">IFERROR(__xludf.DUMMYFUNCTION("""COMPUTED_VALUE"""),50417852)</f>
        <v>50417852</v>
      </c>
      <c r="H21" s="37">
        <f ca="1">IFERROR(__xludf.DUMMYFUNCTION("""COMPUTED_VALUE"""),40456)</f>
        <v>40456</v>
      </c>
      <c r="I21" s="38">
        <f ca="1">IFERROR(__xludf.DUMMYFUNCTION("""COMPUTED_VALUE"""),1150435258)</f>
        <v>1150435258</v>
      </c>
      <c r="J21" s="38">
        <f ca="1">IFERROR(__xludf.DUMMYFUNCTION("""COMPUTED_VALUE"""),1149168977)</f>
        <v>1149168977</v>
      </c>
      <c r="K21" s="38" t="str">
        <f ca="1">IFERROR(__xludf.DUMMYFUNCTION("""COMPUTED_VALUE"""),"Verominetti75@gmail.com")</f>
        <v>Verominetti75@gmail.com</v>
      </c>
      <c r="L21" s="38" t="str">
        <f ca="1">IFERROR(__xludf.DUMMYFUNCTION("""COMPUTED_VALUE"""),"Femenino")</f>
        <v>Femenino</v>
      </c>
      <c r="M21" s="6" t="str">
        <f ca="1">IFERROR(__xludf.DUMMYFUNCTION("""COMPUTED_VALUE"""),"CNZ")</f>
        <v>CNZ</v>
      </c>
      <c r="N21" s="38"/>
      <c r="O21" s="38" t="str">
        <f ca="1">IFERROR(__xludf.DUMMYFUNCTION("""COMPUTED_VALUE"""),"OPTIMIST TIMONELES")</f>
        <v>OPTIMIST TIMONELES</v>
      </c>
      <c r="P21" s="38"/>
      <c r="Q21" s="6">
        <f ca="1">IFERROR(__xludf.DUMMYFUNCTION("""COMPUTED_VALUE"""),3888)</f>
        <v>3888</v>
      </c>
      <c r="R21" s="38"/>
      <c r="S21" s="38" t="str">
        <f ca="1">IFERROR(__xludf.DUMMYFUNCTION("""COMPUTED_VALUE"""),"Oliva Bouvier ")</f>
        <v xml:space="preserve">Oliva Bouvier </v>
      </c>
      <c r="T21" s="38"/>
      <c r="U21" s="38"/>
      <c r="V21" s="38"/>
      <c r="W21" s="38"/>
      <c r="X21" s="38"/>
      <c r="Y21" s="38" t="str">
        <f ca="1">IFERROR(__xludf.DUMMYFUNCTION("""COMPUTED_VALUE"""),"Swiss Medical")</f>
        <v>Swiss Medical</v>
      </c>
      <c r="Z21" s="6" t="str">
        <f ca="1">IFERROR(__xludf.DUMMYFUNCTION("""COMPUTED_VALUE"""),"No")</f>
        <v>No</v>
      </c>
      <c r="AA21" s="6" t="str">
        <f ca="1">IFERROR(__xludf.DUMMYFUNCTION("""COMPUTED_VALUE"""),"Acepto")</f>
        <v>Acepto</v>
      </c>
      <c r="AB21" s="6" t="str">
        <f ca="1">IFERROR(__xludf.DUMMYFUNCTION("""COMPUTED_VALUE"""),"Terminado")</f>
        <v>Terminado</v>
      </c>
      <c r="AC21" s="6">
        <f ca="1">IFERROR(__xludf.DUMMYFUNCTION("""COMPUTED_VALUE"""),50000)</f>
        <v>50000</v>
      </c>
      <c r="AD21" s="6">
        <f ca="1">IFERROR(__xludf.DUMMYFUNCTION("""COMPUTED_VALUE"""),205085)</f>
        <v>205085</v>
      </c>
      <c r="AE21" s="38" t="str">
        <f ca="1">IFERROR(__xludf.DUMMYFUNCTION("""COMPUTED_VALUE"""),"TRF 29-08")</f>
        <v>TRF 29-08</v>
      </c>
      <c r="AF21" s="38"/>
      <c r="AG21" s="38"/>
      <c r="AH21" s="6"/>
      <c r="AI21" s="6"/>
    </row>
    <row r="22" spans="2:35" ht="13.2">
      <c r="B22" s="68">
        <f ca="1">IFERROR(__xludf.DUMMYFUNCTION("""COMPUTED_VALUE"""),45538.5926659374)</f>
        <v>45538.592665937402</v>
      </c>
      <c r="C22" s="36" t="str">
        <f ca="1">IFERROR(__xludf.DUMMYFUNCTION("""COMPUTED_VALUE"""),"Ines")</f>
        <v>Ines</v>
      </c>
      <c r="D22" s="36" t="str">
        <f ca="1">IFERROR(__xludf.DUMMYFUNCTION("""COMPUTED_VALUE"""),"Bradley")</f>
        <v>Bradley</v>
      </c>
      <c r="E22" s="36" t="str">
        <f ca="1">IFERROR(__xludf.DUMMYFUNCTION("""COMPUTED_VALUE"""),"Buenos aires")</f>
        <v>Buenos aires</v>
      </c>
      <c r="F22" s="6" t="str">
        <f ca="1">IFERROR(__xludf.DUMMYFUNCTION("""COMPUTED_VALUE"""),"ARG")</f>
        <v>ARG</v>
      </c>
      <c r="G22" s="6">
        <f ca="1">IFERROR(__xludf.DUMMYFUNCTION("""COMPUTED_VALUE"""),511397940)</f>
        <v>511397940</v>
      </c>
      <c r="H22" s="37">
        <f ca="1">IFERROR(__xludf.DUMMYFUNCTION("""COMPUTED_VALUE"""),40709)</f>
        <v>40709</v>
      </c>
      <c r="I22" s="38">
        <f ca="1">IFERROR(__xludf.DUMMYFUNCTION("""COMPUTED_VALUE"""),1165125393)</f>
        <v>1165125393</v>
      </c>
      <c r="J22" s="38">
        <f ca="1">IFERROR(__xludf.DUMMYFUNCTION("""COMPUTED_VALUE"""),116512393)</f>
        <v>116512393</v>
      </c>
      <c r="K22" s="38" t="str">
        <f ca="1">IFERROR(__xludf.DUMMYFUNCTION("""COMPUTED_VALUE"""),"franciscobradley@gmail.com")</f>
        <v>franciscobradley@gmail.com</v>
      </c>
      <c r="L22" s="38" t="str">
        <f ca="1">IFERROR(__xludf.DUMMYFUNCTION("""COMPUTED_VALUE"""),"Femenino")</f>
        <v>Femenino</v>
      </c>
      <c r="M22" s="6" t="str">
        <f ca="1">IFERROR(__xludf.DUMMYFUNCTION("""COMPUTED_VALUE"""),"CNSI")</f>
        <v>CNSI</v>
      </c>
      <c r="N22" s="38" t="str">
        <f ca="1">IFERROR(__xludf.DUMMYFUNCTION("""COMPUTED_VALUE"""),"Femenino")</f>
        <v>Femenino</v>
      </c>
      <c r="O22" s="38" t="str">
        <f ca="1">IFERROR(__xludf.DUMMYFUNCTION("""COMPUTED_VALUE"""),"OPTIMIST TIMONELES")</f>
        <v>OPTIMIST TIMONELES</v>
      </c>
      <c r="P22" s="38"/>
      <c r="Q22" s="6">
        <f ca="1">IFERROR(__xludf.DUMMYFUNCTION("""COMPUTED_VALUE"""),3914)</f>
        <v>3914</v>
      </c>
      <c r="R22" s="38"/>
      <c r="S22" s="38"/>
      <c r="T22" s="38"/>
      <c r="U22" s="38"/>
      <c r="V22" s="38"/>
      <c r="W22" s="38"/>
      <c r="X22" s="38"/>
      <c r="Y22" s="38" t="str">
        <f ca="1">IFERROR(__xludf.DUMMYFUNCTION("""COMPUTED_VALUE"""),"SMG")</f>
        <v>SMG</v>
      </c>
      <c r="Z22" s="6" t="str">
        <f ca="1">IFERROR(__xludf.DUMMYFUNCTION("""COMPUTED_VALUE"""),"Si")</f>
        <v>Si</v>
      </c>
      <c r="AA22" s="6" t="str">
        <f ca="1">IFERROR(__xludf.DUMMYFUNCTION("""COMPUTED_VALUE"""),"Acepto")</f>
        <v>Acepto</v>
      </c>
      <c r="AB22" s="6" t="str">
        <f ca="1">IFERROR(__xludf.DUMMYFUNCTION("""COMPUTED_VALUE"""),"Terminado")</f>
        <v>Terminado</v>
      </c>
      <c r="AC22" s="6">
        <f ca="1">IFERROR(__xludf.DUMMYFUNCTION("""COMPUTED_VALUE"""),50000)</f>
        <v>50000</v>
      </c>
      <c r="AD22" s="6">
        <f ca="1">IFERROR(__xludf.DUMMYFUNCTION("""COMPUTED_VALUE"""),205438)</f>
        <v>205438</v>
      </c>
      <c r="AE22" s="38" t="str">
        <f ca="1">IFERROR(__xludf.DUMMYFUNCTION("""COMPUTED_VALUE"""),"TRF 04-09")</f>
        <v>TRF 04-09</v>
      </c>
      <c r="AF22" s="38"/>
      <c r="AG22" s="38"/>
      <c r="AH22" s="6"/>
      <c r="AI22" s="6"/>
    </row>
    <row r="23" spans="2:35" ht="13.2">
      <c r="B23" s="68">
        <f ca="1">IFERROR(__xludf.DUMMYFUNCTION("""COMPUTED_VALUE"""),45532.4923840046)</f>
        <v>45532.492384004603</v>
      </c>
      <c r="C23" s="36" t="str">
        <f ca="1">IFERROR(__xludf.DUMMYFUNCTION("""COMPUTED_VALUE"""),"FELIPE ")</f>
        <v xml:space="preserve">FELIPE </v>
      </c>
      <c r="D23" s="36" t="str">
        <f ca="1">IFERROR(__xludf.DUMMYFUNCTION("""COMPUTED_VALUE"""),"BRUNO")</f>
        <v>BRUNO</v>
      </c>
      <c r="E23" s="36" t="str">
        <f ca="1">IFERROR(__xludf.DUMMYFUNCTION("""COMPUTED_VALUE"""),"RECOLETA")</f>
        <v>RECOLETA</v>
      </c>
      <c r="F23" s="6" t="str">
        <f ca="1">IFERROR(__xludf.DUMMYFUNCTION("""COMPUTED_VALUE"""),"ARG")</f>
        <v>ARG</v>
      </c>
      <c r="G23" s="6">
        <f ca="1">IFERROR(__xludf.DUMMYFUNCTION("""COMPUTED_VALUE"""),50705487)</f>
        <v>50705487</v>
      </c>
      <c r="H23" s="37">
        <f ca="1">IFERROR(__xludf.DUMMYFUNCTION("""COMPUTED_VALUE"""),40533)</f>
        <v>40533</v>
      </c>
      <c r="I23" s="38">
        <f ca="1">IFERROR(__xludf.DUMMYFUNCTION("""COMPUTED_VALUE"""),1155998816)</f>
        <v>1155998816</v>
      </c>
      <c r="J23" s="38">
        <f ca="1">IFERROR(__xludf.DUMMYFUNCTION("""COMPUTED_VALUE"""),1123241842)</f>
        <v>1123241842</v>
      </c>
      <c r="K23" s="38" t="str">
        <f ca="1">IFERROR(__xludf.DUMMYFUNCTION("""COMPUTED_VALUE"""),"gimade@hotmail.com")</f>
        <v>gimade@hotmail.com</v>
      </c>
      <c r="L23" s="38" t="str">
        <f ca="1">IFERROR(__xludf.DUMMYFUNCTION("""COMPUTED_VALUE"""),"Masculino")</f>
        <v>Masculino</v>
      </c>
      <c r="M23" s="6" t="str">
        <f ca="1">IFERROR(__xludf.DUMMYFUNCTION("""COMPUTED_VALUE"""),"YCO")</f>
        <v>YCO</v>
      </c>
      <c r="N23" s="38" t="str">
        <f ca="1">IFERROR(__xludf.DUMMYFUNCTION("""COMPUTED_VALUE"""),"OPTIMIST TIMONEL")</f>
        <v>OPTIMIST TIMONEL</v>
      </c>
      <c r="O23" s="38" t="str">
        <f ca="1">IFERROR(__xludf.DUMMYFUNCTION("""COMPUTED_VALUE"""),"OPTIMIST TIMONELES")</f>
        <v>OPTIMIST TIMONELES</v>
      </c>
      <c r="P23" s="38"/>
      <c r="Q23" s="6">
        <f ca="1">IFERROR(__xludf.DUMMYFUNCTION("""COMPUTED_VALUE"""),3528)</f>
        <v>3528</v>
      </c>
      <c r="R23" s="38" t="str">
        <f ca="1">IFERROR(__xludf.DUMMYFUNCTION("""COMPUTED_VALUE"""),"MOHANA")</f>
        <v>MOHANA</v>
      </c>
      <c r="S23" s="38"/>
      <c r="T23" s="38"/>
      <c r="U23" s="38"/>
      <c r="V23" s="38"/>
      <c r="W23" s="38"/>
      <c r="X23" s="38"/>
      <c r="Y23" s="38" t="str">
        <f ca="1">IFERROR(__xludf.DUMMYFUNCTION("""COMPUTED_VALUE"""),"22913677 HOSPITAL ALEMAN")</f>
        <v>22913677 HOSPITAL ALEMAN</v>
      </c>
      <c r="Z23" s="6" t="str">
        <f ca="1">IFERROR(__xludf.DUMMYFUNCTION("""COMPUTED_VALUE"""),"Si")</f>
        <v>Si</v>
      </c>
      <c r="AA23" s="6" t="str">
        <f ca="1">IFERROR(__xludf.DUMMYFUNCTION("""COMPUTED_VALUE"""),"Acepto")</f>
        <v>Acepto</v>
      </c>
      <c r="AB23" s="6" t="str">
        <f ca="1">IFERROR(__xludf.DUMMYFUNCTION("""COMPUTED_VALUE"""),"Pendiente")</f>
        <v>Pendiente</v>
      </c>
      <c r="AC23" s="6"/>
      <c r="AD23" s="6"/>
      <c r="AE23" s="38"/>
      <c r="AF23" s="38"/>
      <c r="AG23" s="38"/>
      <c r="AH23" s="6"/>
      <c r="AI23" s="6"/>
    </row>
    <row r="24" spans="2:35" ht="13.2">
      <c r="B24" s="68">
        <f ca="1">IFERROR(__xludf.DUMMYFUNCTION("""COMPUTED_VALUE"""),45533.5980669097)</f>
        <v>45533.598066909697</v>
      </c>
      <c r="C24" s="36" t="str">
        <f ca="1">IFERROR(__xludf.DUMMYFUNCTION("""COMPUTED_VALUE"""),"Francisco")</f>
        <v>Francisco</v>
      </c>
      <c r="D24" s="36" t="str">
        <f ca="1">IFERROR(__xludf.DUMMYFUNCTION("""COMPUTED_VALUE"""),"Cerrato")</f>
        <v>Cerrato</v>
      </c>
      <c r="E24" s="36" t="str">
        <f ca="1">IFERROR(__xludf.DUMMYFUNCTION("""COMPUTED_VALUE"""),"Buenos Aires ")</f>
        <v xml:space="preserve">Buenos Aires </v>
      </c>
      <c r="F24" s="6" t="str">
        <f ca="1">IFERROR(__xludf.DUMMYFUNCTION("""COMPUTED_VALUE"""),"ARG")</f>
        <v>ARG</v>
      </c>
      <c r="G24" s="6">
        <f ca="1">IFERROR(__xludf.DUMMYFUNCTION("""COMPUTED_VALUE"""),51584319)</f>
        <v>51584319</v>
      </c>
      <c r="H24" s="37">
        <f ca="1">IFERROR(__xludf.DUMMYFUNCTION("""COMPUTED_VALUE"""),40857)</f>
        <v>40857</v>
      </c>
      <c r="I24" s="38">
        <f ca="1">IFERROR(__xludf.DUMMYFUNCTION("""COMPUTED_VALUE"""),1169476129)</f>
        <v>1169476129</v>
      </c>
      <c r="J24" s="38">
        <f ca="1">IFERROR(__xludf.DUMMYFUNCTION("""COMPUTED_VALUE"""),1169476129)</f>
        <v>1169476129</v>
      </c>
      <c r="K24" s="38" t="str">
        <f ca="1">IFERROR(__xludf.DUMMYFUNCTION("""COMPUTED_VALUE"""),"cerramar432@yahoo.com.ar")</f>
        <v>cerramar432@yahoo.com.ar</v>
      </c>
      <c r="L24" s="38" t="str">
        <f ca="1">IFERROR(__xludf.DUMMYFUNCTION("""COMPUTED_VALUE"""),"Masculino")</f>
        <v>Masculino</v>
      </c>
      <c r="M24" s="6" t="str">
        <f ca="1">IFERROR(__xludf.DUMMYFUNCTION("""COMPUTED_VALUE"""),"CGLNM")</f>
        <v>CGLNM</v>
      </c>
      <c r="N24" s="38" t="str">
        <f ca="1">IFERROR(__xludf.DUMMYFUNCTION("""COMPUTED_VALUE"""),"Optimist Timonel")</f>
        <v>Optimist Timonel</v>
      </c>
      <c r="O24" s="38" t="str">
        <f ca="1">IFERROR(__xludf.DUMMYFUNCTION("""COMPUTED_VALUE"""),"OPTIMIST TIMONELES")</f>
        <v>OPTIMIST TIMONELES</v>
      </c>
      <c r="P24" s="38"/>
      <c r="Q24" s="6">
        <f ca="1">IFERROR(__xludf.DUMMYFUNCTION("""COMPUTED_VALUE"""),3801)</f>
        <v>3801</v>
      </c>
      <c r="R24" s="38"/>
      <c r="S24" s="38"/>
      <c r="T24" s="38"/>
      <c r="U24" s="38"/>
      <c r="V24" s="38"/>
      <c r="W24" s="38"/>
      <c r="X24" s="38"/>
      <c r="Y24" s="38" t="str">
        <f ca="1">IFERROR(__xludf.DUMMYFUNCTION("""COMPUTED_VALUE"""),"Swiss Medical")</f>
        <v>Swiss Medical</v>
      </c>
      <c r="Z24" s="6" t="str">
        <f ca="1">IFERROR(__xludf.DUMMYFUNCTION("""COMPUTED_VALUE"""),"Si")</f>
        <v>Si</v>
      </c>
      <c r="AA24" s="6" t="str">
        <f ca="1">IFERROR(__xludf.DUMMYFUNCTION("""COMPUTED_VALUE"""),"Acepto")</f>
        <v>Acepto</v>
      </c>
      <c r="AB24" s="6" t="str">
        <f ca="1">IFERROR(__xludf.DUMMYFUNCTION("""COMPUTED_VALUE"""),"Terminado")</f>
        <v>Terminado</v>
      </c>
      <c r="AC24" s="6">
        <f ca="1">IFERROR(__xludf.DUMMYFUNCTION("""COMPUTED_VALUE"""),50000)</f>
        <v>50000</v>
      </c>
      <c r="AD24" s="6">
        <f ca="1">IFERROR(__xludf.DUMMYFUNCTION("""COMPUTED_VALUE"""),205082)</f>
        <v>205082</v>
      </c>
      <c r="AE24" s="38" t="str">
        <f ca="1">IFERROR(__xludf.DUMMYFUNCTION("""COMPUTED_VALUE"""),"TRF 29-08")</f>
        <v>TRF 29-08</v>
      </c>
      <c r="AF24" s="38"/>
      <c r="AG24" s="38"/>
      <c r="AH24" s="6"/>
      <c r="AI24" s="6"/>
    </row>
    <row r="25" spans="2:35" ht="13.2">
      <c r="B25" s="68">
        <f ca="1">IFERROR(__xludf.DUMMYFUNCTION("""COMPUTED_VALUE"""),45535.737996956)</f>
        <v>45535.737996955999</v>
      </c>
      <c r="C25" s="36" t="str">
        <f ca="1">IFERROR(__xludf.DUMMYFUNCTION("""COMPUTED_VALUE"""),"MAXIMO")</f>
        <v>MAXIMO</v>
      </c>
      <c r="D25" s="36" t="str">
        <f ca="1">IFERROR(__xludf.DUMMYFUNCTION("""COMPUTED_VALUE"""),"COROMINAS")</f>
        <v>COROMINAS</v>
      </c>
      <c r="E25" s="36" t="str">
        <f ca="1">IFERROR(__xludf.DUMMYFUNCTION("""COMPUTED_VALUE"""),"ZARATE")</f>
        <v>ZARATE</v>
      </c>
      <c r="F25" s="6" t="str">
        <f ca="1">IFERROR(__xludf.DUMMYFUNCTION("""COMPUTED_VALUE"""),"ARG")</f>
        <v>ARG</v>
      </c>
      <c r="G25" s="6">
        <f ca="1">IFERROR(__xludf.DUMMYFUNCTION("""COMPUTED_VALUE"""),52192618)</f>
        <v>52192618</v>
      </c>
      <c r="H25" s="37">
        <f ca="1">IFERROR(__xludf.DUMMYFUNCTION("""COMPUTED_VALUE"""),40970)</f>
        <v>40970</v>
      </c>
      <c r="I25" s="38">
        <f ca="1">IFERROR(__xludf.DUMMYFUNCTION("""COMPUTED_VALUE"""),3487314537)</f>
        <v>3487314537</v>
      </c>
      <c r="J25" s="38">
        <f ca="1">IFERROR(__xludf.DUMMYFUNCTION("""COMPUTED_VALUE"""),3487314537)</f>
        <v>3487314537</v>
      </c>
      <c r="K25" s="38" t="str">
        <f ca="1">IFERROR(__xludf.DUMMYFUNCTION("""COMPUTED_VALUE"""),"vanesamledo@gmail.com")</f>
        <v>vanesamledo@gmail.com</v>
      </c>
      <c r="L25" s="38" t="str">
        <f ca="1">IFERROR(__xludf.DUMMYFUNCTION("""COMPUTED_VALUE"""),"Masculino")</f>
        <v>Masculino</v>
      </c>
      <c r="M25" s="6" t="str">
        <f ca="1">IFERROR(__xludf.DUMMYFUNCTION("""COMPUTED_VALUE"""),"CNZ")</f>
        <v>CNZ</v>
      </c>
      <c r="N25" s="38" t="str">
        <f ca="1">IFERROR(__xludf.DUMMYFUNCTION("""COMPUTED_VALUE"""),"Interior (Optimist)")</f>
        <v>Interior (Optimist)</v>
      </c>
      <c r="O25" s="38" t="str">
        <f ca="1">IFERROR(__xludf.DUMMYFUNCTION("""COMPUTED_VALUE"""),"OPTIMIST TIMONELES")</f>
        <v>OPTIMIST TIMONELES</v>
      </c>
      <c r="P25" s="38"/>
      <c r="Q25" s="6">
        <f ca="1">IFERROR(__xludf.DUMMYFUNCTION("""COMPUTED_VALUE"""),3819)</f>
        <v>3819</v>
      </c>
      <c r="R25" s="38"/>
      <c r="S25" s="38"/>
      <c r="T25" s="38"/>
      <c r="U25" s="38"/>
      <c r="V25" s="38"/>
      <c r="W25" s="38"/>
      <c r="X25" s="38"/>
      <c r="Y25" s="38" t="str">
        <f ca="1">IFERROR(__xludf.DUMMYFUNCTION("""COMPUTED_VALUE"""),"SWISS MEDICAL")</f>
        <v>SWISS MEDICAL</v>
      </c>
      <c r="Z25" s="6" t="str">
        <f ca="1">IFERROR(__xludf.DUMMYFUNCTION("""COMPUTED_VALUE"""),"Si")</f>
        <v>Si</v>
      </c>
      <c r="AA25" s="6" t="str">
        <f ca="1">IFERROR(__xludf.DUMMYFUNCTION("""COMPUTED_VALUE"""),"Acepto")</f>
        <v>Acepto</v>
      </c>
      <c r="AB25" s="6" t="str">
        <f ca="1">IFERROR(__xludf.DUMMYFUNCTION("""COMPUTED_VALUE"""),"Terminado")</f>
        <v>Terminado</v>
      </c>
      <c r="AC25" s="6">
        <f ca="1">IFERROR(__xludf.DUMMYFUNCTION("""COMPUTED_VALUE"""),50000)</f>
        <v>50000</v>
      </c>
      <c r="AD25" s="6">
        <f ca="1">IFERROR(__xludf.DUMMYFUNCTION("""COMPUTED_VALUE"""),205411)</f>
        <v>205411</v>
      </c>
      <c r="AE25" s="38" t="str">
        <f ca="1">IFERROR(__xludf.DUMMYFUNCTION("""COMPUTED_VALUE"""),"TRF 02-09")</f>
        <v>TRF 02-09</v>
      </c>
      <c r="AF25" s="38"/>
      <c r="AG25" s="38"/>
      <c r="AH25" s="6"/>
      <c r="AI25" s="6"/>
    </row>
    <row r="26" spans="2:35" ht="13.2">
      <c r="B26" s="68">
        <f ca="1">IFERROR(__xludf.DUMMYFUNCTION("""COMPUTED_VALUE"""),45535.7324017708)</f>
        <v>45535.732401770802</v>
      </c>
      <c r="C26" s="36" t="str">
        <f ca="1">IFERROR(__xludf.DUMMYFUNCTION("""COMPUTED_VALUE"""),"Marcos")</f>
        <v>Marcos</v>
      </c>
      <c r="D26" s="36" t="str">
        <f ca="1">IFERROR(__xludf.DUMMYFUNCTION("""COMPUTED_VALUE"""),"Costa Urquiza")</f>
        <v>Costa Urquiza</v>
      </c>
      <c r="E26" s="36" t="str">
        <f ca="1">IFERROR(__xludf.DUMMYFUNCTION("""COMPUTED_VALUE"""),"SAN ISIDRO - MARTINEZ")</f>
        <v>SAN ISIDRO - MARTINEZ</v>
      </c>
      <c r="F26" s="6" t="str">
        <f ca="1">IFERROR(__xludf.DUMMYFUNCTION("""COMPUTED_VALUE"""),"ARG")</f>
        <v>ARG</v>
      </c>
      <c r="G26" s="6">
        <f ca="1">IFERROR(__xludf.DUMMYFUNCTION("""COMPUTED_VALUE"""),52764604)</f>
        <v>52764604</v>
      </c>
      <c r="H26" s="37">
        <f ca="1">IFERROR(__xludf.DUMMYFUNCTION("""COMPUTED_VALUE"""),41190)</f>
        <v>41190</v>
      </c>
      <c r="I26" s="38">
        <f ca="1">IFERROR(__xludf.DUMMYFUNCTION("""COMPUTED_VALUE"""),1136972482)</f>
        <v>1136972482</v>
      </c>
      <c r="J26" s="38">
        <f ca="1">IFERROR(__xludf.DUMMYFUNCTION("""COMPUTED_VALUE"""),1150246852)</f>
        <v>1150246852</v>
      </c>
      <c r="K26" s="38" t="str">
        <f ca="1">IFERROR(__xludf.DUMMYFUNCTION("""COMPUTED_VALUE"""),"jcostaurquiza@gmail.com")</f>
        <v>jcostaurquiza@gmail.com</v>
      </c>
      <c r="L26" s="38" t="str">
        <f ca="1">IFERROR(__xludf.DUMMYFUNCTION("""COMPUTED_VALUE"""),"Masculino")</f>
        <v>Masculino</v>
      </c>
      <c r="M26" s="6" t="str">
        <f ca="1">IFERROR(__xludf.DUMMYFUNCTION("""COMPUTED_VALUE"""),"Barrancas")</f>
        <v>Barrancas</v>
      </c>
      <c r="N26" s="38"/>
      <c r="O26" s="38" t="str">
        <f ca="1">IFERROR(__xludf.DUMMYFUNCTION("""COMPUTED_VALUE"""),"OPTIMIST TIMONELES")</f>
        <v>OPTIMIST TIMONELES</v>
      </c>
      <c r="P26" s="38"/>
      <c r="Q26" s="6">
        <f ca="1">IFERROR(__xludf.DUMMYFUNCTION("""COMPUTED_VALUE"""),3090)</f>
        <v>3090</v>
      </c>
      <c r="R26" s="38"/>
      <c r="S26" s="38"/>
      <c r="T26" s="38"/>
      <c r="U26" s="38"/>
      <c r="V26" s="38"/>
      <c r="W26" s="38"/>
      <c r="X26" s="38"/>
      <c r="Y26" s="38" t="str">
        <f ca="1">IFERROR(__xludf.DUMMYFUNCTION("""COMPUTED_VALUE"""),"OSDE 61096214004")</f>
        <v>OSDE 61096214004</v>
      </c>
      <c r="Z26" s="6" t="str">
        <f ca="1">IFERROR(__xludf.DUMMYFUNCTION("""COMPUTED_VALUE"""),"Si")</f>
        <v>Si</v>
      </c>
      <c r="AA26" s="6" t="str">
        <f ca="1">IFERROR(__xludf.DUMMYFUNCTION("""COMPUTED_VALUE"""),"Acepto")</f>
        <v>Acepto</v>
      </c>
      <c r="AB26" s="6" t="str">
        <f ca="1">IFERROR(__xludf.DUMMYFUNCTION("""COMPUTED_VALUE"""),"Terminado")</f>
        <v>Terminado</v>
      </c>
      <c r="AC26" s="6">
        <f ca="1">IFERROR(__xludf.DUMMYFUNCTION("""COMPUTED_VALUE"""),50000)</f>
        <v>50000</v>
      </c>
      <c r="AD26" s="6">
        <f ca="1">IFERROR(__xludf.DUMMYFUNCTION("""COMPUTED_VALUE"""),205409)</f>
        <v>205409</v>
      </c>
      <c r="AE26" s="38" t="str">
        <f ca="1">IFERROR(__xludf.DUMMYFUNCTION("""COMPUTED_VALUE"""),"TRF 02-09")</f>
        <v>TRF 02-09</v>
      </c>
      <c r="AF26" s="38"/>
      <c r="AG26" s="38"/>
      <c r="AH26" s="6"/>
      <c r="AI26" s="6"/>
    </row>
    <row r="27" spans="2:35" ht="13.2">
      <c r="B27" s="68">
        <f ca="1">IFERROR(__xludf.DUMMYFUNCTION("""COMPUTED_VALUE"""),45531.4447735879)</f>
        <v>45531.4447735879</v>
      </c>
      <c r="C27" s="36" t="str">
        <f ca="1">IFERROR(__xludf.DUMMYFUNCTION("""COMPUTED_VALUE"""),"Paloma")</f>
        <v>Paloma</v>
      </c>
      <c r="D27" s="36" t="str">
        <f ca="1">IFERROR(__xludf.DUMMYFUNCTION("""COMPUTED_VALUE"""),"Cozar Giuliani")</f>
        <v>Cozar Giuliani</v>
      </c>
      <c r="E27" s="36" t="str">
        <f ca="1">IFERROR(__xludf.DUMMYFUNCTION("""COMPUTED_VALUE"""),"CABA")</f>
        <v>CABA</v>
      </c>
      <c r="F27" s="6" t="str">
        <f ca="1">IFERROR(__xludf.DUMMYFUNCTION("""COMPUTED_VALUE"""),"ARG")</f>
        <v>ARG</v>
      </c>
      <c r="G27" s="6">
        <f ca="1">IFERROR(__xludf.DUMMYFUNCTION("""COMPUTED_VALUE"""),52762420)</f>
        <v>52762420</v>
      </c>
      <c r="H27" s="37">
        <f ca="1">IFERROR(__xludf.DUMMYFUNCTION("""COMPUTED_VALUE"""),41207)</f>
        <v>41207</v>
      </c>
      <c r="I27" s="38">
        <f ca="1">IFERROR(__xludf.DUMMYFUNCTION("""COMPUTED_VALUE"""),1154284469)</f>
        <v>1154284469</v>
      </c>
      <c r="J27" s="38">
        <f ca="1">IFERROR(__xludf.DUMMYFUNCTION("""COMPUTED_VALUE"""),1161298429)</f>
        <v>1161298429</v>
      </c>
      <c r="K27" s="38" t="str">
        <f ca="1">IFERROR(__xludf.DUMMYFUNCTION("""COMPUTED_VALUE"""),"cozarmarcelo@hotmail.com")</f>
        <v>cozarmarcelo@hotmail.com</v>
      </c>
      <c r="L27" s="38" t="str">
        <f ca="1">IFERROR(__xludf.DUMMYFUNCTION("""COMPUTED_VALUE"""),"Femenino")</f>
        <v>Femenino</v>
      </c>
      <c r="M27" s="6" t="str">
        <f ca="1">IFERROR(__xludf.DUMMYFUNCTION("""COMPUTED_VALUE"""),"CNA")</f>
        <v>CNA</v>
      </c>
      <c r="N27" s="38" t="str">
        <f ca="1">IFERROR(__xludf.DUMMYFUNCTION("""COMPUTED_VALUE"""),"Femenino")</f>
        <v>Femenino</v>
      </c>
      <c r="O27" s="38" t="str">
        <f ca="1">IFERROR(__xludf.DUMMYFUNCTION("""COMPUTED_VALUE"""),"OPTIMIST TIMONELES")</f>
        <v>OPTIMIST TIMONELES</v>
      </c>
      <c r="P27" s="38"/>
      <c r="Q27" s="6">
        <f ca="1">IFERROR(__xludf.DUMMYFUNCTION("""COMPUTED_VALUE"""),4026)</f>
        <v>4026</v>
      </c>
      <c r="R27" s="38" t="str">
        <f ca="1">IFERROR(__xludf.DUMMYFUNCTION("""COMPUTED_VALUE"""),"Desafiante")</f>
        <v>Desafiante</v>
      </c>
      <c r="S27" s="38"/>
      <c r="T27" s="38"/>
      <c r="U27" s="38"/>
      <c r="V27" s="38"/>
      <c r="W27" s="38"/>
      <c r="X27" s="38"/>
      <c r="Y27" s="38">
        <f ca="1">IFERROR(__xludf.DUMMYFUNCTION("""COMPUTED_VALUE"""),6123142703)</f>
        <v>6123142703</v>
      </c>
      <c r="Z27" s="6" t="str">
        <f ca="1">IFERROR(__xludf.DUMMYFUNCTION("""COMPUTED_VALUE"""),"Si")</f>
        <v>Si</v>
      </c>
      <c r="AA27" s="6" t="str">
        <f ca="1">IFERROR(__xludf.DUMMYFUNCTION("""COMPUTED_VALUE"""),"Acepto")</f>
        <v>Acepto</v>
      </c>
      <c r="AB27" s="6" t="str">
        <f ca="1">IFERROR(__xludf.DUMMYFUNCTION("""COMPUTED_VALUE"""),"Terminado")</f>
        <v>Terminado</v>
      </c>
      <c r="AC27" s="6">
        <f ca="1">IFERROR(__xludf.DUMMYFUNCTION("""COMPUTED_VALUE"""),50000)</f>
        <v>50000</v>
      </c>
      <c r="AD27" s="6">
        <f ca="1">IFERROR(__xludf.DUMMYFUNCTION("""COMPUTED_VALUE"""),205056)</f>
        <v>205056</v>
      </c>
      <c r="AE27" s="38" t="str">
        <f ca="1">IFERROR(__xludf.DUMMYFUNCTION("""COMPUTED_VALUE"""),"TRF 27-08")</f>
        <v>TRF 27-08</v>
      </c>
      <c r="AF27" s="38"/>
      <c r="AG27" s="38"/>
      <c r="AH27" s="6"/>
      <c r="AI27" s="6"/>
    </row>
    <row r="28" spans="2:35" ht="13.2">
      <c r="B28" s="68">
        <f ca="1">IFERROR(__xludf.DUMMYFUNCTION("""COMPUTED_VALUE"""),45535.5574080671)</f>
        <v>45535.557408067099</v>
      </c>
      <c r="C28" s="36" t="str">
        <f ca="1">IFERROR(__xludf.DUMMYFUNCTION("""COMPUTED_VALUE"""),"Francisco")</f>
        <v>Francisco</v>
      </c>
      <c r="D28" s="36" t="str">
        <f ca="1">IFERROR(__xludf.DUMMYFUNCTION("""COMPUTED_VALUE"""),"Crespi")</f>
        <v>Crespi</v>
      </c>
      <c r="E28" s="36" t="str">
        <f ca="1">IFERROR(__xludf.DUMMYFUNCTION("""COMPUTED_VALUE"""),"Puerto Madryn")</f>
        <v>Puerto Madryn</v>
      </c>
      <c r="F28" s="6" t="str">
        <f ca="1">IFERROR(__xludf.DUMMYFUNCTION("""COMPUTED_VALUE"""),"ARG")</f>
        <v>ARG</v>
      </c>
      <c r="G28" s="6">
        <f ca="1">IFERROR(__xludf.DUMMYFUNCTION("""COMPUTED_VALUE"""),51104355)</f>
        <v>51104355</v>
      </c>
      <c r="H28" s="37">
        <f ca="1">IFERROR(__xludf.DUMMYFUNCTION("""COMPUTED_VALUE"""),40813)</f>
        <v>40813</v>
      </c>
      <c r="I28" s="38">
        <f ca="1">IFERROR(__xludf.DUMMYFUNCTION("""COMPUTED_VALUE"""),2804567157)</f>
        <v>2804567157</v>
      </c>
      <c r="J28" s="38">
        <f ca="1">IFERROR(__xludf.DUMMYFUNCTION("""COMPUTED_VALUE"""),2804567157)</f>
        <v>2804567157</v>
      </c>
      <c r="K28" s="38" t="str">
        <f ca="1">IFERROR(__xludf.DUMMYFUNCTION("""COMPUTED_VALUE"""),"augustocrespi@gmail.com")</f>
        <v>augustocrespi@gmail.com</v>
      </c>
      <c r="L28" s="38" t="str">
        <f ca="1">IFERROR(__xludf.DUMMYFUNCTION("""COMPUTED_VALUE"""),"Masculino")</f>
        <v>Masculino</v>
      </c>
      <c r="M28" s="6" t="str">
        <f ca="1">IFERROR(__xludf.DUMMYFUNCTION("""COMPUTED_VALUE"""),"CNAS")</f>
        <v>CNAS</v>
      </c>
      <c r="N28" s="38" t="str">
        <f ca="1">IFERROR(__xludf.DUMMYFUNCTION("""COMPUTED_VALUE"""),"Interior (Optimist)")</f>
        <v>Interior (Optimist)</v>
      </c>
      <c r="O28" s="38" t="str">
        <f ca="1">IFERROR(__xludf.DUMMYFUNCTION("""COMPUTED_VALUE"""),"OPTIMIST TIMONELES")</f>
        <v>OPTIMIST TIMONELES</v>
      </c>
      <c r="P28" s="38"/>
      <c r="Q28" s="6">
        <f ca="1">IFERROR(__xludf.DUMMYFUNCTION("""COMPUTED_VALUE"""),3766)</f>
        <v>3766</v>
      </c>
      <c r="R28" s="38" t="str">
        <f ca="1">IFERROR(__xludf.DUMMYFUNCTION("""COMPUTED_VALUE"""),"Hau Pai")</f>
        <v>Hau Pai</v>
      </c>
      <c r="S28" s="38"/>
      <c r="T28" s="38"/>
      <c r="U28" s="38"/>
      <c r="V28" s="38"/>
      <c r="W28" s="38"/>
      <c r="X28" s="38"/>
      <c r="Y28" s="38" t="str">
        <f ca="1">IFERROR(__xludf.DUMMYFUNCTION("""COMPUTED_VALUE"""),"SEROS 51104355")</f>
        <v>SEROS 51104355</v>
      </c>
      <c r="Z28" s="6" t="str">
        <f ca="1">IFERROR(__xludf.DUMMYFUNCTION("""COMPUTED_VALUE"""),"Si")</f>
        <v>Si</v>
      </c>
      <c r="AA28" s="6" t="str">
        <f ca="1">IFERROR(__xludf.DUMMYFUNCTION("""COMPUTED_VALUE"""),"Acepto")</f>
        <v>Acepto</v>
      </c>
      <c r="AB28" s="6" t="str">
        <f ca="1">IFERROR(__xludf.DUMMYFUNCTION("""COMPUTED_VALUE"""),"Terminado")</f>
        <v>Terminado</v>
      </c>
      <c r="AC28" s="6">
        <f ca="1">IFERROR(__xludf.DUMMYFUNCTION("""COMPUTED_VALUE"""),42500)</f>
        <v>42500</v>
      </c>
      <c r="AD28" s="6">
        <f ca="1">IFERROR(__xludf.DUMMYFUNCTION("""COMPUTED_VALUE"""),205153)</f>
        <v>205153</v>
      </c>
      <c r="AE28" s="38" t="str">
        <f ca="1">IFERROR(__xludf.DUMMYFUNCTION("""COMPUTED_VALUE"""),"TRF 31-08")</f>
        <v>TRF 31-08</v>
      </c>
      <c r="AF28" s="38"/>
      <c r="AG28" s="38"/>
      <c r="AH28" s="6"/>
      <c r="AI28" s="6"/>
    </row>
    <row r="29" spans="2:35" ht="13.2">
      <c r="B29" s="68">
        <f ca="1">IFERROR(__xludf.DUMMYFUNCTION("""COMPUTED_VALUE"""),45536.359248993)</f>
        <v>45536.359248993002</v>
      </c>
      <c r="C29" s="36" t="str">
        <f ca="1">IFERROR(__xludf.DUMMYFUNCTION("""COMPUTED_VALUE"""),"Maria Emilia")</f>
        <v>Maria Emilia</v>
      </c>
      <c r="D29" s="36" t="str">
        <f ca="1">IFERROR(__xludf.DUMMYFUNCTION("""COMPUTED_VALUE"""),"D’ottavio")</f>
        <v>D’ottavio</v>
      </c>
      <c r="E29" s="36" t="str">
        <f ca="1">IFERROR(__xludf.DUMMYFUNCTION("""COMPUTED_VALUE"""),"Rosario")</f>
        <v>Rosario</v>
      </c>
      <c r="F29" s="6" t="str">
        <f ca="1">IFERROR(__xludf.DUMMYFUNCTION("""COMPUTED_VALUE"""),"ARG")</f>
        <v>ARG</v>
      </c>
      <c r="G29" s="6">
        <f ca="1">IFERROR(__xludf.DUMMYFUNCTION("""COMPUTED_VALUE"""),50240962)</f>
        <v>50240962</v>
      </c>
      <c r="H29" s="37">
        <f ca="1">IFERROR(__xludf.DUMMYFUNCTION("""COMPUTED_VALUE"""),40257)</f>
        <v>40257</v>
      </c>
      <c r="I29" s="38">
        <f ca="1">IFERROR(__xludf.DUMMYFUNCTION("""COMPUTED_VALUE"""),3415694188)</f>
        <v>3415694188</v>
      </c>
      <c r="J29" s="38">
        <f ca="1">IFERROR(__xludf.DUMMYFUNCTION("""COMPUTED_VALUE"""),3415694188)</f>
        <v>3415694188</v>
      </c>
      <c r="K29" s="38" t="str">
        <f ca="1">IFERROR(__xludf.DUMMYFUNCTION("""COMPUTED_VALUE"""),"gabrielavicentin@hotmail.com")</f>
        <v>gabrielavicentin@hotmail.com</v>
      </c>
      <c r="L29" s="38" t="str">
        <f ca="1">IFERROR(__xludf.DUMMYFUNCTION("""COMPUTED_VALUE"""),"Femenino")</f>
        <v>Femenino</v>
      </c>
      <c r="M29" s="6" t="str">
        <f ca="1">IFERROR(__xludf.DUMMYFUNCTION("""COMPUTED_VALUE"""),"CVR")</f>
        <v>CVR</v>
      </c>
      <c r="N29" s="38" t="str">
        <f ca="1">IFERROR(__xludf.DUMMYFUNCTION("""COMPUTED_VALUE"""),"Interior (Optimist)")</f>
        <v>Interior (Optimist)</v>
      </c>
      <c r="O29" s="38" t="str">
        <f ca="1">IFERROR(__xludf.DUMMYFUNCTION("""COMPUTED_VALUE"""),"OPTIMIST TIMONELES")</f>
        <v>OPTIMIST TIMONELES</v>
      </c>
      <c r="P29" s="38" t="str">
        <f ca="1">IFERROR(__xludf.DUMMYFUNCTION("""COMPUTED_VALUE"""),"Ni idea")</f>
        <v>Ni idea</v>
      </c>
      <c r="Q29" s="6">
        <f ca="1">IFERROR(__xludf.DUMMYFUNCTION("""COMPUTED_VALUE"""),3984)</f>
        <v>3984</v>
      </c>
      <c r="R29" s="38">
        <f ca="1">IFERROR(__xludf.DUMMYFUNCTION("""COMPUTED_VALUE"""),3984)</f>
        <v>3984</v>
      </c>
      <c r="S29" s="38"/>
      <c r="T29" s="38"/>
      <c r="U29" s="38"/>
      <c r="V29" s="38"/>
      <c r="W29" s="38"/>
      <c r="X29" s="38"/>
      <c r="Y29" s="38" t="str">
        <f ca="1">IFERROR(__xludf.DUMMYFUNCTION("""COMPUTED_VALUE"""),"OSPAC")</f>
        <v>OSPAC</v>
      </c>
      <c r="Z29" s="6" t="str">
        <f ca="1">IFERROR(__xludf.DUMMYFUNCTION("""COMPUTED_VALUE"""),"No")</f>
        <v>No</v>
      </c>
      <c r="AA29" s="6" t="str">
        <f ca="1">IFERROR(__xludf.DUMMYFUNCTION("""COMPUTED_VALUE"""),"Acepto")</f>
        <v>Acepto</v>
      </c>
      <c r="AB29" s="6" t="str">
        <f ca="1">IFERROR(__xludf.DUMMYFUNCTION("""COMPUTED_VALUE"""),"Terminado")</f>
        <v>Terminado</v>
      </c>
      <c r="AC29" s="6">
        <f ca="1">IFERROR(__xludf.DUMMYFUNCTION("""COMPUTED_VALUE"""),70000)</f>
        <v>70000</v>
      </c>
      <c r="AD29" s="6">
        <f ca="1">IFERROR(__xludf.DUMMYFUNCTION("""COMPUTED_VALUE"""),205335)</f>
        <v>205335</v>
      </c>
      <c r="AE29" s="38" t="str">
        <f ca="1">IFERROR(__xludf.DUMMYFUNCTION("""COMPUTED_VALUE"""),"TRF 01-09")</f>
        <v>TRF 01-09</v>
      </c>
      <c r="AF29" s="38"/>
      <c r="AG29" s="38"/>
      <c r="AH29" s="6"/>
      <c r="AI29" s="6"/>
    </row>
    <row r="30" spans="2:35" ht="13.2">
      <c r="B30" s="68">
        <f ca="1">IFERROR(__xludf.DUMMYFUNCTION("""COMPUTED_VALUE"""),45536.356720949)</f>
        <v>45536.356720948999</v>
      </c>
      <c r="C30" s="36" t="str">
        <f ca="1">IFERROR(__xludf.DUMMYFUNCTION("""COMPUTED_VALUE"""),"Bautista ")</f>
        <v xml:space="preserve">Bautista </v>
      </c>
      <c r="D30" s="36" t="str">
        <f ca="1">IFERROR(__xludf.DUMMYFUNCTION("""COMPUTED_VALUE"""),"D’Ottavio ")</f>
        <v xml:space="preserve">D’Ottavio </v>
      </c>
      <c r="E30" s="36" t="str">
        <f ca="1">IFERROR(__xludf.DUMMYFUNCTION("""COMPUTED_VALUE"""),"Rosario")</f>
        <v>Rosario</v>
      </c>
      <c r="F30" s="6" t="str">
        <f ca="1">IFERROR(__xludf.DUMMYFUNCTION("""COMPUTED_VALUE"""),"ARG")</f>
        <v>ARG</v>
      </c>
      <c r="G30" s="6">
        <f ca="1">IFERROR(__xludf.DUMMYFUNCTION("""COMPUTED_VALUE"""),52366183)</f>
        <v>52366183</v>
      </c>
      <c r="H30" s="37">
        <f ca="1">IFERROR(__xludf.DUMMYFUNCTION("""COMPUTED_VALUE"""),40963)</f>
        <v>40963</v>
      </c>
      <c r="I30" s="38">
        <f ca="1">IFERROR(__xludf.DUMMYFUNCTION("""COMPUTED_VALUE"""),3415694188)</f>
        <v>3415694188</v>
      </c>
      <c r="J30" s="38">
        <f ca="1">IFERROR(__xludf.DUMMYFUNCTION("""COMPUTED_VALUE"""),3415694188)</f>
        <v>3415694188</v>
      </c>
      <c r="K30" s="38" t="str">
        <f ca="1">IFERROR(__xludf.DUMMYFUNCTION("""COMPUTED_VALUE"""),"gabrielavicentin@hotmail.com")</f>
        <v>gabrielavicentin@hotmail.com</v>
      </c>
      <c r="L30" s="38" t="str">
        <f ca="1">IFERROR(__xludf.DUMMYFUNCTION("""COMPUTED_VALUE"""),"Masculino")</f>
        <v>Masculino</v>
      </c>
      <c r="M30" s="6" t="str">
        <f ca="1">IFERROR(__xludf.DUMMYFUNCTION("""COMPUTED_VALUE"""),"CVR")</f>
        <v>CVR</v>
      </c>
      <c r="N30" s="38" t="str">
        <f ca="1">IFERROR(__xludf.DUMMYFUNCTION("""COMPUTED_VALUE"""),"Interior (Optimist)")</f>
        <v>Interior (Optimist)</v>
      </c>
      <c r="O30" s="38" t="str">
        <f ca="1">IFERROR(__xludf.DUMMYFUNCTION("""COMPUTED_VALUE"""),"OPTIMIST TIMONELES")</f>
        <v>OPTIMIST TIMONELES</v>
      </c>
      <c r="P30" s="38" t="str">
        <f ca="1">IFERROR(__xludf.DUMMYFUNCTION("""COMPUTED_VALUE"""),"Ni idea")</f>
        <v>Ni idea</v>
      </c>
      <c r="Q30" s="6">
        <f ca="1">IFERROR(__xludf.DUMMYFUNCTION("""COMPUTED_VALUE"""),3996)</f>
        <v>3996</v>
      </c>
      <c r="R30" s="38">
        <f ca="1">IFERROR(__xludf.DUMMYFUNCTION("""COMPUTED_VALUE"""),3996)</f>
        <v>3996</v>
      </c>
      <c r="S30" s="38"/>
      <c r="T30" s="38"/>
      <c r="U30" s="38"/>
      <c r="V30" s="38"/>
      <c r="W30" s="38"/>
      <c r="X30" s="38"/>
      <c r="Y30" s="38" t="str">
        <f ca="1">IFERROR(__xludf.DUMMYFUNCTION("""COMPUTED_VALUE"""),"OSPAC ")</f>
        <v xml:space="preserve">OSPAC </v>
      </c>
      <c r="Z30" s="6" t="str">
        <f ca="1">IFERROR(__xludf.DUMMYFUNCTION("""COMPUTED_VALUE"""),"No")</f>
        <v>No</v>
      </c>
      <c r="AA30" s="6" t="str">
        <f ca="1">IFERROR(__xludf.DUMMYFUNCTION("""COMPUTED_VALUE"""),"Acepto")</f>
        <v>Acepto</v>
      </c>
      <c r="AB30" s="6" t="str">
        <f ca="1">IFERROR(__xludf.DUMMYFUNCTION("""COMPUTED_VALUE"""),"Terminado")</f>
        <v>Terminado</v>
      </c>
      <c r="AC30" s="6">
        <f ca="1">IFERROR(__xludf.DUMMYFUNCTION("""COMPUTED_VALUE"""),70000)</f>
        <v>70000</v>
      </c>
      <c r="AD30" s="6">
        <f ca="1">IFERROR(__xludf.DUMMYFUNCTION("""COMPUTED_VALUE"""),205335)</f>
        <v>205335</v>
      </c>
      <c r="AE30" s="38" t="str">
        <f ca="1">IFERROR(__xludf.DUMMYFUNCTION("""COMPUTED_VALUE"""),"TRF 01-09")</f>
        <v>TRF 01-09</v>
      </c>
      <c r="AF30" s="38"/>
      <c r="AG30" s="38"/>
      <c r="AH30" s="6"/>
      <c r="AI30" s="6"/>
    </row>
    <row r="31" spans="2:35" ht="13.2">
      <c r="B31" s="68">
        <f ca="1">IFERROR(__xludf.DUMMYFUNCTION("""COMPUTED_VALUE"""),45535.4469629861)</f>
        <v>45535.446962986098</v>
      </c>
      <c r="C31" s="36" t="str">
        <f ca="1">IFERROR(__xludf.DUMMYFUNCTION("""COMPUTED_VALUE"""),"Lautaro Julián")</f>
        <v>Lautaro Julián</v>
      </c>
      <c r="D31" s="36" t="str">
        <f ca="1">IFERROR(__xludf.DUMMYFUNCTION("""COMPUTED_VALUE"""),"DE BAGGE")</f>
        <v>DE BAGGE</v>
      </c>
      <c r="E31" s="36" t="str">
        <f ca="1">IFERROR(__xludf.DUMMYFUNCTION("""COMPUTED_VALUE"""),"CABA")</f>
        <v>CABA</v>
      </c>
      <c r="F31" s="6" t="str">
        <f ca="1">IFERROR(__xludf.DUMMYFUNCTION("""COMPUTED_VALUE"""),"ARG")</f>
        <v>ARG</v>
      </c>
      <c r="G31" s="6">
        <f ca="1">IFERROR(__xludf.DUMMYFUNCTION("""COMPUTED_VALUE"""),49961664)</f>
        <v>49961664</v>
      </c>
      <c r="H31" s="37">
        <f ca="1">IFERROR(__xludf.DUMMYFUNCTION("""COMPUTED_VALUE"""),40198)</f>
        <v>40198</v>
      </c>
      <c r="I31" s="38">
        <f ca="1">IFERROR(__xludf.DUMMYFUNCTION("""COMPUTED_VALUE"""),1156549521)</f>
        <v>1156549521</v>
      </c>
      <c r="J31" s="38">
        <f ca="1">IFERROR(__xludf.DUMMYFUNCTION("""COMPUTED_VALUE"""),1156549521)</f>
        <v>1156549521</v>
      </c>
      <c r="K31" s="38" t="str">
        <f ca="1">IFERROR(__xludf.DUMMYFUNCTION("""COMPUTED_VALUE"""),"mdebagge@hotmail.com")</f>
        <v>mdebagge@hotmail.com</v>
      </c>
      <c r="L31" s="38" t="str">
        <f ca="1">IFERROR(__xludf.DUMMYFUNCTION("""COMPUTED_VALUE"""),"Masculino")</f>
        <v>Masculino</v>
      </c>
      <c r="M31" s="6" t="str">
        <f ca="1">IFERROR(__xludf.DUMMYFUNCTION("""COMPUTED_VALUE"""),"CVB")</f>
        <v>CVB</v>
      </c>
      <c r="N31" s="38"/>
      <c r="O31" s="38" t="str">
        <f ca="1">IFERROR(__xludf.DUMMYFUNCTION("""COMPUTED_VALUE"""),"OPTIMIST TIMONELES")</f>
        <v>OPTIMIST TIMONELES</v>
      </c>
      <c r="P31" s="38"/>
      <c r="Q31" s="6">
        <f ca="1">IFERROR(__xludf.DUMMYFUNCTION("""COMPUTED_VALUE"""),3712)</f>
        <v>3712</v>
      </c>
      <c r="R31" s="38"/>
      <c r="S31" s="38"/>
      <c r="T31" s="38"/>
      <c r="U31" s="38"/>
      <c r="V31" s="38"/>
      <c r="W31" s="38"/>
      <c r="X31" s="38"/>
      <c r="Y31" s="38">
        <f ca="1">IFERROR(__xludf.DUMMYFUNCTION("""COMPUTED_VALUE"""),61354126904)</f>
        <v>61354126904</v>
      </c>
      <c r="Z31" s="6" t="str">
        <f ca="1">IFERROR(__xludf.DUMMYFUNCTION("""COMPUTED_VALUE"""),"No")</f>
        <v>No</v>
      </c>
      <c r="AA31" s="6" t="str">
        <f ca="1">IFERROR(__xludf.DUMMYFUNCTION("""COMPUTED_VALUE"""),"Acepto")</f>
        <v>Acepto</v>
      </c>
      <c r="AB31" s="6" t="str">
        <f ca="1">IFERROR(__xludf.DUMMYFUNCTION("""COMPUTED_VALUE"""),"Terminado")</f>
        <v>Terminado</v>
      </c>
      <c r="AC31" s="6">
        <f ca="1">IFERROR(__xludf.DUMMYFUNCTION("""COMPUTED_VALUE"""),60000)</f>
        <v>60000</v>
      </c>
      <c r="AD31" s="6">
        <f ca="1">IFERROR(__xludf.DUMMYFUNCTION("""COMPUTED_VALUE"""),205167)</f>
        <v>205167</v>
      </c>
      <c r="AE31" s="38" t="str">
        <f ca="1">IFERROR(__xludf.DUMMYFUNCTION("""COMPUTED_VALUE"""),"TRF 31-08")</f>
        <v>TRF 31-08</v>
      </c>
      <c r="AF31" s="38"/>
      <c r="AG31" s="38"/>
      <c r="AH31" s="6"/>
      <c r="AI31" s="6"/>
    </row>
    <row r="32" spans="2:35" ht="13.2">
      <c r="B32" s="68">
        <f ca="1">IFERROR(__xludf.DUMMYFUNCTION("""COMPUTED_VALUE"""),45533.6308780439)</f>
        <v>45533.630878043899</v>
      </c>
      <c r="C32" s="36" t="str">
        <f ca="1">IFERROR(__xludf.DUMMYFUNCTION("""COMPUTED_VALUE"""),"Juan cruz ")</f>
        <v xml:space="preserve">Juan cruz </v>
      </c>
      <c r="D32" s="36" t="str">
        <f ca="1">IFERROR(__xludf.DUMMYFUNCTION("""COMPUTED_VALUE"""),"De Valais ")</f>
        <v xml:space="preserve">De Valais </v>
      </c>
      <c r="E32" s="36" t="str">
        <f ca="1">IFERROR(__xludf.DUMMYFUNCTION("""COMPUTED_VALUE"""),"CABA")</f>
        <v>CABA</v>
      </c>
      <c r="F32" s="6" t="str">
        <f ca="1">IFERROR(__xludf.DUMMYFUNCTION("""COMPUTED_VALUE"""),"ARG")</f>
        <v>ARG</v>
      </c>
      <c r="G32" s="6">
        <f ca="1">IFERROR(__xludf.DUMMYFUNCTION("""COMPUTED_VALUE"""),50414789)</f>
        <v>50414789</v>
      </c>
      <c r="H32" s="37">
        <f ca="1">IFERROR(__xludf.DUMMYFUNCTION("""COMPUTED_VALUE"""),40367)</f>
        <v>40367</v>
      </c>
      <c r="I32" s="38">
        <f ca="1">IFERROR(__xludf.DUMMYFUNCTION("""COMPUTED_VALUE"""),1144345575)</f>
        <v>1144345575</v>
      </c>
      <c r="J32" s="38">
        <f ca="1">IFERROR(__xludf.DUMMYFUNCTION("""COMPUTED_VALUE"""),1140290151)</f>
        <v>1140290151</v>
      </c>
      <c r="K32" s="38" t="str">
        <f ca="1">IFERROR(__xludf.DUMMYFUNCTION("""COMPUTED_VALUE"""),"fmeiller@hotmail.com")</f>
        <v>fmeiller@hotmail.com</v>
      </c>
      <c r="L32" s="38" t="str">
        <f ca="1">IFERROR(__xludf.DUMMYFUNCTION("""COMPUTED_VALUE"""),"Masculino")</f>
        <v>Masculino</v>
      </c>
      <c r="M32" s="6" t="str">
        <f ca="1">IFERROR(__xludf.DUMMYFUNCTION("""COMPUTED_VALUE"""),"CVB")</f>
        <v>CVB</v>
      </c>
      <c r="N32" s="38" t="str">
        <f ca="1">IFERROR(__xludf.DUMMYFUNCTION("""COMPUTED_VALUE"""),"Interior (Optimist), Optimist timonel")</f>
        <v>Interior (Optimist), Optimist timonel</v>
      </c>
      <c r="O32" s="38" t="str">
        <f ca="1">IFERROR(__xludf.DUMMYFUNCTION("""COMPUTED_VALUE"""),"OPTIMIST TIMONELES")</f>
        <v>OPTIMIST TIMONELES</v>
      </c>
      <c r="P32" s="38"/>
      <c r="Q32" s="6">
        <f ca="1">IFERROR(__xludf.DUMMYFUNCTION("""COMPUTED_VALUE"""),3852)</f>
        <v>3852</v>
      </c>
      <c r="R32" s="38" t="str">
        <f ca="1">IFERROR(__xludf.DUMMYFUNCTION("""COMPUTED_VALUE"""),"Pájaro loco")</f>
        <v>Pájaro loco</v>
      </c>
      <c r="S32" s="38"/>
      <c r="T32" s="38"/>
      <c r="U32" s="38"/>
      <c r="V32" s="38"/>
      <c r="W32" s="38"/>
      <c r="X32" s="38"/>
      <c r="Y32" s="38" t="str">
        <f ca="1">IFERROR(__xludf.DUMMYFUNCTION("""COMPUTED_VALUE"""),"Plan médico del hospital alemán ")</f>
        <v xml:space="preserve">Plan médico del hospital alemán </v>
      </c>
      <c r="Z32" s="6" t="str">
        <f ca="1">IFERROR(__xludf.DUMMYFUNCTION("""COMPUTED_VALUE"""),"Si")</f>
        <v>Si</v>
      </c>
      <c r="AA32" s="6" t="str">
        <f ca="1">IFERROR(__xludf.DUMMYFUNCTION("""COMPUTED_VALUE"""),"Acepto")</f>
        <v>Acepto</v>
      </c>
      <c r="AB32" s="6" t="str">
        <f ca="1">IFERROR(__xludf.DUMMYFUNCTION("""COMPUTED_VALUE"""),"Terminado")</f>
        <v>Terminado</v>
      </c>
      <c r="AC32" s="6">
        <f ca="1">IFERROR(__xludf.DUMMYFUNCTION("""COMPUTED_VALUE"""),50000)</f>
        <v>50000</v>
      </c>
      <c r="AD32" s="6">
        <f ca="1">IFERROR(__xludf.DUMMYFUNCTION("""COMPUTED_VALUE"""),205103)</f>
        <v>205103</v>
      </c>
      <c r="AE32" s="38" t="str">
        <f ca="1">IFERROR(__xludf.DUMMYFUNCTION("""COMPUTED_VALUE"""),"TRF 30-08")</f>
        <v>TRF 30-08</v>
      </c>
      <c r="AF32" s="38"/>
      <c r="AG32" s="38"/>
      <c r="AH32" s="6"/>
      <c r="AI32" s="6"/>
    </row>
    <row r="33" spans="2:35" ht="13.2">
      <c r="B33" s="68">
        <f ca="1">IFERROR(__xludf.DUMMYFUNCTION("""COMPUTED_VALUE"""),45531.5414580439)</f>
        <v>45531.541458043903</v>
      </c>
      <c r="C33" s="36" t="str">
        <f ca="1">IFERROR(__xludf.DUMMYFUNCTION("""COMPUTED_VALUE"""),"Clara")</f>
        <v>Clara</v>
      </c>
      <c r="D33" s="36" t="str">
        <f ca="1">IFERROR(__xludf.DUMMYFUNCTION("""COMPUTED_VALUE"""),"Deleo")</f>
        <v>Deleo</v>
      </c>
      <c r="E33" s="36" t="str">
        <f ca="1">IFERROR(__xludf.DUMMYFUNCTION("""COMPUTED_VALUE"""),"La Plata")</f>
        <v>La Plata</v>
      </c>
      <c r="F33" s="6" t="str">
        <f ca="1">IFERROR(__xludf.DUMMYFUNCTION("""COMPUTED_VALUE"""),"ARG")</f>
        <v>ARG</v>
      </c>
      <c r="G33" s="6">
        <f ca="1">IFERROR(__xludf.DUMMYFUNCTION("""COMPUTED_VALUE"""),52725158)</f>
        <v>52725158</v>
      </c>
      <c r="H33" s="37">
        <f ca="1">IFERROR(__xludf.DUMMYFUNCTION("""COMPUTED_VALUE"""),41167)</f>
        <v>41167</v>
      </c>
      <c r="I33" s="38">
        <f ca="1">IFERROR(__xludf.DUMMYFUNCTION("""COMPUTED_VALUE"""),2215909668)</f>
        <v>2215909668</v>
      </c>
      <c r="J33" s="38">
        <f ca="1">IFERROR(__xludf.DUMMYFUNCTION("""COMPUTED_VALUE"""),2215909668)</f>
        <v>2215909668</v>
      </c>
      <c r="K33" s="38" t="str">
        <f ca="1">IFERROR(__xludf.DUMMYFUNCTION("""COMPUTED_VALUE"""),"deleosabino@gmail.com")</f>
        <v>deleosabino@gmail.com</v>
      </c>
      <c r="L33" s="38" t="str">
        <f ca="1">IFERROR(__xludf.DUMMYFUNCTION("""COMPUTED_VALUE"""),"Femenino")</f>
        <v>Femenino</v>
      </c>
      <c r="M33" s="6" t="str">
        <f ca="1">IFERROR(__xludf.DUMMYFUNCTION("""COMPUTED_VALUE"""),"CRLP")</f>
        <v>CRLP</v>
      </c>
      <c r="N33" s="38" t="str">
        <f ca="1">IFERROR(__xludf.DUMMYFUNCTION("""COMPUTED_VALUE"""),"Femenino")</f>
        <v>Femenino</v>
      </c>
      <c r="O33" s="38" t="str">
        <f ca="1">IFERROR(__xludf.DUMMYFUNCTION("""COMPUTED_VALUE"""),"OPTIMIST TIMONELES")</f>
        <v>OPTIMIST TIMONELES</v>
      </c>
      <c r="P33" s="38"/>
      <c r="Q33" s="6">
        <f ca="1">IFERROR(__xludf.DUMMYFUNCTION("""COMPUTED_VALUE"""),4160)</f>
        <v>4160</v>
      </c>
      <c r="R33" s="38"/>
      <c r="S33" s="38"/>
      <c r="T33" s="38"/>
      <c r="U33" s="38"/>
      <c r="V33" s="38"/>
      <c r="W33" s="38"/>
      <c r="X33" s="38"/>
      <c r="Y33" s="38" t="str">
        <f ca="1">IFERROR(__xludf.DUMMYFUNCTION("""COMPUTED_VALUE"""),"IOMA")</f>
        <v>IOMA</v>
      </c>
      <c r="Z33" s="6" t="str">
        <f ca="1">IFERROR(__xludf.DUMMYFUNCTION("""COMPUTED_VALUE"""),"Si")</f>
        <v>Si</v>
      </c>
      <c r="AA33" s="6" t="str">
        <f ca="1">IFERROR(__xludf.DUMMYFUNCTION("""COMPUTED_VALUE"""),"Acepto")</f>
        <v>Acepto</v>
      </c>
      <c r="AB33" s="6" t="str">
        <f ca="1">IFERROR(__xludf.DUMMYFUNCTION("""COMPUTED_VALUE"""),"Terminado")</f>
        <v>Terminado</v>
      </c>
      <c r="AC33" s="6">
        <f ca="1">IFERROR(__xludf.DUMMYFUNCTION("""COMPUTED_VALUE"""),60000)</f>
        <v>60000</v>
      </c>
      <c r="AD33" s="6">
        <f ca="1">IFERROR(__xludf.DUMMYFUNCTION("""COMPUTED_VALUE"""),205057)</f>
        <v>205057</v>
      </c>
      <c r="AE33" s="38" t="str">
        <f ca="1">IFERROR(__xludf.DUMMYFUNCTION("""COMPUTED_VALUE"""),"TRF 27-08")</f>
        <v>TRF 27-08</v>
      </c>
      <c r="AF33" s="38"/>
      <c r="AG33" s="38"/>
      <c r="AH33" s="6"/>
      <c r="AI33" s="6"/>
    </row>
    <row r="34" spans="2:35" ht="13.2">
      <c r="B34" s="68">
        <f ca="1">IFERROR(__xludf.DUMMYFUNCTION("""COMPUTED_VALUE"""),45537.3480063078)</f>
        <v>45537.348006307802</v>
      </c>
      <c r="C34" s="36" t="str">
        <f ca="1">IFERROR(__xludf.DUMMYFUNCTION("""COMPUTED_VALUE"""),"Abril")</f>
        <v>Abril</v>
      </c>
      <c r="D34" s="36" t="str">
        <f ca="1">IFERROR(__xludf.DUMMYFUNCTION("""COMPUTED_VALUE"""),"Della Vecchia")</f>
        <v>Della Vecchia</v>
      </c>
      <c r="E34" s="36" t="str">
        <f ca="1">IFERROR(__xludf.DUMMYFUNCTION("""COMPUTED_VALUE"""),"Caseros")</f>
        <v>Caseros</v>
      </c>
      <c r="F34" s="6" t="str">
        <f ca="1">IFERROR(__xludf.DUMMYFUNCTION("""COMPUTED_VALUE"""),"ARG")</f>
        <v>ARG</v>
      </c>
      <c r="G34" s="6">
        <f ca="1">IFERROR(__xludf.DUMMYFUNCTION("""COMPUTED_VALUE"""),49764378)</f>
        <v>49764378</v>
      </c>
      <c r="H34" s="37">
        <f ca="1">IFERROR(__xludf.DUMMYFUNCTION("""COMPUTED_VALUE"""),40085)</f>
        <v>40085</v>
      </c>
      <c r="I34" s="38">
        <f ca="1">IFERROR(__xludf.DUMMYFUNCTION("""COMPUTED_VALUE"""),1567239170)</f>
        <v>1567239170</v>
      </c>
      <c r="J34" s="38">
        <f ca="1">IFERROR(__xludf.DUMMYFUNCTION("""COMPUTED_VALUE"""),1567239170)</f>
        <v>1567239170</v>
      </c>
      <c r="K34" s="38" t="str">
        <f ca="1">IFERROR(__xludf.DUMMYFUNCTION("""COMPUTED_VALUE"""),"danisaolmedo@gmail.com")</f>
        <v>danisaolmedo@gmail.com</v>
      </c>
      <c r="L34" s="38" t="str">
        <f ca="1">IFERROR(__xludf.DUMMYFUNCTION("""COMPUTED_VALUE"""),"Femenino")</f>
        <v>Femenino</v>
      </c>
      <c r="M34" s="6" t="str">
        <f ca="1">IFERROR(__xludf.DUMMYFUNCTION("""COMPUTED_VALUE"""),"CPNLB")</f>
        <v>CPNLB</v>
      </c>
      <c r="N34" s="38" t="str">
        <f ca="1">IFERROR(__xludf.DUMMYFUNCTION("""COMPUTED_VALUE"""),"Femenino")</f>
        <v>Femenino</v>
      </c>
      <c r="O34" s="38" t="str">
        <f ca="1">IFERROR(__xludf.DUMMYFUNCTION("""COMPUTED_VALUE"""),"OPTIMIST TIMONELES")</f>
        <v>OPTIMIST TIMONELES</v>
      </c>
      <c r="P34" s="38"/>
      <c r="Q34" s="6">
        <f ca="1">IFERROR(__xludf.DUMMYFUNCTION("""COMPUTED_VALUE"""),3680)</f>
        <v>3680</v>
      </c>
      <c r="R34" s="38" t="str">
        <f ca="1">IFERROR(__xludf.DUMMYFUNCTION("""COMPUTED_VALUE"""),"Ocean")</f>
        <v>Ocean</v>
      </c>
      <c r="S34" s="38"/>
      <c r="T34" s="38"/>
      <c r="U34" s="38"/>
      <c r="V34" s="38"/>
      <c r="W34" s="38"/>
      <c r="X34" s="38"/>
      <c r="Y34" s="38">
        <f ca="1">IFERROR(__xludf.DUMMYFUNCTION("""COMPUTED_VALUE"""),450090929004)</f>
        <v>450090929004</v>
      </c>
      <c r="Z34" s="6" t="str">
        <f ca="1">IFERROR(__xludf.DUMMYFUNCTION("""COMPUTED_VALUE"""),"Si")</f>
        <v>Si</v>
      </c>
      <c r="AA34" s="6" t="str">
        <f ca="1">IFERROR(__xludf.DUMMYFUNCTION("""COMPUTED_VALUE"""),"Acepto")</f>
        <v>Acepto</v>
      </c>
      <c r="AB34" s="6" t="str">
        <f ca="1">IFERROR(__xludf.DUMMYFUNCTION("""COMPUTED_VALUE"""),"Terminado")</f>
        <v>Terminado</v>
      </c>
      <c r="AC34" s="6">
        <f ca="1">IFERROR(__xludf.DUMMYFUNCTION("""COMPUTED_VALUE"""),50000)</f>
        <v>50000</v>
      </c>
      <c r="AD34" s="6">
        <f ca="1">IFERROR(__xludf.DUMMYFUNCTION("""COMPUTED_VALUE"""),205394)</f>
        <v>205394</v>
      </c>
      <c r="AE34" s="38" t="str">
        <f ca="1">IFERROR(__xludf.DUMMYFUNCTION("""COMPUTED_VALUE"""),"TRF 02-09")</f>
        <v>TRF 02-09</v>
      </c>
      <c r="AF34" s="38"/>
      <c r="AG34" s="38"/>
      <c r="AH34" s="6"/>
      <c r="AI34" s="6"/>
    </row>
    <row r="35" spans="2:35" ht="13.2">
      <c r="B35" s="68">
        <f ca="1">IFERROR(__xludf.DUMMYFUNCTION("""COMPUTED_VALUE"""),45536.759121574)</f>
        <v>45536.759121574003</v>
      </c>
      <c r="C35" s="36" t="str">
        <f ca="1">IFERROR(__xludf.DUMMYFUNCTION("""COMPUTED_VALUE"""),"Faustina")</f>
        <v>Faustina</v>
      </c>
      <c r="D35" s="36" t="str">
        <f ca="1">IFERROR(__xludf.DUMMYFUNCTION("""COMPUTED_VALUE"""),"Dianda")</f>
        <v>Dianda</v>
      </c>
      <c r="E35" s="36" t="str">
        <f ca="1">IFERROR(__xludf.DUMMYFUNCTION("""COMPUTED_VALUE"""),"bs as")</f>
        <v>bs as</v>
      </c>
      <c r="F35" s="6" t="str">
        <f ca="1">IFERROR(__xludf.DUMMYFUNCTION("""COMPUTED_VALUE"""),"ARG")</f>
        <v>ARG</v>
      </c>
      <c r="G35" s="6">
        <f ca="1">IFERROR(__xludf.DUMMYFUNCTION("""COMPUTED_VALUE"""),50324563)</f>
        <v>50324563</v>
      </c>
      <c r="H35" s="37">
        <f ca="1">IFERROR(__xludf.DUMMYFUNCTION("""COMPUTED_VALUE"""),40329)</f>
        <v>40329</v>
      </c>
      <c r="I35" s="38" t="str">
        <f ca="1">IFERROR(__xludf.DUMMYFUNCTION("""COMPUTED_VALUE"""),"54 911 3407-7629")</f>
        <v>54 911 3407-7629</v>
      </c>
      <c r="J35" s="38" t="str">
        <f ca="1">IFERROR(__xludf.DUMMYFUNCTION("""COMPUTED_VALUE"""),"54 911 55 65-1028")</f>
        <v>54 911 55 65-1028</v>
      </c>
      <c r="K35" s="38" t="str">
        <f ca="1">IFERROR(__xludf.DUMMYFUNCTION("""COMPUTED_VALUE"""),"tdianda@rems.com.ar")</f>
        <v>tdianda@rems.com.ar</v>
      </c>
      <c r="L35" s="38" t="str">
        <f ca="1">IFERROR(__xludf.DUMMYFUNCTION("""COMPUTED_VALUE"""),"Femenino")</f>
        <v>Femenino</v>
      </c>
      <c r="M35" s="6" t="str">
        <f ca="1">IFERROR(__xludf.DUMMYFUNCTION("""COMPUTED_VALUE"""),"CGLNM")</f>
        <v>CGLNM</v>
      </c>
      <c r="N35" s="38" t="str">
        <f ca="1">IFERROR(__xludf.DUMMYFUNCTION("""COMPUTED_VALUE"""),"Interior (Optimist)")</f>
        <v>Interior (Optimist)</v>
      </c>
      <c r="O35" s="38" t="str">
        <f ca="1">IFERROR(__xludf.DUMMYFUNCTION("""COMPUTED_VALUE"""),"OPTIMIST TIMONELES")</f>
        <v>OPTIMIST TIMONELES</v>
      </c>
      <c r="P35" s="38"/>
      <c r="Q35" s="6">
        <f ca="1">IFERROR(__xludf.DUMMYFUNCTION("""COMPUTED_VALUE"""),4114)</f>
        <v>4114</v>
      </c>
      <c r="R35" s="38" t="str">
        <f ca="1">IFERROR(__xludf.DUMMYFUNCTION("""COMPUTED_VALUE"""),"no tienen")</f>
        <v>no tienen</v>
      </c>
      <c r="S35" s="38"/>
      <c r="T35" s="38"/>
      <c r="U35" s="38"/>
      <c r="V35" s="38"/>
      <c r="W35" s="38"/>
      <c r="X35" s="38"/>
      <c r="Y35" s="38" t="str">
        <f ca="1">IFERROR(__xludf.DUMMYFUNCTION("""COMPUTED_VALUE"""),"Poder Judicial - Plan Unico - Nro Afiliado 41641/31 ")</f>
        <v xml:space="preserve">Poder Judicial - Plan Unico - Nro Afiliado 41641/31 </v>
      </c>
      <c r="Z35" s="6" t="str">
        <f ca="1">IFERROR(__xludf.DUMMYFUNCTION("""COMPUTED_VALUE"""),"Si")</f>
        <v>Si</v>
      </c>
      <c r="AA35" s="6" t="str">
        <f ca="1">IFERROR(__xludf.DUMMYFUNCTION("""COMPUTED_VALUE"""),"Acepto")</f>
        <v>Acepto</v>
      </c>
      <c r="AB35" s="6" t="str">
        <f ca="1">IFERROR(__xludf.DUMMYFUNCTION("""COMPUTED_VALUE"""),"Terminado")</f>
        <v>Terminado</v>
      </c>
      <c r="AC35" s="6">
        <f ca="1">IFERROR(__xludf.DUMMYFUNCTION("""COMPUTED_VALUE"""),50000)</f>
        <v>50000</v>
      </c>
      <c r="AD35" s="6">
        <f ca="1">IFERROR(__xludf.DUMMYFUNCTION("""COMPUTED_VALUE"""),205390)</f>
        <v>205390</v>
      </c>
      <c r="AE35" s="38" t="str">
        <f ca="1">IFERROR(__xludf.DUMMYFUNCTION("""COMPUTED_VALUE"""),"TRF 02-09")</f>
        <v>TRF 02-09</v>
      </c>
      <c r="AF35" s="38"/>
      <c r="AG35" s="38"/>
      <c r="AH35" s="6"/>
      <c r="AI35" s="6"/>
    </row>
    <row r="36" spans="2:35" ht="13.2">
      <c r="B36" s="68">
        <f ca="1">IFERROR(__xludf.DUMMYFUNCTION("""COMPUTED_VALUE"""),45538.475640405)</f>
        <v>45538.475640404999</v>
      </c>
      <c r="C36" s="36" t="str">
        <f ca="1">IFERROR(__xludf.DUMMYFUNCTION("""COMPUTED_VALUE"""),"Braian")</f>
        <v>Braian</v>
      </c>
      <c r="D36" s="36" t="str">
        <f ca="1">IFERROR(__xludf.DUMMYFUNCTION("""COMPUTED_VALUE"""),"Diaz Basualdo")</f>
        <v>Diaz Basualdo</v>
      </c>
      <c r="E36" s="36" t="str">
        <f ca="1">IFERROR(__xludf.DUMMYFUNCTION("""COMPUTED_VALUE"""),"San Fernando")</f>
        <v>San Fernando</v>
      </c>
      <c r="F36" s="6" t="str">
        <f ca="1">IFERROR(__xludf.DUMMYFUNCTION("""COMPUTED_VALUE"""),"ARG")</f>
        <v>ARG</v>
      </c>
      <c r="G36" s="6">
        <f ca="1">IFERROR(__xludf.DUMMYFUNCTION("""COMPUTED_VALUE"""),52619617)</f>
        <v>52619617</v>
      </c>
      <c r="H36" s="37">
        <f ca="1">IFERROR(__xludf.DUMMYFUNCTION("""COMPUTED_VALUE"""),41038)</f>
        <v>41038</v>
      </c>
      <c r="I36" s="38" t="str">
        <f ca="1">IFERROR(__xludf.DUMMYFUNCTION("""COMPUTED_VALUE"""),"+54 9 11 3394-3846")</f>
        <v>+54 9 11 3394-3846</v>
      </c>
      <c r="J36" s="38"/>
      <c r="K36" s="38" t="str">
        <f ca="1">IFERROR(__xludf.DUMMYFUNCTION("""COMPUTED_VALUE"""),"ignacio.varisco@gmail.com")</f>
        <v>ignacio.varisco@gmail.com</v>
      </c>
      <c r="L36" s="38" t="str">
        <f ca="1">IFERROR(__xludf.DUMMYFUNCTION("""COMPUTED_VALUE"""),"Masculino")</f>
        <v>Masculino</v>
      </c>
      <c r="M36" s="6" t="str">
        <f ca="1">IFERROR(__xludf.DUMMYFUNCTION("""COMPUTED_VALUE"""),"CPNLB- CBRIO")</f>
        <v>CPNLB- CBRIO</v>
      </c>
      <c r="N36" s="38"/>
      <c r="O36" s="38" t="str">
        <f ca="1">IFERROR(__xludf.DUMMYFUNCTION("""COMPUTED_VALUE"""),"OPTIMIST TIMONELES")</f>
        <v>OPTIMIST TIMONELES</v>
      </c>
      <c r="P36" s="38"/>
      <c r="Q36" s="6" t="str">
        <f ca="1">IFERROR(__xludf.DUMMYFUNCTION("""COMPUTED_VALUE"""),"ARG 384")</f>
        <v>ARG 384</v>
      </c>
      <c r="R36" s="38"/>
      <c r="S36" s="38"/>
      <c r="T36" s="38"/>
      <c r="U36" s="38"/>
      <c r="V36" s="38"/>
      <c r="W36" s="38"/>
      <c r="X36" s="38"/>
      <c r="Y36" s="38"/>
      <c r="Z36" s="6" t="str">
        <f ca="1">IFERROR(__xludf.DUMMYFUNCTION("""COMPUTED_VALUE"""),"Si")</f>
        <v>Si</v>
      </c>
      <c r="AA36" s="6" t="str">
        <f ca="1">IFERROR(__xludf.DUMMYFUNCTION("""COMPUTED_VALUE"""),"Acepto")</f>
        <v>Acepto</v>
      </c>
      <c r="AB36" s="6" t="str">
        <f ca="1">IFERROR(__xludf.DUMMYFUNCTION("""COMPUTED_VALUE"""),"Pendiente")</f>
        <v>Pendiente</v>
      </c>
      <c r="AC36" s="6"/>
      <c r="AD36" s="6"/>
      <c r="AE36" s="38"/>
      <c r="AF36" s="38"/>
      <c r="AG36" s="38"/>
      <c r="AH36" s="6"/>
      <c r="AI36" s="6"/>
    </row>
    <row r="37" spans="2:35" ht="13.2">
      <c r="B37" s="68">
        <f ca="1">IFERROR(__xludf.DUMMYFUNCTION("""COMPUTED_VALUE"""),45535.2532572685)</f>
        <v>45535.253257268501</v>
      </c>
      <c r="C37" s="36" t="str">
        <f ca="1">IFERROR(__xludf.DUMMYFUNCTION("""COMPUTED_VALUE"""),"Luca")</f>
        <v>Luca</v>
      </c>
      <c r="D37" s="36" t="str">
        <f ca="1">IFERROR(__xludf.DUMMYFUNCTION("""COMPUTED_VALUE"""),"Donato")</f>
        <v>Donato</v>
      </c>
      <c r="E37" s="36" t="str">
        <f ca="1">IFERROR(__xludf.DUMMYFUNCTION("""COMPUTED_VALUE"""),"La Plata")</f>
        <v>La Plata</v>
      </c>
      <c r="F37" s="6" t="str">
        <f ca="1">IFERROR(__xludf.DUMMYFUNCTION("""COMPUTED_VALUE"""),"ARG")</f>
        <v>ARG</v>
      </c>
      <c r="G37" s="6">
        <f ca="1">IFERROR(__xludf.DUMMYFUNCTION("""COMPUTED_VALUE"""),49802533)</f>
        <v>49802533</v>
      </c>
      <c r="H37" s="37">
        <f ca="1">IFERROR(__xludf.DUMMYFUNCTION("""COMPUTED_VALUE"""),40065)</f>
        <v>40065</v>
      </c>
      <c r="I37" s="38">
        <f ca="1">IFERROR(__xludf.DUMMYFUNCTION("""COMPUTED_VALUE"""),2214193683)</f>
        <v>2214193683</v>
      </c>
      <c r="J37" s="38"/>
      <c r="K37" s="38" t="str">
        <f ca="1">IFERROR(__xludf.DUMMYFUNCTION("""COMPUTED_VALUE"""),"mdonato@fcnym.unlp.edu.ar")</f>
        <v>mdonato@fcnym.unlp.edu.ar</v>
      </c>
      <c r="L37" s="38" t="str">
        <f ca="1">IFERROR(__xludf.DUMMYFUNCTION("""COMPUTED_VALUE"""),"Masculino")</f>
        <v>Masculino</v>
      </c>
      <c r="M37" s="6" t="str">
        <f ca="1">IFERROR(__xludf.DUMMYFUNCTION("""COMPUTED_VALUE"""),"CRLP")</f>
        <v>CRLP</v>
      </c>
      <c r="N37" s="38"/>
      <c r="O37" s="38" t="str">
        <f ca="1">IFERROR(__xludf.DUMMYFUNCTION("""COMPUTED_VALUE"""),"OPTIMIST TIMONELES")</f>
        <v>OPTIMIST TIMONELES</v>
      </c>
      <c r="P37" s="38"/>
      <c r="Q37" s="6">
        <f ca="1">IFERROR(__xludf.DUMMYFUNCTION("""COMPUTED_VALUE"""),3061)</f>
        <v>3061</v>
      </c>
      <c r="R37" s="38" t="str">
        <f ca="1">IFERROR(__xludf.DUMMYFUNCTION("""COMPUTED_VALUE"""),"Deja Vu")</f>
        <v>Deja Vu</v>
      </c>
      <c r="S37" s="38"/>
      <c r="T37" s="38"/>
      <c r="U37" s="38"/>
      <c r="V37" s="38"/>
      <c r="W37" s="38"/>
      <c r="X37" s="38"/>
      <c r="Y37" s="38" t="str">
        <f ca="1">IFERROR(__xludf.DUMMYFUNCTION("""COMPUTED_VALUE"""),"OSDE/61500367104")</f>
        <v>OSDE/61500367104</v>
      </c>
      <c r="Z37" s="6" t="str">
        <f ca="1">IFERROR(__xludf.DUMMYFUNCTION("""COMPUTED_VALUE"""),"Si")</f>
        <v>Si</v>
      </c>
      <c r="AA37" s="6" t="str">
        <f ca="1">IFERROR(__xludf.DUMMYFUNCTION("""COMPUTED_VALUE"""),"Acepto")</f>
        <v>Acepto</v>
      </c>
      <c r="AB37" s="6" t="str">
        <f ca="1">IFERROR(__xludf.DUMMYFUNCTION("""COMPUTED_VALUE"""),"Terminado")</f>
        <v>Terminado</v>
      </c>
      <c r="AC37" s="6">
        <f ca="1">IFERROR(__xludf.DUMMYFUNCTION("""COMPUTED_VALUE"""),50000)</f>
        <v>50000</v>
      </c>
      <c r="AD37" s="6">
        <f ca="1">IFERROR(__xludf.DUMMYFUNCTION("""COMPUTED_VALUE"""),205141)</f>
        <v>205141</v>
      </c>
      <c r="AE37" s="38" t="str">
        <f ca="1">IFERROR(__xludf.DUMMYFUNCTION("""COMPUTED_VALUE"""),"TRF 31-08")</f>
        <v>TRF 31-08</v>
      </c>
      <c r="AF37" s="38"/>
      <c r="AG37" s="38"/>
      <c r="AH37" s="6"/>
      <c r="AI37" s="6"/>
    </row>
    <row r="38" spans="2:35" ht="13.2">
      <c r="B38" s="68">
        <f ca="1">IFERROR(__xludf.DUMMYFUNCTION("""COMPUTED_VALUE"""),45535.5671478819)</f>
        <v>45535.567147881899</v>
      </c>
      <c r="C38" s="36" t="str">
        <f ca="1">IFERROR(__xludf.DUMMYFUNCTION("""COMPUTED_VALUE"""),"Janko")</f>
        <v>Janko</v>
      </c>
      <c r="D38" s="36" t="str">
        <f ca="1">IFERROR(__xludf.DUMMYFUNCTION("""COMPUTED_VALUE"""),"DONOFRIO FREYTES")</f>
        <v>DONOFRIO FREYTES</v>
      </c>
      <c r="E38" s="36" t="str">
        <f ca="1">IFERROR(__xludf.DUMMYFUNCTION("""COMPUTED_VALUE"""),"CABA")</f>
        <v>CABA</v>
      </c>
      <c r="F38" s="6" t="str">
        <f ca="1">IFERROR(__xludf.DUMMYFUNCTION("""COMPUTED_VALUE"""),"ARG")</f>
        <v>ARG</v>
      </c>
      <c r="G38" s="6">
        <f ca="1">IFERROR(__xludf.DUMMYFUNCTION("""COMPUTED_VALUE"""),50671157)</f>
        <v>50671157</v>
      </c>
      <c r="H38" s="37">
        <f ca="1">IFERROR(__xludf.DUMMYFUNCTION("""COMPUTED_VALUE"""),40841)</f>
        <v>40841</v>
      </c>
      <c r="I38" s="38">
        <f ca="1">IFERROR(__xludf.DUMMYFUNCTION("""COMPUTED_VALUE"""),1536571538)</f>
        <v>1536571538</v>
      </c>
      <c r="J38" s="38">
        <f ca="1">IFERROR(__xludf.DUMMYFUNCTION("""COMPUTED_VALUE"""),1540654972)</f>
        <v>1540654972</v>
      </c>
      <c r="K38" s="38" t="str">
        <f ca="1">IFERROR(__xludf.DUMMYFUNCTION("""COMPUTED_VALUE"""),"adonofr@gmail.com")</f>
        <v>adonofr@gmail.com</v>
      </c>
      <c r="L38" s="38" t="str">
        <f ca="1">IFERROR(__xludf.DUMMYFUNCTION("""COMPUTED_VALUE"""),"Masculino")</f>
        <v>Masculino</v>
      </c>
      <c r="M38" s="6" t="str">
        <f ca="1">IFERROR(__xludf.DUMMYFUNCTION("""COMPUTED_VALUE"""),"YCCN")</f>
        <v>YCCN</v>
      </c>
      <c r="N38" s="38" t="str">
        <f ca="1">IFERROR(__xludf.DUMMYFUNCTION("""COMPUTED_VALUE"""),"Interior (Optimist)")</f>
        <v>Interior (Optimist)</v>
      </c>
      <c r="O38" s="38" t="str">
        <f ca="1">IFERROR(__xludf.DUMMYFUNCTION("""COMPUTED_VALUE"""),"OPTIMIST TIMONELES")</f>
        <v>OPTIMIST TIMONELES</v>
      </c>
      <c r="P38" s="38"/>
      <c r="Q38" s="6">
        <f ca="1">IFERROR(__xludf.DUMMYFUNCTION("""COMPUTED_VALUE"""),3876)</f>
        <v>3876</v>
      </c>
      <c r="R38" s="38"/>
      <c r="S38" s="38"/>
      <c r="T38" s="38"/>
      <c r="U38" s="38"/>
      <c r="V38" s="38"/>
      <c r="W38" s="38"/>
      <c r="X38" s="38"/>
      <c r="Y38" s="38"/>
      <c r="Z38" s="6" t="str">
        <f ca="1">IFERROR(__xludf.DUMMYFUNCTION("""COMPUTED_VALUE"""),"No")</f>
        <v>No</v>
      </c>
      <c r="AA38" s="6" t="str">
        <f ca="1">IFERROR(__xludf.DUMMYFUNCTION("""COMPUTED_VALUE"""),"Acepto")</f>
        <v>Acepto</v>
      </c>
      <c r="AB38" s="6" t="str">
        <f ca="1">IFERROR(__xludf.DUMMYFUNCTION("""COMPUTED_VALUE"""),"Terminado")</f>
        <v>Terminado</v>
      </c>
      <c r="AC38" s="6">
        <f ca="1">IFERROR(__xludf.DUMMYFUNCTION("""COMPUTED_VALUE"""),60000)</f>
        <v>60000</v>
      </c>
      <c r="AD38" s="6">
        <f ca="1">IFERROR(__xludf.DUMMYFUNCTION("""COMPUTED_VALUE"""),205156)</f>
        <v>205156</v>
      </c>
      <c r="AE38" s="38" t="str">
        <f ca="1">IFERROR(__xludf.DUMMYFUNCTION("""COMPUTED_VALUE"""),"TRF 31-08")</f>
        <v>TRF 31-08</v>
      </c>
      <c r="AF38" s="38"/>
      <c r="AG38" s="38"/>
      <c r="AH38" s="6"/>
      <c r="AI38" s="6"/>
    </row>
    <row r="39" spans="2:35" ht="13.2">
      <c r="B39" s="68">
        <f ca="1">IFERROR(__xludf.DUMMYFUNCTION("""COMPUTED_VALUE"""),45537.7370849652)</f>
        <v>45537.7370849652</v>
      </c>
      <c r="C39" s="36" t="str">
        <f ca="1">IFERROR(__xludf.DUMMYFUNCTION("""COMPUTED_VALUE"""),"Milagros")</f>
        <v>Milagros</v>
      </c>
      <c r="D39" s="36" t="str">
        <f ca="1">IFERROR(__xludf.DUMMYFUNCTION("""COMPUTED_VALUE"""),"Fagundez Schroder")</f>
        <v>Fagundez Schroder</v>
      </c>
      <c r="E39" s="36" t="str">
        <f ca="1">IFERROR(__xludf.DUMMYFUNCTION("""COMPUTED_VALUE"""),"Montevideo")</f>
        <v>Montevideo</v>
      </c>
      <c r="F39" s="6" t="str">
        <f ca="1">IFERROR(__xludf.DUMMYFUNCTION("""COMPUTED_VALUE"""),"URU")</f>
        <v>URU</v>
      </c>
      <c r="G39" s="6">
        <f ca="1">IFERROR(__xludf.DUMMYFUNCTION("""COMPUTED_VALUE"""),58283967)</f>
        <v>58283967</v>
      </c>
      <c r="H39" s="37">
        <f ca="1">IFERROR(__xludf.DUMMYFUNCTION("""COMPUTED_VALUE"""),40141)</f>
        <v>40141</v>
      </c>
      <c r="I39" s="38" t="str">
        <f ca="1">IFERROR(__xludf.DUMMYFUNCTION("""COMPUTED_VALUE"""),"+59899657571")</f>
        <v>+59899657571</v>
      </c>
      <c r="J39" s="38" t="str">
        <f ca="1">IFERROR(__xludf.DUMMYFUNCTION("""COMPUTED_VALUE"""),"+59899657571")</f>
        <v>+59899657571</v>
      </c>
      <c r="K39" s="38" t="str">
        <f ca="1">IFERROR(__xludf.DUMMYFUNCTION("""COMPUTED_VALUE"""),"31fabricio@gmail.com")</f>
        <v>31fabricio@gmail.com</v>
      </c>
      <c r="L39" s="38" t="str">
        <f ca="1">IFERROR(__xludf.DUMMYFUNCTION("""COMPUTED_VALUE"""),"Femenino")</f>
        <v>Femenino</v>
      </c>
      <c r="M39" s="6" t="str">
        <f ca="1">IFERROR(__xludf.DUMMYFUNCTION("""COMPUTED_VALUE"""),"NYC ")</f>
        <v xml:space="preserve">NYC </v>
      </c>
      <c r="N39" s="38" t="str">
        <f ca="1">IFERROR(__xludf.DUMMYFUNCTION("""COMPUTED_VALUE"""),"Femenino, Interior (Optimist)")</f>
        <v>Femenino, Interior (Optimist)</v>
      </c>
      <c r="O39" s="38" t="str">
        <f ca="1">IFERROR(__xludf.DUMMYFUNCTION("""COMPUTED_VALUE"""),"OPTIMIST TIMONELES")</f>
        <v>OPTIMIST TIMONELES</v>
      </c>
      <c r="P39" s="38"/>
      <c r="Q39" s="6" t="str">
        <f ca="1">IFERROR(__xludf.DUMMYFUNCTION("""COMPUTED_VALUE"""),"URU 460")</f>
        <v>URU 460</v>
      </c>
      <c r="R39" s="38"/>
      <c r="S39" s="38" t="str">
        <f ca="1">IFERROR(__xludf.DUMMYFUNCTION("""COMPUTED_VALUE"""),"Milagros Fagundez Schroder")</f>
        <v>Milagros Fagundez Schroder</v>
      </c>
      <c r="T39" s="38"/>
      <c r="U39" s="38"/>
      <c r="V39" s="38"/>
      <c r="W39" s="38"/>
      <c r="X39" s="38"/>
      <c r="Y39" s="38"/>
      <c r="Z39" s="6" t="str">
        <f ca="1">IFERROR(__xludf.DUMMYFUNCTION("""COMPUTED_VALUE"""),"Si")</f>
        <v>Si</v>
      </c>
      <c r="AA39" s="6" t="str">
        <f ca="1">IFERROR(__xludf.DUMMYFUNCTION("""COMPUTED_VALUE"""),"Acepto")</f>
        <v>Acepto</v>
      </c>
      <c r="AB39" s="6" t="str">
        <f ca="1">IFERROR(__xludf.DUMMYFUNCTION("""COMPUTED_VALUE"""),"Terminado")</f>
        <v>Terminado</v>
      </c>
      <c r="AC39" s="6">
        <f ca="1">IFERROR(__xludf.DUMMYFUNCTION("""COMPUTED_VALUE"""),42500)</f>
        <v>42500</v>
      </c>
      <c r="AD39" s="6">
        <f ca="1">IFERROR(__xludf.DUMMYFUNCTION("""COMPUTED_VALUE"""),205391)</f>
        <v>205391</v>
      </c>
      <c r="AE39" s="38" t="str">
        <f ca="1">IFERROR(__xludf.DUMMYFUNCTION("""COMPUTED_VALUE"""),"TRF 02-09")</f>
        <v>TRF 02-09</v>
      </c>
      <c r="AF39" s="38"/>
      <c r="AG39" s="38"/>
      <c r="AH39" s="6"/>
      <c r="AI39" s="6"/>
    </row>
    <row r="40" spans="2:35" ht="13.2">
      <c r="B40" s="68">
        <f ca="1">IFERROR(__xludf.DUMMYFUNCTION("""COMPUTED_VALUE"""),45534.6420369444)</f>
        <v>45534.642036944402</v>
      </c>
      <c r="C40" s="36" t="str">
        <f ca="1">IFERROR(__xludf.DUMMYFUNCTION("""COMPUTED_VALUE"""),"Justino")</f>
        <v>Justino</v>
      </c>
      <c r="D40" s="36" t="str">
        <f ca="1">IFERROR(__xludf.DUMMYFUNCTION("""COMPUTED_VALUE"""),"Favero")</f>
        <v>Favero</v>
      </c>
      <c r="E40" s="36" t="str">
        <f ca="1">IFERROR(__xludf.DUMMYFUNCTION("""COMPUTED_VALUE"""),"La Plata")</f>
        <v>La Plata</v>
      </c>
      <c r="F40" s="6" t="str">
        <f ca="1">IFERROR(__xludf.DUMMYFUNCTION("""COMPUTED_VALUE"""),"ARG")</f>
        <v>ARG</v>
      </c>
      <c r="G40" s="6">
        <f ca="1">IFERROR(__xludf.DUMMYFUNCTION("""COMPUTED_VALUE"""),49833927)</f>
        <v>49833927</v>
      </c>
      <c r="H40" s="37">
        <f ca="1">IFERROR(__xludf.DUMMYFUNCTION("""COMPUTED_VALUE"""),40112)</f>
        <v>40112</v>
      </c>
      <c r="I40" s="38">
        <f ca="1">IFERROR(__xludf.DUMMYFUNCTION("""COMPUTED_VALUE"""),2215741651)</f>
        <v>2215741651</v>
      </c>
      <c r="J40" s="38">
        <f ca="1">IFERROR(__xludf.DUMMYFUNCTION("""COMPUTED_VALUE"""),2215222133)</f>
        <v>2215222133</v>
      </c>
      <c r="K40" s="38" t="str">
        <f ca="1">IFERROR(__xludf.DUMMYFUNCTION("""COMPUTED_VALUE"""),"mariaeugeniagarciaf@gmail.com")</f>
        <v>mariaeugeniagarciaf@gmail.com</v>
      </c>
      <c r="L40" s="38" t="str">
        <f ca="1">IFERROR(__xludf.DUMMYFUNCTION("""COMPUTED_VALUE"""),"Masculino")</f>
        <v>Masculino</v>
      </c>
      <c r="M40" s="6" t="str">
        <f ca="1">IFERROR(__xludf.DUMMYFUNCTION("""COMPUTED_VALUE"""),"CRLP")</f>
        <v>CRLP</v>
      </c>
      <c r="N40" s="38"/>
      <c r="O40" s="38" t="str">
        <f ca="1">IFERROR(__xludf.DUMMYFUNCTION("""COMPUTED_VALUE"""),"OPTIMIST TIMONELES")</f>
        <v>OPTIMIST TIMONELES</v>
      </c>
      <c r="P40" s="38"/>
      <c r="Q40" s="6">
        <f ca="1">IFERROR(__xludf.DUMMYFUNCTION("""COMPUTED_VALUE"""),3903)</f>
        <v>3903</v>
      </c>
      <c r="R40" s="38"/>
      <c r="S40" s="38"/>
      <c r="T40" s="38"/>
      <c r="U40" s="38"/>
      <c r="V40" s="38"/>
      <c r="W40" s="38"/>
      <c r="X40" s="38"/>
      <c r="Y40" s="38" t="str">
        <f ca="1">IFERROR(__xludf.DUMMYFUNCTION("""COMPUTED_VALUE"""),"IOMA")</f>
        <v>IOMA</v>
      </c>
      <c r="Z40" s="6" t="str">
        <f ca="1">IFERROR(__xludf.DUMMYFUNCTION("""COMPUTED_VALUE"""),"Si")</f>
        <v>Si</v>
      </c>
      <c r="AA40" s="6" t="str">
        <f ca="1">IFERROR(__xludf.DUMMYFUNCTION("""COMPUTED_VALUE"""),"Acepto")</f>
        <v>Acepto</v>
      </c>
      <c r="AB40" s="6" t="str">
        <f ca="1">IFERROR(__xludf.DUMMYFUNCTION("""COMPUTED_VALUE"""),"Terminado")</f>
        <v>Terminado</v>
      </c>
      <c r="AC40" s="6">
        <f ca="1">IFERROR(__xludf.DUMMYFUNCTION("""COMPUTED_VALUE"""),50000)</f>
        <v>50000</v>
      </c>
      <c r="AD40" s="6">
        <f ca="1">IFERROR(__xludf.DUMMYFUNCTION("""COMPUTED_VALUE"""),205124)</f>
        <v>205124</v>
      </c>
      <c r="AE40" s="38" t="str">
        <f ca="1">IFERROR(__xludf.DUMMYFUNCTION("""COMPUTED_VALUE"""),"TRF 30-08")</f>
        <v>TRF 30-08</v>
      </c>
      <c r="AF40" s="38"/>
      <c r="AG40" s="38"/>
      <c r="AH40" s="6"/>
      <c r="AI40" s="6"/>
    </row>
    <row r="41" spans="2:35" ht="13.2">
      <c r="B41" s="68">
        <f ca="1">IFERROR(__xludf.DUMMYFUNCTION("""COMPUTED_VALUE"""),45535.7240782986)</f>
        <v>45535.724078298597</v>
      </c>
      <c r="C41" s="36" t="str">
        <f ca="1">IFERROR(__xludf.DUMMYFUNCTION("""COMPUTED_VALUE"""),"Valentina ")</f>
        <v xml:space="preserve">Valentina </v>
      </c>
      <c r="D41" s="36" t="str">
        <f ca="1">IFERROR(__xludf.DUMMYFUNCTION("""COMPUTED_VALUE"""),"Ferreyra")</f>
        <v>Ferreyra</v>
      </c>
      <c r="E41" s="36" t="str">
        <f ca="1">IFERROR(__xludf.DUMMYFUNCTION("""COMPUTED_VALUE"""),"Zárate ")</f>
        <v xml:space="preserve">Zárate </v>
      </c>
      <c r="F41" s="6" t="str">
        <f ca="1">IFERROR(__xludf.DUMMYFUNCTION("""COMPUTED_VALUE"""),"ARG")</f>
        <v>ARG</v>
      </c>
      <c r="G41" s="6">
        <f ca="1">IFERROR(__xludf.DUMMYFUNCTION("""COMPUTED_VALUE"""),51339867)</f>
        <v>51339867</v>
      </c>
      <c r="H41" s="37">
        <f ca="1">IFERROR(__xludf.DUMMYFUNCTION("""COMPUTED_VALUE"""),40854)</f>
        <v>40854</v>
      </c>
      <c r="I41" s="38">
        <f ca="1">IFERROR(__xludf.DUMMYFUNCTION("""COMPUTED_VALUE"""),3487617188)</f>
        <v>3487617188</v>
      </c>
      <c r="J41" s="38">
        <f ca="1">IFERROR(__xludf.DUMMYFUNCTION("""COMPUTED_VALUE"""),3487617188)</f>
        <v>3487617188</v>
      </c>
      <c r="K41" s="38" t="str">
        <f ca="1">IFERROR(__xludf.DUMMYFUNCTION("""COMPUTED_VALUE"""),"duke_jimegutierrez@hotmail.com")</f>
        <v>duke_jimegutierrez@hotmail.com</v>
      </c>
      <c r="L41" s="38" t="str">
        <f ca="1">IFERROR(__xludf.DUMMYFUNCTION("""COMPUTED_VALUE"""),"Femenino")</f>
        <v>Femenino</v>
      </c>
      <c r="M41" s="6" t="str">
        <f ca="1">IFERROR(__xludf.DUMMYFUNCTION("""COMPUTED_VALUE"""),"CNZ")</f>
        <v>CNZ</v>
      </c>
      <c r="N41" s="38" t="str">
        <f ca="1">IFERROR(__xludf.DUMMYFUNCTION("""COMPUTED_VALUE"""),"Interior (Optimist)")</f>
        <v>Interior (Optimist)</v>
      </c>
      <c r="O41" s="38" t="str">
        <f ca="1">IFERROR(__xludf.DUMMYFUNCTION("""COMPUTED_VALUE"""),"OPTIMIST TIMONELES")</f>
        <v>OPTIMIST TIMONELES</v>
      </c>
      <c r="P41" s="38"/>
      <c r="Q41" s="6">
        <f ca="1">IFERROR(__xludf.DUMMYFUNCTION("""COMPUTED_VALUE"""),4144)</f>
        <v>4144</v>
      </c>
      <c r="R41" s="38"/>
      <c r="S41" s="38"/>
      <c r="T41" s="38"/>
      <c r="U41" s="38"/>
      <c r="V41" s="38"/>
      <c r="W41" s="38"/>
      <c r="X41" s="38"/>
      <c r="Y41" s="38" t="str">
        <f ca="1">IFERROR(__xludf.DUMMYFUNCTION("""COMPUTED_VALUE"""),"Osde")</f>
        <v>Osde</v>
      </c>
      <c r="Z41" s="6" t="str">
        <f ca="1">IFERROR(__xludf.DUMMYFUNCTION("""COMPUTED_VALUE"""),"Si")</f>
        <v>Si</v>
      </c>
      <c r="AA41" s="6" t="str">
        <f ca="1">IFERROR(__xludf.DUMMYFUNCTION("""COMPUTED_VALUE"""),"Acepto")</f>
        <v>Acepto</v>
      </c>
      <c r="AB41" s="6" t="str">
        <f ca="1">IFERROR(__xludf.DUMMYFUNCTION("""COMPUTED_VALUE"""),"Repetido")</f>
        <v>Repetido</v>
      </c>
      <c r="AC41" s="6"/>
      <c r="AD41" s="6"/>
      <c r="AE41" s="38"/>
      <c r="AF41" s="38"/>
      <c r="AG41" s="38"/>
      <c r="AH41" s="6"/>
      <c r="AI41" s="6"/>
    </row>
    <row r="42" spans="2:35" ht="13.2">
      <c r="B42" s="68">
        <f ca="1">IFERROR(__xludf.DUMMYFUNCTION("""COMPUTED_VALUE"""),45535.729173368)</f>
        <v>45535.729173368003</v>
      </c>
      <c r="C42" s="36" t="str">
        <f ca="1">IFERROR(__xludf.DUMMYFUNCTION("""COMPUTED_VALUE"""),"Valentina ")</f>
        <v xml:space="preserve">Valentina </v>
      </c>
      <c r="D42" s="36" t="str">
        <f ca="1">IFERROR(__xludf.DUMMYFUNCTION("""COMPUTED_VALUE"""),"Ferreyra")</f>
        <v>Ferreyra</v>
      </c>
      <c r="E42" s="36" t="str">
        <f ca="1">IFERROR(__xludf.DUMMYFUNCTION("""COMPUTED_VALUE"""),"Zárate ")</f>
        <v xml:space="preserve">Zárate </v>
      </c>
      <c r="F42" s="6" t="str">
        <f ca="1">IFERROR(__xludf.DUMMYFUNCTION("""COMPUTED_VALUE"""),"ARG")</f>
        <v>ARG</v>
      </c>
      <c r="G42" s="6">
        <f ca="1">IFERROR(__xludf.DUMMYFUNCTION("""COMPUTED_VALUE"""),51339867)</f>
        <v>51339867</v>
      </c>
      <c r="H42" s="37">
        <f ca="1">IFERROR(__xludf.DUMMYFUNCTION("""COMPUTED_VALUE"""),40854)</f>
        <v>40854</v>
      </c>
      <c r="I42" s="38">
        <f ca="1">IFERROR(__xludf.DUMMYFUNCTION("""COMPUTED_VALUE"""),3487617188)</f>
        <v>3487617188</v>
      </c>
      <c r="J42" s="38">
        <f ca="1">IFERROR(__xludf.DUMMYFUNCTION("""COMPUTED_VALUE"""),3487617188)</f>
        <v>3487617188</v>
      </c>
      <c r="K42" s="38" t="str">
        <f ca="1">IFERROR(__xludf.DUMMYFUNCTION("""COMPUTED_VALUE"""),"duke_jimegutierrez@hotmail.com")</f>
        <v>duke_jimegutierrez@hotmail.com</v>
      </c>
      <c r="L42" s="38" t="str">
        <f ca="1">IFERROR(__xludf.DUMMYFUNCTION("""COMPUTED_VALUE"""),"Femenino")</f>
        <v>Femenino</v>
      </c>
      <c r="M42" s="6" t="str">
        <f ca="1">IFERROR(__xludf.DUMMYFUNCTION("""COMPUTED_VALUE"""),"CNZ")</f>
        <v>CNZ</v>
      </c>
      <c r="N42" s="38" t="str">
        <f ca="1">IFERROR(__xludf.DUMMYFUNCTION("""COMPUTED_VALUE"""),"Interior (Optimist)")</f>
        <v>Interior (Optimist)</v>
      </c>
      <c r="O42" s="38" t="str">
        <f ca="1">IFERROR(__xludf.DUMMYFUNCTION("""COMPUTED_VALUE"""),"OPTIMIST TIMONELES")</f>
        <v>OPTIMIST TIMONELES</v>
      </c>
      <c r="P42" s="38"/>
      <c r="Q42" s="6">
        <f ca="1">IFERROR(__xludf.DUMMYFUNCTION("""COMPUTED_VALUE"""),4144)</f>
        <v>4144</v>
      </c>
      <c r="R42" s="38"/>
      <c r="S42" s="38"/>
      <c r="T42" s="38"/>
      <c r="U42" s="38"/>
      <c r="V42" s="38"/>
      <c r="W42" s="38"/>
      <c r="X42" s="38"/>
      <c r="Y42" s="38" t="str">
        <f ca="1">IFERROR(__xludf.DUMMYFUNCTION("""COMPUTED_VALUE"""),"Osde")</f>
        <v>Osde</v>
      </c>
      <c r="Z42" s="6" t="str">
        <f ca="1">IFERROR(__xludf.DUMMYFUNCTION("""COMPUTED_VALUE"""),"Si")</f>
        <v>Si</v>
      </c>
      <c r="AA42" s="6" t="str">
        <f ca="1">IFERROR(__xludf.DUMMYFUNCTION("""COMPUTED_VALUE"""),"Acepto")</f>
        <v>Acepto</v>
      </c>
      <c r="AB42" s="6" t="str">
        <f ca="1">IFERROR(__xludf.DUMMYFUNCTION("""COMPUTED_VALUE"""),"Repetido")</f>
        <v>Repetido</v>
      </c>
      <c r="AC42" s="6"/>
      <c r="AD42" s="6"/>
      <c r="AE42" s="38"/>
      <c r="AF42" s="38"/>
      <c r="AG42" s="38"/>
      <c r="AH42" s="6"/>
      <c r="AI42" s="6"/>
    </row>
    <row r="43" spans="2:35" ht="13.2">
      <c r="B43" s="68">
        <f ca="1">IFERROR(__xludf.DUMMYFUNCTION("""COMPUTED_VALUE"""),45535.7330746759)</f>
        <v>45535.733074675903</v>
      </c>
      <c r="C43" s="36" t="str">
        <f ca="1">IFERROR(__xludf.DUMMYFUNCTION("""COMPUTED_VALUE"""),"Valentina ")</f>
        <v xml:space="preserve">Valentina </v>
      </c>
      <c r="D43" s="36" t="str">
        <f ca="1">IFERROR(__xludf.DUMMYFUNCTION("""COMPUTED_VALUE"""),"Ferreyra")</f>
        <v>Ferreyra</v>
      </c>
      <c r="E43" s="36" t="str">
        <f ca="1">IFERROR(__xludf.DUMMYFUNCTION("""COMPUTED_VALUE"""),"Zárate ")</f>
        <v xml:space="preserve">Zárate </v>
      </c>
      <c r="F43" s="6" t="str">
        <f ca="1">IFERROR(__xludf.DUMMYFUNCTION("""COMPUTED_VALUE"""),"ARG")</f>
        <v>ARG</v>
      </c>
      <c r="G43" s="6">
        <f ca="1">IFERROR(__xludf.DUMMYFUNCTION("""COMPUTED_VALUE"""),51339867)</f>
        <v>51339867</v>
      </c>
      <c r="H43" s="37">
        <f ca="1">IFERROR(__xludf.DUMMYFUNCTION("""COMPUTED_VALUE"""),40854)</f>
        <v>40854</v>
      </c>
      <c r="I43" s="38">
        <f ca="1">IFERROR(__xludf.DUMMYFUNCTION("""COMPUTED_VALUE"""),3487617188)</f>
        <v>3487617188</v>
      </c>
      <c r="J43" s="38"/>
      <c r="K43" s="38" t="str">
        <f ca="1">IFERROR(__xludf.DUMMYFUNCTION("""COMPUTED_VALUE"""),"duke_jimegutierrez@hotmail.com")</f>
        <v>duke_jimegutierrez@hotmail.com</v>
      </c>
      <c r="L43" s="38" t="str">
        <f ca="1">IFERROR(__xludf.DUMMYFUNCTION("""COMPUTED_VALUE"""),"Femenino")</f>
        <v>Femenino</v>
      </c>
      <c r="M43" s="6" t="str">
        <f ca="1">IFERROR(__xludf.DUMMYFUNCTION("""COMPUTED_VALUE"""),"CNZ")</f>
        <v>CNZ</v>
      </c>
      <c r="N43" s="38" t="str">
        <f ca="1">IFERROR(__xludf.DUMMYFUNCTION("""COMPUTED_VALUE"""),"Femenino")</f>
        <v>Femenino</v>
      </c>
      <c r="O43" s="38" t="str">
        <f ca="1">IFERROR(__xludf.DUMMYFUNCTION("""COMPUTED_VALUE"""),"OPTIMIST TIMONELES")</f>
        <v>OPTIMIST TIMONELES</v>
      </c>
      <c r="P43" s="38"/>
      <c r="Q43" s="6">
        <f ca="1">IFERROR(__xludf.DUMMYFUNCTION("""COMPUTED_VALUE"""),4144)</f>
        <v>4144</v>
      </c>
      <c r="R43" s="38"/>
      <c r="S43" s="38"/>
      <c r="T43" s="38"/>
      <c r="U43" s="38"/>
      <c r="V43" s="38"/>
      <c r="W43" s="38"/>
      <c r="X43" s="38"/>
      <c r="Y43" s="38" t="str">
        <f ca="1">IFERROR(__xludf.DUMMYFUNCTION("""COMPUTED_VALUE"""),"Osde")</f>
        <v>Osde</v>
      </c>
      <c r="Z43" s="6" t="str">
        <f ca="1">IFERROR(__xludf.DUMMYFUNCTION("""COMPUTED_VALUE"""),"Si")</f>
        <v>Si</v>
      </c>
      <c r="AA43" s="6" t="str">
        <f ca="1">IFERROR(__xludf.DUMMYFUNCTION("""COMPUTED_VALUE"""),"Acepto")</f>
        <v>Acepto</v>
      </c>
      <c r="AB43" s="6" t="str">
        <f ca="1">IFERROR(__xludf.DUMMYFUNCTION("""COMPUTED_VALUE"""),"Repetido")</f>
        <v>Repetido</v>
      </c>
      <c r="AC43" s="6"/>
      <c r="AD43" s="6"/>
      <c r="AE43" s="38"/>
      <c r="AF43" s="38"/>
      <c r="AG43" s="38"/>
      <c r="AH43" s="6"/>
      <c r="AI43" s="6"/>
    </row>
    <row r="44" spans="2:35" ht="13.2">
      <c r="B44" s="68">
        <f ca="1">IFERROR(__xludf.DUMMYFUNCTION("""COMPUTED_VALUE"""),45535.7400792013)</f>
        <v>45535.7400792013</v>
      </c>
      <c r="C44" s="36" t="str">
        <f ca="1">IFERROR(__xludf.DUMMYFUNCTION("""COMPUTED_VALUE"""),"Valentina ")</f>
        <v xml:space="preserve">Valentina </v>
      </c>
      <c r="D44" s="36" t="str">
        <f ca="1">IFERROR(__xludf.DUMMYFUNCTION("""COMPUTED_VALUE"""),"Ferreyra")</f>
        <v>Ferreyra</v>
      </c>
      <c r="E44" s="36" t="str">
        <f ca="1">IFERROR(__xludf.DUMMYFUNCTION("""COMPUTED_VALUE"""),"Zárate ")</f>
        <v xml:space="preserve">Zárate </v>
      </c>
      <c r="F44" s="6" t="str">
        <f ca="1">IFERROR(__xludf.DUMMYFUNCTION("""COMPUTED_VALUE"""),"ARG")</f>
        <v>ARG</v>
      </c>
      <c r="G44" s="6">
        <f ca="1">IFERROR(__xludf.DUMMYFUNCTION("""COMPUTED_VALUE"""),51339867)</f>
        <v>51339867</v>
      </c>
      <c r="H44" s="37">
        <f ca="1">IFERROR(__xludf.DUMMYFUNCTION("""COMPUTED_VALUE"""),40854)</f>
        <v>40854</v>
      </c>
      <c r="I44" s="38">
        <f ca="1">IFERROR(__xludf.DUMMYFUNCTION("""COMPUTED_VALUE"""),3487664811)</f>
        <v>3487664811</v>
      </c>
      <c r="J44" s="38">
        <f ca="1">IFERROR(__xludf.DUMMYFUNCTION("""COMPUTED_VALUE"""),3487664811)</f>
        <v>3487664811</v>
      </c>
      <c r="K44" s="38" t="str">
        <f ca="1">IFERROR(__xludf.DUMMYFUNCTION("""COMPUTED_VALUE"""),"amapizzatti@gmail.com")</f>
        <v>amapizzatti@gmail.com</v>
      </c>
      <c r="L44" s="38" t="str">
        <f ca="1">IFERROR(__xludf.DUMMYFUNCTION("""COMPUTED_VALUE"""),"Femenino")</f>
        <v>Femenino</v>
      </c>
      <c r="M44" s="6" t="str">
        <f ca="1">IFERROR(__xludf.DUMMYFUNCTION("""COMPUTED_VALUE"""),"CNZ")</f>
        <v>CNZ</v>
      </c>
      <c r="N44" s="38" t="str">
        <f ca="1">IFERROR(__xludf.DUMMYFUNCTION("""COMPUTED_VALUE"""),"Femenino")</f>
        <v>Femenino</v>
      </c>
      <c r="O44" s="38" t="str">
        <f ca="1">IFERROR(__xludf.DUMMYFUNCTION("""COMPUTED_VALUE"""),"OPTIMIST TIMONELES")</f>
        <v>OPTIMIST TIMONELES</v>
      </c>
      <c r="P44" s="38"/>
      <c r="Q44" s="6">
        <f ca="1">IFERROR(__xludf.DUMMYFUNCTION("""COMPUTED_VALUE"""),4144)</f>
        <v>4144</v>
      </c>
      <c r="R44" s="38"/>
      <c r="S44" s="38"/>
      <c r="T44" s="38"/>
      <c r="U44" s="38"/>
      <c r="V44" s="38"/>
      <c r="W44" s="38"/>
      <c r="X44" s="38"/>
      <c r="Y44" s="38" t="str">
        <f ca="1">IFERROR(__xludf.DUMMYFUNCTION("""COMPUTED_VALUE"""),"Osde")</f>
        <v>Osde</v>
      </c>
      <c r="Z44" s="6" t="str">
        <f ca="1">IFERROR(__xludf.DUMMYFUNCTION("""COMPUTED_VALUE"""),"Si")</f>
        <v>Si</v>
      </c>
      <c r="AA44" s="6" t="str">
        <f ca="1">IFERROR(__xludf.DUMMYFUNCTION("""COMPUTED_VALUE"""),"Acepto")</f>
        <v>Acepto</v>
      </c>
      <c r="AB44" s="6" t="str">
        <f ca="1">IFERROR(__xludf.DUMMYFUNCTION("""COMPUTED_VALUE"""),"Repetido")</f>
        <v>Repetido</v>
      </c>
      <c r="AC44" s="6"/>
      <c r="AD44" s="6"/>
      <c r="AE44" s="38"/>
      <c r="AF44" s="38"/>
      <c r="AG44" s="38"/>
      <c r="AH44" s="6"/>
      <c r="AI44" s="6"/>
    </row>
    <row r="45" spans="2:35" ht="13.2">
      <c r="B45" s="68">
        <f ca="1">IFERROR(__xludf.DUMMYFUNCTION("""COMPUTED_VALUE"""),45535.7379712615)</f>
        <v>45535.7379712615</v>
      </c>
      <c r="C45" s="36" t="str">
        <f ca="1">IFERROR(__xludf.DUMMYFUNCTION("""COMPUTED_VALUE"""),"Valentina ")</f>
        <v xml:space="preserve">Valentina </v>
      </c>
      <c r="D45" s="36" t="str">
        <f ca="1">IFERROR(__xludf.DUMMYFUNCTION("""COMPUTED_VALUE"""),"Ferreyra ")</f>
        <v xml:space="preserve">Ferreyra </v>
      </c>
      <c r="E45" s="36" t="str">
        <f ca="1">IFERROR(__xludf.DUMMYFUNCTION("""COMPUTED_VALUE"""),"Zárate ")</f>
        <v xml:space="preserve">Zárate </v>
      </c>
      <c r="F45" s="6" t="str">
        <f ca="1">IFERROR(__xludf.DUMMYFUNCTION("""COMPUTED_VALUE"""),"ARG")</f>
        <v>ARG</v>
      </c>
      <c r="G45" s="6">
        <f ca="1">IFERROR(__xludf.DUMMYFUNCTION("""COMPUTED_VALUE"""),51339867)</f>
        <v>51339867</v>
      </c>
      <c r="H45" s="37">
        <f ca="1">IFERROR(__xludf.DUMMYFUNCTION("""COMPUTED_VALUE"""),40854)</f>
        <v>40854</v>
      </c>
      <c r="I45" s="38">
        <f ca="1">IFERROR(__xludf.DUMMYFUNCTION("""COMPUTED_VALUE"""),3487664811)</f>
        <v>3487664811</v>
      </c>
      <c r="J45" s="38">
        <f ca="1">IFERROR(__xludf.DUMMYFUNCTION("""COMPUTED_VALUE"""),3487664811)</f>
        <v>3487664811</v>
      </c>
      <c r="K45" s="38" t="str">
        <f ca="1">IFERROR(__xludf.DUMMYFUNCTION("""COMPUTED_VALUE"""),"jimesvgutierrez@gmail.com")</f>
        <v>jimesvgutierrez@gmail.com</v>
      </c>
      <c r="L45" s="38" t="str">
        <f ca="1">IFERROR(__xludf.DUMMYFUNCTION("""COMPUTED_VALUE"""),"Femenino")</f>
        <v>Femenino</v>
      </c>
      <c r="M45" s="6" t="str">
        <f ca="1">IFERROR(__xludf.DUMMYFUNCTION("""COMPUTED_VALUE"""),"CNZ")</f>
        <v>CNZ</v>
      </c>
      <c r="N45" s="38" t="str">
        <f ca="1">IFERROR(__xludf.DUMMYFUNCTION("""COMPUTED_VALUE"""),"Femenino")</f>
        <v>Femenino</v>
      </c>
      <c r="O45" s="38" t="str">
        <f ca="1">IFERROR(__xludf.DUMMYFUNCTION("""COMPUTED_VALUE"""),"OPTIMIST TIMONELES")</f>
        <v>OPTIMIST TIMONELES</v>
      </c>
      <c r="P45" s="38"/>
      <c r="Q45" s="6">
        <f ca="1">IFERROR(__xludf.DUMMYFUNCTION("""COMPUTED_VALUE"""),4144)</f>
        <v>4144</v>
      </c>
      <c r="R45" s="38"/>
      <c r="S45" s="38"/>
      <c r="T45" s="38"/>
      <c r="U45" s="38"/>
      <c r="V45" s="38"/>
      <c r="W45" s="38"/>
      <c r="X45" s="38"/>
      <c r="Y45" s="38" t="str">
        <f ca="1">IFERROR(__xludf.DUMMYFUNCTION("""COMPUTED_VALUE"""),"Osde")</f>
        <v>Osde</v>
      </c>
      <c r="Z45" s="6" t="str">
        <f ca="1">IFERROR(__xludf.DUMMYFUNCTION("""COMPUTED_VALUE"""),"Si")</f>
        <v>Si</v>
      </c>
      <c r="AA45" s="6" t="str">
        <f ca="1">IFERROR(__xludf.DUMMYFUNCTION("""COMPUTED_VALUE"""),"Acepto")</f>
        <v>Acepto</v>
      </c>
      <c r="AB45" s="6" t="str">
        <f ca="1">IFERROR(__xludf.DUMMYFUNCTION("""COMPUTED_VALUE"""),"Terminado")</f>
        <v>Terminado</v>
      </c>
      <c r="AC45" s="6">
        <f ca="1">IFERROR(__xludf.DUMMYFUNCTION("""COMPUTED_VALUE"""),50000)</f>
        <v>50000</v>
      </c>
      <c r="AD45" s="6">
        <f ca="1">IFERROR(__xludf.DUMMYFUNCTION("""COMPUTED_VALUE"""),205373)</f>
        <v>205373</v>
      </c>
      <c r="AE45" s="38" t="str">
        <f ca="1">IFERROR(__xludf.DUMMYFUNCTION("""COMPUTED_VALUE"""),"TRF 02-09")</f>
        <v>TRF 02-09</v>
      </c>
      <c r="AF45" s="38"/>
      <c r="AG45" s="38"/>
      <c r="AH45" s="6"/>
      <c r="AI45" s="6"/>
    </row>
    <row r="46" spans="2:35" ht="13.2">
      <c r="B46" s="68">
        <f ca="1">IFERROR(__xludf.DUMMYFUNCTION("""COMPUTED_VALUE"""),45531.436452824)</f>
        <v>45531.436452823997</v>
      </c>
      <c r="C46" s="36" t="str">
        <f ca="1">IFERROR(__xludf.DUMMYFUNCTION("""COMPUTED_VALUE"""),"Renata")</f>
        <v>Renata</v>
      </c>
      <c r="D46" s="36" t="str">
        <f ca="1">IFERROR(__xludf.DUMMYFUNCTION("""COMPUTED_VALUE"""),"Fuhrmann")</f>
        <v>Fuhrmann</v>
      </c>
      <c r="E46" s="36" t="str">
        <f ca="1">IFERROR(__xludf.DUMMYFUNCTION("""COMPUTED_VALUE"""),"Buenos Aires")</f>
        <v>Buenos Aires</v>
      </c>
      <c r="F46" s="6" t="str">
        <f ca="1">IFERROR(__xludf.DUMMYFUNCTION("""COMPUTED_VALUE"""),"ARG")</f>
        <v>ARG</v>
      </c>
      <c r="G46" s="6">
        <f ca="1">IFERROR(__xludf.DUMMYFUNCTION("""COMPUTED_VALUE"""),53956527)</f>
        <v>53956527</v>
      </c>
      <c r="H46" s="37">
        <f ca="1">IFERROR(__xludf.DUMMYFUNCTION("""COMPUTED_VALUE"""),41774)</f>
        <v>41774</v>
      </c>
      <c r="I46" s="38" t="str">
        <f ca="1">IFERROR(__xludf.DUMMYFUNCTION("""COMPUTED_VALUE"""),"01160235442")</f>
        <v>01160235442</v>
      </c>
      <c r="J46" s="38" t="str">
        <f ca="1">IFERROR(__xludf.DUMMYFUNCTION("""COMPUTED_VALUE"""),"01167433488")</f>
        <v>01167433488</v>
      </c>
      <c r="K46" s="38" t="str">
        <f ca="1">IFERROR(__xludf.DUMMYFUNCTION("""COMPUTED_VALUE"""),"alejandro.fuhrmann@gmail.com")</f>
        <v>alejandro.fuhrmann@gmail.com</v>
      </c>
      <c r="L46" s="38" t="str">
        <f ca="1">IFERROR(__xludf.DUMMYFUNCTION("""COMPUTED_VALUE"""),"Femenino")</f>
        <v>Femenino</v>
      </c>
      <c r="M46" s="6" t="str">
        <f ca="1">IFERROR(__xludf.DUMMYFUNCTION("""COMPUTED_VALUE"""),"CNAs")</f>
        <v>CNAs</v>
      </c>
      <c r="N46" s="38" t="str">
        <f ca="1">IFERROR(__xludf.DUMMYFUNCTION("""COMPUTED_VALUE"""),"Femenino")</f>
        <v>Femenino</v>
      </c>
      <c r="O46" s="38" t="str">
        <f ca="1">IFERROR(__xludf.DUMMYFUNCTION("""COMPUTED_VALUE"""),"OPTIMIST TIMONELES")</f>
        <v>OPTIMIST TIMONELES</v>
      </c>
      <c r="P46" s="38"/>
      <c r="Q46" s="6">
        <f ca="1">IFERROR(__xludf.DUMMYFUNCTION("""COMPUTED_VALUE"""),3832)</f>
        <v>3832</v>
      </c>
      <c r="R46" s="38" t="str">
        <f ca="1">IFERROR(__xludf.DUMMYFUNCTION("""COMPUTED_VALUE"""),"Chimichanga")</f>
        <v>Chimichanga</v>
      </c>
      <c r="S46" s="38"/>
      <c r="T46" s="38"/>
      <c r="U46" s="38"/>
      <c r="V46" s="38"/>
      <c r="W46" s="38"/>
      <c r="X46" s="38"/>
      <c r="Y46" s="38" t="str">
        <f ca="1">IFERROR(__xludf.DUMMYFUNCTION("""COMPUTED_VALUE"""),"OSDE")</f>
        <v>OSDE</v>
      </c>
      <c r="Z46" s="6" t="str">
        <f ca="1">IFERROR(__xludf.DUMMYFUNCTION("""COMPUTED_VALUE"""),"Si")</f>
        <v>Si</v>
      </c>
      <c r="AA46" s="6" t="str">
        <f ca="1">IFERROR(__xludf.DUMMYFUNCTION("""COMPUTED_VALUE"""),"Acepto")</f>
        <v>Acepto</v>
      </c>
      <c r="AB46" s="6" t="str">
        <f ca="1">IFERROR(__xludf.DUMMYFUNCTION("""COMPUTED_VALUE"""),"Terminado")</f>
        <v>Terminado</v>
      </c>
      <c r="AC46" s="6">
        <f ca="1">IFERROR(__xludf.DUMMYFUNCTION("""COMPUTED_VALUE"""),50000)</f>
        <v>50000</v>
      </c>
      <c r="AD46" s="6">
        <f ca="1">IFERROR(__xludf.DUMMYFUNCTION("""COMPUTED_VALUE"""),205096)</f>
        <v>205096</v>
      </c>
      <c r="AE46" s="38" t="str">
        <f ca="1">IFERROR(__xludf.DUMMYFUNCTION("""COMPUTED_VALUE"""),"TRF 30-08")</f>
        <v>TRF 30-08</v>
      </c>
      <c r="AF46" s="38"/>
      <c r="AG46" s="38"/>
      <c r="AH46" s="6"/>
      <c r="AI46" s="6"/>
    </row>
    <row r="47" spans="2:35" ht="13.2">
      <c r="B47" s="68">
        <f ca="1">IFERROR(__xludf.DUMMYFUNCTION("""COMPUTED_VALUE"""),45535.4348975231)</f>
        <v>45535.434897523097</v>
      </c>
      <c r="C47" s="36" t="str">
        <f ca="1">IFERROR(__xludf.DUMMYFUNCTION("""COMPUTED_VALUE"""),"Damasia")</f>
        <v>Damasia</v>
      </c>
      <c r="D47" s="36" t="str">
        <f ca="1">IFERROR(__xludf.DUMMYFUNCTION("""COMPUTED_VALUE"""),"García Canteli ")</f>
        <v xml:space="preserve">García Canteli </v>
      </c>
      <c r="E47" s="36" t="str">
        <f ca="1">IFERROR(__xludf.DUMMYFUNCTION("""COMPUTED_VALUE"""),"Tigre")</f>
        <v>Tigre</v>
      </c>
      <c r="F47" s="6" t="str">
        <f ca="1">IFERROR(__xludf.DUMMYFUNCTION("""COMPUTED_VALUE"""),"ARG")</f>
        <v>ARG</v>
      </c>
      <c r="G47" s="6">
        <f ca="1">IFERROR(__xludf.DUMMYFUNCTION("""COMPUTED_VALUE"""),50435588)</f>
        <v>50435588</v>
      </c>
      <c r="H47" s="37">
        <f ca="1">IFERROR(__xludf.DUMMYFUNCTION("""COMPUTED_VALUE"""),40374)</f>
        <v>40374</v>
      </c>
      <c r="I47" s="38">
        <f ca="1">IFERROR(__xludf.DUMMYFUNCTION("""COMPUTED_VALUE"""),1144379842)</f>
        <v>1144379842</v>
      </c>
      <c r="J47" s="38">
        <f ca="1">IFERROR(__xludf.DUMMYFUNCTION("""COMPUTED_VALUE"""),1144379842)</f>
        <v>1144379842</v>
      </c>
      <c r="K47" s="38" t="str">
        <f ca="1">IFERROR(__xludf.DUMMYFUNCTION("""COMPUTED_VALUE"""),"ignagcanteli@yahoo.com.ar")</f>
        <v>ignagcanteli@yahoo.com.ar</v>
      </c>
      <c r="L47" s="38" t="str">
        <f ca="1">IFERROR(__xludf.DUMMYFUNCTION("""COMPUTED_VALUE"""),"Femenino")</f>
        <v>Femenino</v>
      </c>
      <c r="M47" s="6" t="str">
        <f ca="1">IFERROR(__xludf.DUMMYFUNCTION("""COMPUTED_VALUE"""),"CNSI")</f>
        <v>CNSI</v>
      </c>
      <c r="N47" s="38" t="str">
        <f ca="1">IFERROR(__xludf.DUMMYFUNCTION("""COMPUTED_VALUE"""),"Femenino")</f>
        <v>Femenino</v>
      </c>
      <c r="O47" s="38" t="str">
        <f ca="1">IFERROR(__xludf.DUMMYFUNCTION("""COMPUTED_VALUE"""),"OPTIMIST TIMONELES")</f>
        <v>OPTIMIST TIMONELES</v>
      </c>
      <c r="P47" s="38"/>
      <c r="Q47" s="6">
        <f ca="1">IFERROR(__xludf.DUMMYFUNCTION("""COMPUTED_VALUE"""),3823)</f>
        <v>3823</v>
      </c>
      <c r="R47" s="38" t="str">
        <f ca="1">IFERROR(__xludf.DUMMYFUNCTION("""COMPUTED_VALUE"""),"Damasia")</f>
        <v>Damasia</v>
      </c>
      <c r="S47" s="38"/>
      <c r="T47" s="38"/>
      <c r="U47" s="38"/>
      <c r="V47" s="38"/>
      <c r="W47" s="38"/>
      <c r="X47" s="38"/>
      <c r="Y47" s="38" t="str">
        <f ca="1">IFERROR(__xludf.DUMMYFUNCTION("""COMPUTED_VALUE"""),"OSDE 410")</f>
        <v>OSDE 410</v>
      </c>
      <c r="Z47" s="6" t="str">
        <f ca="1">IFERROR(__xludf.DUMMYFUNCTION("""COMPUTED_VALUE"""),"No")</f>
        <v>No</v>
      </c>
      <c r="AA47" s="6" t="str">
        <f ca="1">IFERROR(__xludf.DUMMYFUNCTION("""COMPUTED_VALUE"""),"Acepto")</f>
        <v>Acepto</v>
      </c>
      <c r="AB47" s="6" t="str">
        <f ca="1">IFERROR(__xludf.DUMMYFUNCTION("""COMPUTED_VALUE"""),"Terminado")</f>
        <v>Terminado</v>
      </c>
      <c r="AC47" s="6">
        <f ca="1">IFERROR(__xludf.DUMMYFUNCTION("""COMPUTED_VALUE"""),50000)</f>
        <v>50000</v>
      </c>
      <c r="AD47" s="6">
        <f ca="1">IFERROR(__xludf.DUMMYFUNCTION("""COMPUTED_VALUE"""),205352)</f>
        <v>205352</v>
      </c>
      <c r="AE47" s="38" t="str">
        <f ca="1">IFERROR(__xludf.DUMMYFUNCTION("""COMPUTED_VALUE"""),"TRF 31-08")</f>
        <v>TRF 31-08</v>
      </c>
      <c r="AF47" s="38"/>
      <c r="AG47" s="38"/>
      <c r="AH47" s="6"/>
      <c r="AI47" s="6"/>
    </row>
    <row r="48" spans="2:35" ht="13.2">
      <c r="B48" s="68">
        <f ca="1">IFERROR(__xludf.DUMMYFUNCTION("""COMPUTED_VALUE"""),45535.6599653009)</f>
        <v>45535.659965300903</v>
      </c>
      <c r="C48" s="36" t="str">
        <f ca="1">IFERROR(__xludf.DUMMYFUNCTION("""COMPUTED_VALUE"""),"Matias Uriel")</f>
        <v>Matias Uriel</v>
      </c>
      <c r="D48" s="36" t="str">
        <f ca="1">IFERROR(__xludf.DUMMYFUNCTION("""COMPUTED_VALUE"""),"García Cecolisio")</f>
        <v>García Cecolisio</v>
      </c>
      <c r="E48" s="36" t="str">
        <f ca="1">IFERROR(__xludf.DUMMYFUNCTION("""COMPUTED_VALUE"""),"San Isidro")</f>
        <v>San Isidro</v>
      </c>
      <c r="F48" s="6" t="str">
        <f ca="1">IFERROR(__xludf.DUMMYFUNCTION("""COMPUTED_VALUE"""),"ARG")</f>
        <v>ARG</v>
      </c>
      <c r="G48" s="6">
        <f ca="1">IFERROR(__xludf.DUMMYFUNCTION("""COMPUTED_VALUE"""),49313131)</f>
        <v>49313131</v>
      </c>
      <c r="H48" s="37">
        <f ca="1">IFERROR(__xludf.DUMMYFUNCTION("""COMPUTED_VALUE"""),39860)</f>
        <v>39860</v>
      </c>
      <c r="I48" s="38">
        <f ca="1">IFERROR(__xludf.DUMMYFUNCTION("""COMPUTED_VALUE"""),1136996219)</f>
        <v>1136996219</v>
      </c>
      <c r="J48" s="38">
        <f ca="1">IFERROR(__xludf.DUMMYFUNCTION("""COMPUTED_VALUE"""),1136996219)</f>
        <v>1136996219</v>
      </c>
      <c r="K48" s="38" t="str">
        <f ca="1">IFERROR(__xludf.DUMMYFUNCTION("""COMPUTED_VALUE"""),"gfgg100@yahoo.com.ar")</f>
        <v>gfgg100@yahoo.com.ar</v>
      </c>
      <c r="L48" s="38" t="str">
        <f ca="1">IFERROR(__xludf.DUMMYFUNCTION("""COMPUTED_VALUE"""),"Masculino")</f>
        <v>Masculino</v>
      </c>
      <c r="M48" s="6" t="str">
        <f ca="1">IFERROR(__xludf.DUMMYFUNCTION("""COMPUTED_VALUE"""),"CNGSM")</f>
        <v>CNGSM</v>
      </c>
      <c r="N48" s="38" t="str">
        <f ca="1">IFERROR(__xludf.DUMMYFUNCTION("""COMPUTED_VALUE"""),"Optimist")</f>
        <v>Optimist</v>
      </c>
      <c r="O48" s="38" t="str">
        <f ca="1">IFERROR(__xludf.DUMMYFUNCTION("""COMPUTED_VALUE"""),"OPTIMIST TIMONELES")</f>
        <v>OPTIMIST TIMONELES</v>
      </c>
      <c r="P48" s="38"/>
      <c r="Q48" s="6">
        <f ca="1">IFERROR(__xludf.DUMMYFUNCTION("""COMPUTED_VALUE"""),2984)</f>
        <v>2984</v>
      </c>
      <c r="R48" s="38" t="str">
        <f ca="1">IFERROR(__xludf.DUMMYFUNCTION("""COMPUTED_VALUE"""),"Pegasso")</f>
        <v>Pegasso</v>
      </c>
      <c r="S48" s="38"/>
      <c r="T48" s="38"/>
      <c r="U48" s="38"/>
      <c r="V48" s="38"/>
      <c r="W48" s="38"/>
      <c r="X48" s="38"/>
      <c r="Y48" s="38">
        <f ca="1">IFERROR(__xludf.DUMMYFUNCTION("""COMPUTED_VALUE"""),60849216602)</f>
        <v>60849216602</v>
      </c>
      <c r="Z48" s="6" t="str">
        <f ca="1">IFERROR(__xludf.DUMMYFUNCTION("""COMPUTED_VALUE"""),"No")</f>
        <v>No</v>
      </c>
      <c r="AA48" s="6" t="str">
        <f ca="1">IFERROR(__xludf.DUMMYFUNCTION("""COMPUTED_VALUE"""),"Acepto")</f>
        <v>Acepto</v>
      </c>
      <c r="AB48" s="6" t="str">
        <f ca="1">IFERROR(__xludf.DUMMYFUNCTION("""COMPUTED_VALUE"""),"Terminado")</f>
        <v>Terminado</v>
      </c>
      <c r="AC48" s="6">
        <f ca="1">IFERROR(__xludf.DUMMYFUNCTION("""COMPUTED_VALUE"""),50000)</f>
        <v>50000</v>
      </c>
      <c r="AD48" s="6">
        <f ca="1">IFERROR(__xludf.DUMMYFUNCTION("""COMPUTED_VALUE"""),205360)</f>
        <v>205360</v>
      </c>
      <c r="AE48" s="38" t="str">
        <f ca="1">IFERROR(__xludf.DUMMYFUNCTION("""COMPUTED_VALUE"""),"TRF 31-08")</f>
        <v>TRF 31-08</v>
      </c>
      <c r="AF48" s="38"/>
      <c r="AG48" s="38"/>
      <c r="AH48" s="6"/>
      <c r="AI48" s="6"/>
    </row>
    <row r="49" spans="2:35" ht="13.2">
      <c r="B49" s="68">
        <f ca="1">IFERROR(__xludf.DUMMYFUNCTION("""COMPUTED_VALUE"""),45524.5652235185)</f>
        <v>45524.565223518497</v>
      </c>
      <c r="C49" s="36" t="str">
        <f ca="1">IFERROR(__xludf.DUMMYFUNCTION("""COMPUTED_VALUE"""),"Lara")</f>
        <v>Lara</v>
      </c>
      <c r="D49" s="36" t="str">
        <f ca="1">IFERROR(__xludf.DUMMYFUNCTION("""COMPUTED_VALUE"""),"Gherghi")</f>
        <v>Gherghi</v>
      </c>
      <c r="E49" s="36" t="str">
        <f ca="1">IFERROR(__xludf.DUMMYFUNCTION("""COMPUTED_VALUE"""),"Buenos Aires")</f>
        <v>Buenos Aires</v>
      </c>
      <c r="F49" s="6" t="str">
        <f ca="1">IFERROR(__xludf.DUMMYFUNCTION("""COMPUTED_VALUE"""),"ARG")</f>
        <v>ARG</v>
      </c>
      <c r="G49" s="6">
        <f ca="1">IFERROR(__xludf.DUMMYFUNCTION("""COMPUTED_VALUE"""),52672616)</f>
        <v>52672616</v>
      </c>
      <c r="H49" s="37">
        <f ca="1">IFERROR(__xludf.DUMMYFUNCTION("""COMPUTED_VALUE"""),41142)</f>
        <v>41142</v>
      </c>
      <c r="I49" s="38">
        <f ca="1">IFERROR(__xludf.DUMMYFUNCTION("""COMPUTED_VALUE"""),1158200952)</f>
        <v>1158200952</v>
      </c>
      <c r="J49" s="38">
        <f ca="1">IFERROR(__xludf.DUMMYFUNCTION("""COMPUTED_VALUE"""),1140307230)</f>
        <v>1140307230</v>
      </c>
      <c r="K49" s="38" t="str">
        <f ca="1">IFERROR(__xludf.DUMMYFUNCTION("""COMPUTED_VALUE"""),"jagherghi@gmail.com")</f>
        <v>jagherghi@gmail.com</v>
      </c>
      <c r="L49" s="38" t="str">
        <f ca="1">IFERROR(__xludf.DUMMYFUNCTION("""COMPUTED_VALUE"""),"Femenino")</f>
        <v>Femenino</v>
      </c>
      <c r="M49" s="6" t="str">
        <f ca="1">IFERROR(__xludf.DUMMYFUNCTION("""COMPUTED_VALUE"""),"YCO")</f>
        <v>YCO</v>
      </c>
      <c r="N49" s="38" t="str">
        <f ca="1">IFERROR(__xludf.DUMMYFUNCTION("""COMPUTED_VALUE"""),"Femenino")</f>
        <v>Femenino</v>
      </c>
      <c r="O49" s="38" t="str">
        <f ca="1">IFERROR(__xludf.DUMMYFUNCTION("""COMPUTED_VALUE"""),"OPTIMIST TIMONELES")</f>
        <v>OPTIMIST TIMONELES</v>
      </c>
      <c r="P49" s="38"/>
      <c r="Q49" s="6">
        <f ca="1">IFERROR(__xludf.DUMMYFUNCTION("""COMPUTED_VALUE"""),3892)</f>
        <v>3892</v>
      </c>
      <c r="R49" s="38"/>
      <c r="S49" s="38"/>
      <c r="T49" s="38"/>
      <c r="U49" s="38"/>
      <c r="V49" s="38"/>
      <c r="W49" s="38"/>
      <c r="X49" s="38"/>
      <c r="Y49" s="38" t="str">
        <f ca="1">IFERROR(__xludf.DUMMYFUNCTION("""COMPUTED_VALUE"""),"Hospital Alemán ")</f>
        <v xml:space="preserve">Hospital Alemán </v>
      </c>
      <c r="Z49" s="6" t="str">
        <f ca="1">IFERROR(__xludf.DUMMYFUNCTION("""COMPUTED_VALUE"""),"Si")</f>
        <v>Si</v>
      </c>
      <c r="AA49" s="6" t="str">
        <f ca="1">IFERROR(__xludf.DUMMYFUNCTION("""COMPUTED_VALUE"""),"Acepto")</f>
        <v>Acepto</v>
      </c>
      <c r="AB49" s="6" t="str">
        <f ca="1">IFERROR(__xludf.DUMMYFUNCTION("""COMPUTED_VALUE"""),"Terminado")</f>
        <v>Terminado</v>
      </c>
      <c r="AC49" s="6">
        <f ca="1">IFERROR(__xludf.DUMMYFUNCTION("""COMPUTED_VALUE"""),50000)</f>
        <v>50000</v>
      </c>
      <c r="AD49" s="6"/>
      <c r="AE49" s="38" t="str">
        <f ca="1">IFERROR(__xludf.DUMMYFUNCTION("""COMPUTED_VALUE"""),"AF")</f>
        <v>AF</v>
      </c>
      <c r="AF49" s="38"/>
      <c r="AG49" s="38"/>
      <c r="AH49" s="6"/>
      <c r="AI49" s="6"/>
    </row>
    <row r="50" spans="2:35" ht="13.2">
      <c r="B50" s="68">
        <f ca="1">IFERROR(__xludf.DUMMYFUNCTION("""COMPUTED_VALUE"""),45538.4607017361)</f>
        <v>45538.460701736098</v>
      </c>
      <c r="C50" s="36" t="str">
        <f ca="1">IFERROR(__xludf.DUMMYFUNCTION("""COMPUTED_VALUE"""),"Isabel")</f>
        <v>Isabel</v>
      </c>
      <c r="D50" s="36" t="str">
        <f ca="1">IFERROR(__xludf.DUMMYFUNCTION("""COMPUTED_VALUE"""),"Gibert")</f>
        <v>Gibert</v>
      </c>
      <c r="E50" s="36" t="str">
        <f ca="1">IFERROR(__xludf.DUMMYFUNCTION("""COMPUTED_VALUE"""),"CABA")</f>
        <v>CABA</v>
      </c>
      <c r="F50" s="6" t="str">
        <f ca="1">IFERROR(__xludf.DUMMYFUNCTION("""COMPUTED_VALUE"""),"ARG")</f>
        <v>ARG</v>
      </c>
      <c r="G50" s="6">
        <f ca="1">IFERROR(__xludf.DUMMYFUNCTION("""COMPUTED_VALUE"""),49759489)</f>
        <v>49759489</v>
      </c>
      <c r="H50" s="37">
        <f ca="1">IFERROR(__xludf.DUMMYFUNCTION("""COMPUTED_VALUE"""),40106)</f>
        <v>40106</v>
      </c>
      <c r="I50" s="38">
        <f ca="1">IFERROR(__xludf.DUMMYFUNCTION("""COMPUTED_VALUE"""),1164117291)</f>
        <v>1164117291</v>
      </c>
      <c r="J50" s="38" t="str">
        <f ca="1">IFERROR(__xludf.DUMMYFUNCTION("""COMPUTED_VALUE"""),"idem")</f>
        <v>idem</v>
      </c>
      <c r="K50" s="38" t="str">
        <f ca="1">IFERROR(__xludf.DUMMYFUNCTION("""COMPUTED_VALUE"""),"marianogibert3@gmail.com")</f>
        <v>marianogibert3@gmail.com</v>
      </c>
      <c r="L50" s="38" t="str">
        <f ca="1">IFERROR(__xludf.DUMMYFUNCTION("""COMPUTED_VALUE"""),"Femenino")</f>
        <v>Femenino</v>
      </c>
      <c r="M50" s="6" t="str">
        <f ca="1">IFERROR(__xludf.DUMMYFUNCTION("""COMPUTED_VALUE"""),"CUBA")</f>
        <v>CUBA</v>
      </c>
      <c r="N50" s="38"/>
      <c r="O50" s="38" t="str">
        <f ca="1">IFERROR(__xludf.DUMMYFUNCTION("""COMPUTED_VALUE"""),"OPTIMIST TIMONELES")</f>
        <v>OPTIMIST TIMONELES</v>
      </c>
      <c r="P50" s="38"/>
      <c r="Q50" s="6">
        <f ca="1">IFERROR(__xludf.DUMMYFUNCTION("""COMPUTED_VALUE"""),3995)</f>
        <v>3995</v>
      </c>
      <c r="R50" s="38"/>
      <c r="S50" s="38"/>
      <c r="T50" s="38"/>
      <c r="U50" s="38"/>
      <c r="V50" s="38"/>
      <c r="W50" s="38"/>
      <c r="X50" s="38"/>
      <c r="Y50" s="38" t="str">
        <f ca="1">IFERROR(__xludf.DUMMYFUNCTION("""COMPUTED_VALUE"""),"Swiss Medical 8000067256809 03 1040")</f>
        <v>Swiss Medical 8000067256809 03 1040</v>
      </c>
      <c r="Z50" s="6" t="str">
        <f ca="1">IFERROR(__xludf.DUMMYFUNCTION("""COMPUTED_VALUE"""),"No")</f>
        <v>No</v>
      </c>
      <c r="AA50" s="6" t="str">
        <f ca="1">IFERROR(__xludf.DUMMYFUNCTION("""COMPUTED_VALUE"""),"Acepto")</f>
        <v>Acepto</v>
      </c>
      <c r="AB50" s="6" t="str">
        <f ca="1">IFERROR(__xludf.DUMMYFUNCTION("""COMPUTED_VALUE"""),"Pendiente")</f>
        <v>Pendiente</v>
      </c>
      <c r="AC50" s="6"/>
      <c r="AD50" s="6"/>
      <c r="AE50" s="38"/>
      <c r="AF50" s="38"/>
      <c r="AG50" s="38"/>
      <c r="AH50" s="6"/>
      <c r="AI50" s="6"/>
    </row>
    <row r="51" spans="2:35" ht="13.2">
      <c r="B51" s="68">
        <f ca="1">IFERROR(__xludf.DUMMYFUNCTION("""COMPUTED_VALUE"""),45538.4633705439)</f>
        <v>45538.463370543897</v>
      </c>
      <c r="C51" s="36" t="str">
        <f ca="1">IFERROR(__xludf.DUMMYFUNCTION("""COMPUTED_VALUE"""),"Fermin")</f>
        <v>Fermin</v>
      </c>
      <c r="D51" s="36" t="str">
        <f ca="1">IFERROR(__xludf.DUMMYFUNCTION("""COMPUTED_VALUE"""),"Gibert")</f>
        <v>Gibert</v>
      </c>
      <c r="E51" s="36" t="str">
        <f ca="1">IFERROR(__xludf.DUMMYFUNCTION("""COMPUTED_VALUE"""),"CABA")</f>
        <v>CABA</v>
      </c>
      <c r="F51" s="6" t="str">
        <f ca="1">IFERROR(__xludf.DUMMYFUNCTION("""COMPUTED_VALUE"""),"ARG")</f>
        <v>ARG</v>
      </c>
      <c r="G51" s="6">
        <f ca="1">IFERROR(__xludf.DUMMYFUNCTION("""COMPUTED_VALUE"""),52861772)</f>
        <v>52861772</v>
      </c>
      <c r="H51" s="37">
        <f ca="1">IFERROR(__xludf.DUMMYFUNCTION("""COMPUTED_VALUE"""),41269)</f>
        <v>41269</v>
      </c>
      <c r="I51" s="38">
        <f ca="1">IFERROR(__xludf.DUMMYFUNCTION("""COMPUTED_VALUE"""),1164117291)</f>
        <v>1164117291</v>
      </c>
      <c r="J51" s="38" t="str">
        <f ca="1">IFERROR(__xludf.DUMMYFUNCTION("""COMPUTED_VALUE"""),"idem")</f>
        <v>idem</v>
      </c>
      <c r="K51" s="38" t="str">
        <f ca="1">IFERROR(__xludf.DUMMYFUNCTION("""COMPUTED_VALUE"""),"marianogibert3@gmail.com")</f>
        <v>marianogibert3@gmail.com</v>
      </c>
      <c r="L51" s="38" t="str">
        <f ca="1">IFERROR(__xludf.DUMMYFUNCTION("""COMPUTED_VALUE"""),"Masculino")</f>
        <v>Masculino</v>
      </c>
      <c r="M51" s="6" t="str">
        <f ca="1">IFERROR(__xludf.DUMMYFUNCTION("""COMPUTED_VALUE"""),"CUBA")</f>
        <v>CUBA</v>
      </c>
      <c r="N51" s="38"/>
      <c r="O51" s="38" t="str">
        <f ca="1">IFERROR(__xludf.DUMMYFUNCTION("""COMPUTED_VALUE"""),"OPTIMIST TIMONELES")</f>
        <v>OPTIMIST TIMONELES</v>
      </c>
      <c r="P51" s="38"/>
      <c r="Q51" s="6">
        <f ca="1">IFERROR(__xludf.DUMMYFUNCTION("""COMPUTED_VALUE"""),3645)</f>
        <v>3645</v>
      </c>
      <c r="R51" s="38"/>
      <c r="S51" s="38"/>
      <c r="T51" s="38"/>
      <c r="U51" s="38"/>
      <c r="V51" s="38"/>
      <c r="W51" s="38"/>
      <c r="X51" s="38"/>
      <c r="Y51" s="38" t="str">
        <f ca="1">IFERROR(__xludf.DUMMYFUNCTION("""COMPUTED_VALUE"""),"Swiss Medical 800006 7256809 04 1015")</f>
        <v>Swiss Medical 800006 7256809 04 1015</v>
      </c>
      <c r="Z51" s="6" t="str">
        <f ca="1">IFERROR(__xludf.DUMMYFUNCTION("""COMPUTED_VALUE"""),"No")</f>
        <v>No</v>
      </c>
      <c r="AA51" s="6" t="str">
        <f ca="1">IFERROR(__xludf.DUMMYFUNCTION("""COMPUTED_VALUE"""),"Acepto")</f>
        <v>Acepto</v>
      </c>
      <c r="AB51" s="6" t="str">
        <f ca="1">IFERROR(__xludf.DUMMYFUNCTION("""COMPUTED_VALUE"""),"Pendiente")</f>
        <v>Pendiente</v>
      </c>
      <c r="AC51" s="6"/>
      <c r="AD51" s="6"/>
      <c r="AE51" s="38"/>
      <c r="AF51" s="38"/>
      <c r="AG51" s="38"/>
      <c r="AH51" s="6"/>
      <c r="AI51" s="6"/>
    </row>
    <row r="52" spans="2:35" ht="13.2">
      <c r="B52" s="68">
        <f ca="1">IFERROR(__xludf.DUMMYFUNCTION("""COMPUTED_VALUE"""),45530.4563375578)</f>
        <v>45530.4563375578</v>
      </c>
      <c r="C52" s="36" t="str">
        <f ca="1">IFERROR(__xludf.DUMMYFUNCTION("""COMPUTED_VALUE"""),"Salvador")</f>
        <v>Salvador</v>
      </c>
      <c r="D52" s="36" t="str">
        <f ca="1">IFERROR(__xludf.DUMMYFUNCTION("""COMPUTED_VALUE"""),"Goldenberg")</f>
        <v>Goldenberg</v>
      </c>
      <c r="E52" s="36" t="str">
        <f ca="1">IFERROR(__xludf.DUMMYFUNCTION("""COMPUTED_VALUE"""),"La Plata")</f>
        <v>La Plata</v>
      </c>
      <c r="F52" s="6" t="str">
        <f ca="1">IFERROR(__xludf.DUMMYFUNCTION("""COMPUTED_VALUE"""),"ARG")</f>
        <v>ARG</v>
      </c>
      <c r="G52" s="6">
        <f ca="1">IFERROR(__xludf.DUMMYFUNCTION("""COMPUTED_VALUE"""),49435224)</f>
        <v>49435224</v>
      </c>
      <c r="H52" s="37">
        <f ca="1">IFERROR(__xludf.DUMMYFUNCTION("""COMPUTED_VALUE"""),39910)</f>
        <v>39910</v>
      </c>
      <c r="I52" s="38" t="str">
        <f ca="1">IFERROR(__xludf.DUMMYFUNCTION("""COMPUTED_VALUE"""),"+54 911 49353140")</f>
        <v>+54 911 49353140</v>
      </c>
      <c r="J52" s="38" t="str">
        <f ca="1">IFERROR(__xludf.DUMMYFUNCTION("""COMPUTED_VALUE"""),"+54 911 68279679")</f>
        <v>+54 911 68279679</v>
      </c>
      <c r="K52" s="38" t="str">
        <f ca="1">IFERROR(__xludf.DUMMYFUNCTION("""COMPUTED_VALUE"""),"demiangoldenberg@gmail.com")</f>
        <v>demiangoldenberg@gmail.com</v>
      </c>
      <c r="L52" s="38" t="str">
        <f ca="1">IFERROR(__xludf.DUMMYFUNCTION("""COMPUTED_VALUE"""),"Masculino")</f>
        <v>Masculino</v>
      </c>
      <c r="M52" s="6" t="str">
        <f ca="1">IFERROR(__xludf.DUMMYFUNCTION("""COMPUTED_VALUE"""),"CRLP")</f>
        <v>CRLP</v>
      </c>
      <c r="N52" s="38"/>
      <c r="O52" s="38" t="str">
        <f ca="1">IFERROR(__xludf.DUMMYFUNCTION("""COMPUTED_VALUE"""),"OPTIMIST TIMONELES")</f>
        <v>OPTIMIST TIMONELES</v>
      </c>
      <c r="P52" s="38"/>
      <c r="Q52" s="6">
        <f ca="1">IFERROR(__xludf.DUMMYFUNCTION("""COMPUTED_VALUE"""),3753)</f>
        <v>3753</v>
      </c>
      <c r="R52" s="38"/>
      <c r="S52" s="38"/>
      <c r="T52" s="38"/>
      <c r="U52" s="38"/>
      <c r="V52" s="38"/>
      <c r="W52" s="38"/>
      <c r="X52" s="38"/>
      <c r="Y52" s="38" t="str">
        <f ca="1">IFERROR(__xludf.DUMMYFUNCTION("""COMPUTED_VALUE"""),"14543002 DOSUBA")</f>
        <v>14543002 DOSUBA</v>
      </c>
      <c r="Z52" s="6" t="str">
        <f ca="1">IFERROR(__xludf.DUMMYFUNCTION("""COMPUTED_VALUE"""),"Si")</f>
        <v>Si</v>
      </c>
      <c r="AA52" s="6" t="str">
        <f ca="1">IFERROR(__xludf.DUMMYFUNCTION("""COMPUTED_VALUE"""),"Acepto")</f>
        <v>Acepto</v>
      </c>
      <c r="AB52" s="6" t="str">
        <f ca="1">IFERROR(__xludf.DUMMYFUNCTION("""COMPUTED_VALUE"""),"Terminado")</f>
        <v>Terminado</v>
      </c>
      <c r="AC52" s="6">
        <f ca="1">IFERROR(__xludf.DUMMYFUNCTION("""COMPUTED_VALUE"""),60000)</f>
        <v>60000</v>
      </c>
      <c r="AD52" s="6">
        <f ca="1">IFERROR(__xludf.DUMMYFUNCTION("""COMPUTED_VALUE"""),205052)</f>
        <v>205052</v>
      </c>
      <c r="AE52" s="38" t="str">
        <f ca="1">IFERROR(__xludf.DUMMYFUNCTION("""COMPUTED_VALUE"""),"TRF 23-08")</f>
        <v>TRF 23-08</v>
      </c>
      <c r="AF52" s="38"/>
      <c r="AG52" s="38"/>
      <c r="AH52" s="6"/>
      <c r="AI52" s="6"/>
    </row>
    <row r="53" spans="2:35" ht="13.2">
      <c r="B53" s="68">
        <f ca="1">IFERROR(__xludf.DUMMYFUNCTION("""COMPUTED_VALUE"""),45537.7486644212)</f>
        <v>45537.748664421197</v>
      </c>
      <c r="C53" s="36" t="str">
        <f ca="1">IFERROR(__xludf.DUMMYFUNCTION("""COMPUTED_VALUE"""),"Miranda")</f>
        <v>Miranda</v>
      </c>
      <c r="D53" s="36" t="str">
        <f ca="1">IFERROR(__xludf.DUMMYFUNCTION("""COMPUTED_VALUE"""),"Goncalves borrega")</f>
        <v>Goncalves borrega</v>
      </c>
      <c r="E53" s="36" t="str">
        <f ca="1">IFERROR(__xludf.DUMMYFUNCTION("""COMPUTED_VALUE"""),"Montevideo")</f>
        <v>Montevideo</v>
      </c>
      <c r="F53" s="6" t="str">
        <f ca="1">IFERROR(__xludf.DUMMYFUNCTION("""COMPUTED_VALUE"""),"URU")</f>
        <v>URU</v>
      </c>
      <c r="G53" s="6">
        <f ca="1">IFERROR(__xludf.DUMMYFUNCTION("""COMPUTED_VALUE"""),57934674)</f>
        <v>57934674</v>
      </c>
      <c r="H53" s="37">
        <f ca="1">IFERROR(__xludf.DUMMYFUNCTION("""COMPUTED_VALUE"""),39927)</f>
        <v>39927</v>
      </c>
      <c r="I53" s="38" t="str">
        <f ca="1">IFERROR(__xludf.DUMMYFUNCTION("""COMPUTED_VALUE"""),"099659292")</f>
        <v>099659292</v>
      </c>
      <c r="J53" s="38" t="str">
        <f ca="1">IFERROR(__xludf.DUMMYFUNCTION("""COMPUTED_VALUE"""),"099659292")</f>
        <v>099659292</v>
      </c>
      <c r="K53" s="38" t="str">
        <f ca="1">IFERROR(__xludf.DUMMYFUNCTION("""COMPUTED_VALUE"""),"lauracotelo@gmail.com")</f>
        <v>lauracotelo@gmail.com</v>
      </c>
      <c r="L53" s="38" t="str">
        <f ca="1">IFERROR(__xludf.DUMMYFUNCTION("""COMPUTED_VALUE"""),"Femenino")</f>
        <v>Femenino</v>
      </c>
      <c r="M53" s="6" t="str">
        <f ca="1">IFERROR(__xludf.DUMMYFUNCTION("""COMPUTED_VALUE"""),"Nyc")</f>
        <v>Nyc</v>
      </c>
      <c r="N53" s="38" t="str">
        <f ca="1">IFERROR(__xludf.DUMMYFUNCTION("""COMPUTED_VALUE"""),"Femenino, Interior (Optimist)")</f>
        <v>Femenino, Interior (Optimist)</v>
      </c>
      <c r="O53" s="38" t="str">
        <f ca="1">IFERROR(__xludf.DUMMYFUNCTION("""COMPUTED_VALUE"""),"OPTIMIST TIMONELES")</f>
        <v>OPTIMIST TIMONELES</v>
      </c>
      <c r="P53" s="38"/>
      <c r="Q53" s="6">
        <f ca="1">IFERROR(__xludf.DUMMYFUNCTION("""COMPUTED_VALUE"""),347)</f>
        <v>347</v>
      </c>
      <c r="R53" s="38" t="str">
        <f ca="1">IFERROR(__xludf.DUMMYFUNCTION("""COMPUTED_VALUE"""),"Boyante")</f>
        <v>Boyante</v>
      </c>
      <c r="S53" s="38" t="str">
        <f ca="1">IFERROR(__xludf.DUMMYFUNCTION("""COMPUTED_VALUE"""),"Miranda Goncalves")</f>
        <v>Miranda Goncalves</v>
      </c>
      <c r="T53" s="38"/>
      <c r="U53" s="38"/>
      <c r="V53" s="38"/>
      <c r="W53" s="38"/>
      <c r="X53" s="38"/>
      <c r="Y53" s="38"/>
      <c r="Z53" s="6" t="str">
        <f ca="1">IFERROR(__xludf.DUMMYFUNCTION("""COMPUTED_VALUE"""),"Si")</f>
        <v>Si</v>
      </c>
      <c r="AA53" s="6" t="str">
        <f ca="1">IFERROR(__xludf.DUMMYFUNCTION("""COMPUTED_VALUE"""),"Acepto")</f>
        <v>Acepto</v>
      </c>
      <c r="AB53" s="6" t="str">
        <f ca="1">IFERROR(__xludf.DUMMYFUNCTION("""COMPUTED_VALUE"""),"Terminado")</f>
        <v>Terminado</v>
      </c>
      <c r="AC53" s="6">
        <f ca="1">IFERROR(__xludf.DUMMYFUNCTION("""COMPUTED_VALUE"""),42500)</f>
        <v>42500</v>
      </c>
      <c r="AD53" s="6">
        <f ca="1">IFERROR(__xludf.DUMMYFUNCTION("""COMPUTED_VALUE"""),205391)</f>
        <v>205391</v>
      </c>
      <c r="AE53" s="38" t="str">
        <f ca="1">IFERROR(__xludf.DUMMYFUNCTION("""COMPUTED_VALUE"""),"TRF 02-09")</f>
        <v>TRF 02-09</v>
      </c>
      <c r="AF53" s="38"/>
      <c r="AG53" s="38"/>
      <c r="AH53" s="6"/>
      <c r="AI53" s="6"/>
    </row>
    <row r="54" spans="2:35" ht="13.2">
      <c r="B54" s="68">
        <f ca="1">IFERROR(__xludf.DUMMYFUNCTION("""COMPUTED_VALUE"""),45537.7507803703)</f>
        <v>45537.750780370297</v>
      </c>
      <c r="C54" s="36" t="str">
        <f ca="1">IFERROR(__xludf.DUMMYFUNCTION("""COMPUTED_VALUE"""),"Matilda")</f>
        <v>Matilda</v>
      </c>
      <c r="D54" s="36" t="str">
        <f ca="1">IFERROR(__xludf.DUMMYFUNCTION("""COMPUTED_VALUE"""),"Goncalves Borrega")</f>
        <v>Goncalves Borrega</v>
      </c>
      <c r="E54" s="36" t="str">
        <f ca="1">IFERROR(__xludf.DUMMYFUNCTION("""COMPUTED_VALUE"""),"Montevideo")</f>
        <v>Montevideo</v>
      </c>
      <c r="F54" s="6" t="str">
        <f ca="1">IFERROR(__xludf.DUMMYFUNCTION("""COMPUTED_VALUE"""),"URU")</f>
        <v>URU</v>
      </c>
      <c r="G54" s="6">
        <f ca="1">IFERROR(__xludf.DUMMYFUNCTION("""COMPUTED_VALUE"""),59259286)</f>
        <v>59259286</v>
      </c>
      <c r="H54" s="37">
        <f ca="1">IFERROR(__xludf.DUMMYFUNCTION("""COMPUTED_VALUE"""),40771)</f>
        <v>40771</v>
      </c>
      <c r="I54" s="38" t="str">
        <f ca="1">IFERROR(__xludf.DUMMYFUNCTION("""COMPUTED_VALUE"""),"099659292")</f>
        <v>099659292</v>
      </c>
      <c r="J54" s="38" t="str">
        <f ca="1">IFERROR(__xludf.DUMMYFUNCTION("""COMPUTED_VALUE"""),"099659292")</f>
        <v>099659292</v>
      </c>
      <c r="K54" s="38" t="str">
        <f ca="1">IFERROR(__xludf.DUMMYFUNCTION("""COMPUTED_VALUE"""),"lauracotelo@gmail.com")</f>
        <v>lauracotelo@gmail.com</v>
      </c>
      <c r="L54" s="38" t="str">
        <f ca="1">IFERROR(__xludf.DUMMYFUNCTION("""COMPUTED_VALUE"""),"Femenino")</f>
        <v>Femenino</v>
      </c>
      <c r="M54" s="38" t="str">
        <f ca="1">IFERROR(__xludf.DUMMYFUNCTION("""COMPUTED_VALUE"""),"Nyc")</f>
        <v>Nyc</v>
      </c>
      <c r="N54" s="38" t="str">
        <f ca="1">IFERROR(__xludf.DUMMYFUNCTION("""COMPUTED_VALUE"""),"Femenino, Interior (Optimist)")</f>
        <v>Femenino, Interior (Optimist)</v>
      </c>
      <c r="O54" s="38" t="str">
        <f ca="1">IFERROR(__xludf.DUMMYFUNCTION("""COMPUTED_VALUE"""),"OPTIMIST TIMONELES")</f>
        <v>OPTIMIST TIMONELES</v>
      </c>
      <c r="P54" s="38"/>
      <c r="Q54" s="6">
        <f ca="1">IFERROR(__xludf.DUMMYFUNCTION("""COMPUTED_VALUE"""),46)</f>
        <v>46</v>
      </c>
      <c r="R54" s="38"/>
      <c r="S54" s="38" t="str">
        <f ca="1">IFERROR(__xludf.DUMMYFUNCTION("""COMPUTED_VALUE"""),"Matilda goncalves")</f>
        <v>Matilda goncalves</v>
      </c>
      <c r="T54" s="38"/>
      <c r="U54" s="38"/>
      <c r="V54" s="38"/>
      <c r="W54" s="38"/>
      <c r="X54" s="38"/>
      <c r="Y54" s="38"/>
      <c r="Z54" s="6" t="str">
        <f ca="1">IFERROR(__xludf.DUMMYFUNCTION("""COMPUTED_VALUE"""),"Si")</f>
        <v>Si</v>
      </c>
      <c r="AA54" s="6" t="str">
        <f ca="1">IFERROR(__xludf.DUMMYFUNCTION("""COMPUTED_VALUE"""),"Acepto")</f>
        <v>Acepto</v>
      </c>
      <c r="AB54" s="6" t="str">
        <f ca="1">IFERROR(__xludf.DUMMYFUNCTION("""COMPUTED_VALUE"""),"Terminado")</f>
        <v>Terminado</v>
      </c>
      <c r="AC54" s="6">
        <f ca="1">IFERROR(__xludf.DUMMYFUNCTION("""COMPUTED_VALUE"""),42500)</f>
        <v>42500</v>
      </c>
      <c r="AD54" s="6">
        <f ca="1">IFERROR(__xludf.DUMMYFUNCTION("""COMPUTED_VALUE"""),205391)</f>
        <v>205391</v>
      </c>
      <c r="AE54" s="38" t="str">
        <f ca="1">IFERROR(__xludf.DUMMYFUNCTION("""COMPUTED_VALUE"""),"TRF 02-09")</f>
        <v>TRF 02-09</v>
      </c>
      <c r="AF54" s="38"/>
      <c r="AG54" s="38"/>
      <c r="AH54" s="6"/>
      <c r="AI54" s="6"/>
    </row>
    <row r="55" spans="2:35" ht="13.2">
      <c r="B55" s="68">
        <f ca="1">IFERROR(__xludf.DUMMYFUNCTION("""COMPUTED_VALUE"""),45535.5911542361)</f>
        <v>45535.591154236099</v>
      </c>
      <c r="C55" s="36" t="str">
        <f ca="1">IFERROR(__xludf.DUMMYFUNCTION("""COMPUTED_VALUE"""),"Mateo")</f>
        <v>Mateo</v>
      </c>
      <c r="D55" s="36" t="str">
        <f ca="1">IFERROR(__xludf.DUMMYFUNCTION("""COMPUTED_VALUE"""),"Guille")</f>
        <v>Guille</v>
      </c>
      <c r="E55" s="36" t="str">
        <f ca="1">IFERROR(__xludf.DUMMYFUNCTION("""COMPUTED_VALUE"""),"Zárate")</f>
        <v>Zárate</v>
      </c>
      <c r="F55" s="6" t="str">
        <f ca="1">IFERROR(__xludf.DUMMYFUNCTION("""COMPUTED_VALUE"""),"ARG")</f>
        <v>ARG</v>
      </c>
      <c r="G55" s="6">
        <f ca="1">IFERROR(__xludf.DUMMYFUNCTION("""COMPUTED_VALUE"""),52136031)</f>
        <v>52136031</v>
      </c>
      <c r="H55" s="37">
        <f ca="1">IFERROR(__xludf.DUMMYFUNCTION("""COMPUTED_VALUE"""),40917)</f>
        <v>40917</v>
      </c>
      <c r="I55" s="38">
        <f ca="1">IFERROR(__xludf.DUMMYFUNCTION("""COMPUTED_VALUE"""),3487536965)</f>
        <v>3487536965</v>
      </c>
      <c r="J55" s="38">
        <f ca="1">IFERROR(__xludf.DUMMYFUNCTION("""COMPUTED_VALUE"""),3487471784)</f>
        <v>3487471784</v>
      </c>
      <c r="K55" s="38" t="str">
        <f ca="1">IFERROR(__xludf.DUMMYFUNCTION("""COMPUTED_VALUE"""),"mcecih@hotmail.com")</f>
        <v>mcecih@hotmail.com</v>
      </c>
      <c r="L55" s="38" t="str">
        <f ca="1">IFERROR(__xludf.DUMMYFUNCTION("""COMPUTED_VALUE"""),"Masculino")</f>
        <v>Masculino</v>
      </c>
      <c r="M55" s="38" t="str">
        <f ca="1">IFERROR(__xludf.DUMMYFUNCTION("""COMPUTED_VALUE"""),"CNZ")</f>
        <v>CNZ</v>
      </c>
      <c r="N55" s="38" t="str">
        <f ca="1">IFERROR(__xludf.DUMMYFUNCTION("""COMPUTED_VALUE"""),"Interior (Optimist)")</f>
        <v>Interior (Optimist)</v>
      </c>
      <c r="O55" s="38" t="str">
        <f ca="1">IFERROR(__xludf.DUMMYFUNCTION("""COMPUTED_VALUE"""),"OPTIMIST TIMONELES")</f>
        <v>OPTIMIST TIMONELES</v>
      </c>
      <c r="P55" s="38"/>
      <c r="Q55" s="6">
        <f ca="1">IFERROR(__xludf.DUMMYFUNCTION("""COMPUTED_VALUE"""),4093)</f>
        <v>4093</v>
      </c>
      <c r="R55" s="38" t="str">
        <f ca="1">IFERROR(__xludf.DUMMYFUNCTION("""COMPUTED_VALUE"""),"Capitán Chino")</f>
        <v>Capitán Chino</v>
      </c>
      <c r="S55" s="38"/>
      <c r="T55" s="38"/>
      <c r="U55" s="38"/>
      <c r="V55" s="38"/>
      <c r="W55" s="38"/>
      <c r="X55" s="38"/>
      <c r="Y55" s="38" t="str">
        <f ca="1">IFERROR(__xludf.DUMMYFUNCTION("""COMPUTED_VALUE"""),"IOMA ")</f>
        <v xml:space="preserve">IOMA </v>
      </c>
      <c r="Z55" s="6" t="str">
        <f ca="1">IFERROR(__xludf.DUMMYFUNCTION("""COMPUTED_VALUE"""),"Si")</f>
        <v>Si</v>
      </c>
      <c r="AA55" s="6" t="str">
        <f ca="1">IFERROR(__xludf.DUMMYFUNCTION("""COMPUTED_VALUE"""),"Acepto")</f>
        <v>Acepto</v>
      </c>
      <c r="AB55" s="6" t="str">
        <f ca="1">IFERROR(__xludf.DUMMYFUNCTION("""COMPUTED_VALUE"""),"Terminado")</f>
        <v>Terminado</v>
      </c>
      <c r="AC55" s="6">
        <f ca="1">IFERROR(__xludf.DUMMYFUNCTION("""COMPUTED_VALUE"""),50000)</f>
        <v>50000</v>
      </c>
      <c r="AD55" s="6">
        <f ca="1">IFERROR(__xludf.DUMMYFUNCTION("""COMPUTED_VALUE"""),205336)</f>
        <v>205336</v>
      </c>
      <c r="AE55" s="38" t="str">
        <f ca="1">IFERROR(__xludf.DUMMYFUNCTION("""COMPUTED_VALUE"""),"TRF01-09")</f>
        <v>TRF01-09</v>
      </c>
      <c r="AF55" s="38"/>
      <c r="AG55" s="38"/>
      <c r="AH55" s="6"/>
      <c r="AI55" s="6"/>
    </row>
    <row r="56" spans="2:35" ht="13.2">
      <c r="B56" s="68">
        <f ca="1">IFERROR(__xludf.DUMMYFUNCTION("""COMPUTED_VALUE"""),45535.8798191319)</f>
        <v>45535.8798191319</v>
      </c>
      <c r="C56" s="36" t="str">
        <f ca="1">IFERROR(__xludf.DUMMYFUNCTION("""COMPUTED_VALUE"""),"Emilia")</f>
        <v>Emilia</v>
      </c>
      <c r="D56" s="36" t="str">
        <f ca="1">IFERROR(__xludf.DUMMYFUNCTION("""COMPUTED_VALUE"""),"Gullo")</f>
        <v>Gullo</v>
      </c>
      <c r="E56" s="36" t="str">
        <f ca="1">IFERROR(__xludf.DUMMYFUNCTION("""COMPUTED_VALUE"""),"La Plata")</f>
        <v>La Plata</v>
      </c>
      <c r="F56" s="6" t="str">
        <f ca="1">IFERROR(__xludf.DUMMYFUNCTION("""COMPUTED_VALUE"""),"ARG")</f>
        <v>ARG</v>
      </c>
      <c r="G56" s="6">
        <f ca="1">IFERROR(__xludf.DUMMYFUNCTION("""COMPUTED_VALUE"""),51440730)</f>
        <v>51440730</v>
      </c>
      <c r="H56" s="37">
        <f ca="1">IFERROR(__xludf.DUMMYFUNCTION("""COMPUTED_VALUE"""),40834)</f>
        <v>40834</v>
      </c>
      <c r="I56" s="38">
        <f ca="1">IFERROR(__xludf.DUMMYFUNCTION("""COMPUTED_VALUE"""),2215659991)</f>
        <v>2215659991</v>
      </c>
      <c r="J56" s="38">
        <f ca="1">IFERROR(__xludf.DUMMYFUNCTION("""COMPUTED_VALUE"""),2215659991)</f>
        <v>2215659991</v>
      </c>
      <c r="K56" s="38" t="str">
        <f ca="1">IFERROR(__xludf.DUMMYFUNCTION("""COMPUTED_VALUE"""),"maxigullo@gmail.com")</f>
        <v>maxigullo@gmail.com</v>
      </c>
      <c r="L56" s="38" t="str">
        <f ca="1">IFERROR(__xludf.DUMMYFUNCTION("""COMPUTED_VALUE"""),"Femenino")</f>
        <v>Femenino</v>
      </c>
      <c r="M56" s="38" t="str">
        <f ca="1">IFERROR(__xludf.DUMMYFUNCTION("""COMPUTED_VALUE"""),"CRLP")</f>
        <v>CRLP</v>
      </c>
      <c r="N56" s="38" t="str">
        <f ca="1">IFERROR(__xludf.DUMMYFUNCTION("""COMPUTED_VALUE"""),"Femenino")</f>
        <v>Femenino</v>
      </c>
      <c r="O56" s="38" t="str">
        <f ca="1">IFERROR(__xludf.DUMMYFUNCTION("""COMPUTED_VALUE"""),"OPTIMIST TIMONELES")</f>
        <v>OPTIMIST TIMONELES</v>
      </c>
      <c r="P56" s="38"/>
      <c r="Q56" s="6">
        <f ca="1">IFERROR(__xludf.DUMMYFUNCTION("""COMPUTED_VALUE"""),3590)</f>
        <v>3590</v>
      </c>
      <c r="R56" s="38" t="str">
        <f ca="1">IFERROR(__xludf.DUMMYFUNCTION("""COMPUTED_VALUE"""),"Perseo")</f>
        <v>Perseo</v>
      </c>
      <c r="S56" s="38"/>
      <c r="T56" s="38"/>
      <c r="U56" s="38"/>
      <c r="V56" s="38"/>
      <c r="W56" s="38"/>
      <c r="X56" s="38"/>
      <c r="Y56" s="38" t="str">
        <f ca="1">IFERROR(__xludf.DUMMYFUNCTION("""COMPUTED_VALUE"""),"IOMA")</f>
        <v>IOMA</v>
      </c>
      <c r="Z56" s="6" t="str">
        <f ca="1">IFERROR(__xludf.DUMMYFUNCTION("""COMPUTED_VALUE"""),"Si")</f>
        <v>Si</v>
      </c>
      <c r="AA56" s="6" t="str">
        <f ca="1">IFERROR(__xludf.DUMMYFUNCTION("""COMPUTED_VALUE"""),"Acepto")</f>
        <v>Acepto</v>
      </c>
      <c r="AB56" s="6" t="str">
        <f ca="1">IFERROR(__xludf.DUMMYFUNCTION("""COMPUTED_VALUE"""),"Terminado")</f>
        <v>Terminado</v>
      </c>
      <c r="AC56" s="6">
        <f ca="1">IFERROR(__xludf.DUMMYFUNCTION("""COMPUTED_VALUE"""),50000)</f>
        <v>50000</v>
      </c>
      <c r="AD56" s="6">
        <f ca="1">IFERROR(__xludf.DUMMYFUNCTION("""COMPUTED_VALUE"""),205341)</f>
        <v>205341</v>
      </c>
      <c r="AE56" s="38" t="str">
        <f ca="1">IFERROR(__xludf.DUMMYFUNCTION("""COMPUTED_VALUE"""),"TRF 31-08")</f>
        <v>TRF 31-08</v>
      </c>
      <c r="AF56" s="38"/>
      <c r="AG56" s="38"/>
      <c r="AH56" s="6"/>
      <c r="AI56" s="6"/>
    </row>
    <row r="57" spans="2:35" ht="13.2">
      <c r="B57" s="68">
        <f ca="1">IFERROR(__xludf.DUMMYFUNCTION("""COMPUTED_VALUE"""),45534.597474618)</f>
        <v>45534.597474618</v>
      </c>
      <c r="C57" s="36" t="str">
        <f ca="1">IFERROR(__xludf.DUMMYFUNCTION("""COMPUTED_VALUE"""),"Inés ")</f>
        <v xml:space="preserve">Inés </v>
      </c>
      <c r="D57" s="36" t="str">
        <f ca="1">IFERROR(__xludf.DUMMYFUNCTION("""COMPUTED_VALUE"""),"Hernández ")</f>
        <v xml:space="preserve">Hernández </v>
      </c>
      <c r="E57" s="36" t="str">
        <f ca="1">IFERROR(__xludf.DUMMYFUNCTION("""COMPUTED_VALUE"""),"San Pedro")</f>
        <v>San Pedro</v>
      </c>
      <c r="F57" s="6" t="str">
        <f ca="1">IFERROR(__xludf.DUMMYFUNCTION("""COMPUTED_VALUE"""),"ARG")</f>
        <v>ARG</v>
      </c>
      <c r="G57" s="6">
        <f ca="1">IFERROR(__xludf.DUMMYFUNCTION("""COMPUTED_VALUE"""),53442924)</f>
        <v>53442924</v>
      </c>
      <c r="H57" s="37">
        <f ca="1">IFERROR(__xludf.DUMMYFUNCTION("""COMPUTED_VALUE"""),41557)</f>
        <v>41557</v>
      </c>
      <c r="I57" s="38">
        <f ca="1">IFERROR(__xludf.DUMMYFUNCTION("""COMPUTED_VALUE"""),3329515502)</f>
        <v>3329515502</v>
      </c>
      <c r="J57" s="38">
        <f ca="1">IFERROR(__xludf.DUMMYFUNCTION("""COMPUTED_VALUE"""),3329522546)</f>
        <v>3329522546</v>
      </c>
      <c r="K57" s="38" t="str">
        <f ca="1">IFERROR(__xludf.DUMMYFUNCTION("""COMPUTED_VALUE"""),"rotundosofia@hotmail.com")</f>
        <v>rotundosofia@hotmail.com</v>
      </c>
      <c r="L57" s="38" t="str">
        <f ca="1">IFERROR(__xludf.DUMMYFUNCTION("""COMPUTED_VALUE"""),"Femenino")</f>
        <v>Femenino</v>
      </c>
      <c r="M57" s="38" t="str">
        <f ca="1">IFERROR(__xludf.DUMMYFUNCTION("""COMPUTED_VALUE"""),"CNSP")</f>
        <v>CNSP</v>
      </c>
      <c r="N57" s="38"/>
      <c r="O57" s="38" t="str">
        <f ca="1">IFERROR(__xludf.DUMMYFUNCTION("""COMPUTED_VALUE"""),"OPTIMIST TIMONELES")</f>
        <v>OPTIMIST TIMONELES</v>
      </c>
      <c r="P57" s="38"/>
      <c r="Q57" s="6">
        <f ca="1">IFERROR(__xludf.DUMMYFUNCTION("""COMPUTED_VALUE"""),4141)</f>
        <v>4141</v>
      </c>
      <c r="R57" s="38"/>
      <c r="S57" s="38"/>
      <c r="T57" s="38"/>
      <c r="U57" s="38"/>
      <c r="V57" s="38"/>
      <c r="W57" s="38"/>
      <c r="X57" s="38"/>
      <c r="Y57" s="38" t="str">
        <f ca="1">IFERROR(__xludf.DUMMYFUNCTION("""COMPUTED_VALUE"""),"Accord Dorado ")</f>
        <v xml:space="preserve">Accord Dorado </v>
      </c>
      <c r="Z57" s="6" t="str">
        <f ca="1">IFERROR(__xludf.DUMMYFUNCTION("""COMPUTED_VALUE"""),"Si")</f>
        <v>Si</v>
      </c>
      <c r="AA57" s="6" t="str">
        <f ca="1">IFERROR(__xludf.DUMMYFUNCTION("""COMPUTED_VALUE"""),"Acepto")</f>
        <v>Acepto</v>
      </c>
      <c r="AB57" s="6" t="str">
        <f ca="1">IFERROR(__xludf.DUMMYFUNCTION("""COMPUTED_VALUE"""),"Terminado")</f>
        <v>Terminado</v>
      </c>
      <c r="AC57" s="6">
        <f ca="1">IFERROR(__xludf.DUMMYFUNCTION("""COMPUTED_VALUE"""),50000)</f>
        <v>50000</v>
      </c>
      <c r="AD57" s="6">
        <f ca="1">IFERROR(__xludf.DUMMYFUNCTION("""COMPUTED_VALUE"""),205106)</f>
        <v>205106</v>
      </c>
      <c r="AE57" s="38" t="str">
        <f ca="1">IFERROR(__xludf.DUMMYFUNCTION("""COMPUTED_VALUE"""),"TRF 30-08")</f>
        <v>TRF 30-08</v>
      </c>
      <c r="AF57" s="38"/>
      <c r="AG57" s="38"/>
      <c r="AH57" s="6"/>
      <c r="AI57" s="6"/>
    </row>
    <row r="58" spans="2:35" ht="13.2">
      <c r="B58" s="68">
        <f ca="1">IFERROR(__xludf.DUMMYFUNCTION("""COMPUTED_VALUE"""),45538.4768552314)</f>
        <v>45538.476855231398</v>
      </c>
      <c r="C58" s="36" t="str">
        <f ca="1">IFERROR(__xludf.DUMMYFUNCTION("""COMPUTED_VALUE"""),"Brandon")</f>
        <v>Brandon</v>
      </c>
      <c r="D58" s="36" t="str">
        <f ca="1">IFERROR(__xludf.DUMMYFUNCTION("""COMPUTED_VALUE"""),"Herrera Barrera")</f>
        <v>Herrera Barrera</v>
      </c>
      <c r="E58" s="36" t="str">
        <f ca="1">IFERROR(__xludf.DUMMYFUNCTION("""COMPUTED_VALUE"""),"San Isidro")</f>
        <v>San Isidro</v>
      </c>
      <c r="F58" s="6" t="str">
        <f ca="1">IFERROR(__xludf.DUMMYFUNCTION("""COMPUTED_VALUE"""),"ARG")</f>
        <v>ARG</v>
      </c>
      <c r="G58" s="6">
        <f ca="1">IFERROR(__xludf.DUMMYFUNCTION("""COMPUTED_VALUE"""),49264184)</f>
        <v>49264184</v>
      </c>
      <c r="H58" s="37">
        <f ca="1">IFERROR(__xludf.DUMMYFUNCTION("""COMPUTED_VALUE"""),39876)</f>
        <v>39876</v>
      </c>
      <c r="I58" s="38" t="str">
        <f ca="1">IFERROR(__xludf.DUMMYFUNCTION("""COMPUTED_VALUE"""),"+54 9 11 3394-3846")</f>
        <v>+54 9 11 3394-3846</v>
      </c>
      <c r="J58" s="38"/>
      <c r="K58" s="38" t="str">
        <f ca="1">IFERROR(__xludf.DUMMYFUNCTION("""COMPUTED_VALUE"""),"ignacio.varisco@gmail.com")</f>
        <v>ignacio.varisco@gmail.com</v>
      </c>
      <c r="L58" s="38" t="str">
        <f ca="1">IFERROR(__xludf.DUMMYFUNCTION("""COMPUTED_VALUE"""),"Masculino")</f>
        <v>Masculino</v>
      </c>
      <c r="M58" s="38" t="str">
        <f ca="1">IFERROR(__xludf.DUMMYFUNCTION("""COMPUTED_VALUE"""),"CPNLB- CBRIO")</f>
        <v>CPNLB- CBRIO</v>
      </c>
      <c r="N58" s="38"/>
      <c r="O58" s="38" t="str">
        <f ca="1">IFERROR(__xludf.DUMMYFUNCTION("""COMPUTED_VALUE"""),"OPTIMIST TIMONELES")</f>
        <v>OPTIMIST TIMONELES</v>
      </c>
      <c r="P58" s="38"/>
      <c r="Q58" s="6" t="str">
        <f ca="1">IFERROR(__xludf.DUMMYFUNCTION("""COMPUTED_VALUE"""),"ARG 3513")</f>
        <v>ARG 3513</v>
      </c>
      <c r="R58" s="38" t="str">
        <f ca="1">IFERROR(__xludf.DUMMYFUNCTION("""COMPUTED_VALUE"""),"Tronador")</f>
        <v>Tronador</v>
      </c>
      <c r="S58" s="38"/>
      <c r="T58" s="38"/>
      <c r="U58" s="38"/>
      <c r="V58" s="38"/>
      <c r="W58" s="38"/>
      <c r="X58" s="38"/>
      <c r="Y58" s="38"/>
      <c r="Z58" s="6" t="str">
        <f ca="1">IFERROR(__xludf.DUMMYFUNCTION("""COMPUTED_VALUE"""),"Si")</f>
        <v>Si</v>
      </c>
      <c r="AA58" s="6" t="str">
        <f ca="1">IFERROR(__xludf.DUMMYFUNCTION("""COMPUTED_VALUE"""),"Acepto")</f>
        <v>Acepto</v>
      </c>
      <c r="AB58" s="6" t="str">
        <f ca="1">IFERROR(__xludf.DUMMYFUNCTION("""COMPUTED_VALUE"""),"Pendiente")</f>
        <v>Pendiente</v>
      </c>
      <c r="AC58" s="6"/>
      <c r="AD58" s="6"/>
      <c r="AE58" s="38"/>
      <c r="AF58" s="38"/>
      <c r="AG58" s="38"/>
      <c r="AH58" s="6"/>
      <c r="AI58" s="6"/>
    </row>
    <row r="59" spans="2:35" ht="13.2">
      <c r="B59" s="68">
        <f ca="1">IFERROR(__xludf.DUMMYFUNCTION("""COMPUTED_VALUE"""),45525.6053085995)</f>
        <v>45525.605308599501</v>
      </c>
      <c r="C59" s="36" t="str">
        <f ca="1">IFERROR(__xludf.DUMMYFUNCTION("""COMPUTED_VALUE"""),"Francisco")</f>
        <v>Francisco</v>
      </c>
      <c r="D59" s="36" t="str">
        <f ca="1">IFERROR(__xludf.DUMMYFUNCTION("""COMPUTED_VALUE"""),"Krenek")</f>
        <v>Krenek</v>
      </c>
      <c r="E59" s="36" t="str">
        <f ca="1">IFERROR(__xludf.DUMMYFUNCTION("""COMPUTED_VALUE"""),"VICENTE LOPEZ")</f>
        <v>VICENTE LOPEZ</v>
      </c>
      <c r="F59" s="6" t="str">
        <f ca="1">IFERROR(__xludf.DUMMYFUNCTION("""COMPUTED_VALUE"""),"ARG")</f>
        <v>ARG</v>
      </c>
      <c r="G59" s="6">
        <f ca="1">IFERROR(__xludf.DUMMYFUNCTION("""COMPUTED_VALUE"""),52856304)</f>
        <v>52856304</v>
      </c>
      <c r="H59" s="37">
        <f ca="1">IFERROR(__xludf.DUMMYFUNCTION("""COMPUTED_VALUE"""),41238)</f>
        <v>41238</v>
      </c>
      <c r="I59" s="38">
        <f ca="1">IFERROR(__xludf.DUMMYFUNCTION("""COMPUTED_VALUE"""),1165688066)</f>
        <v>1165688066</v>
      </c>
      <c r="J59" s="38">
        <f ca="1">IFERROR(__xludf.DUMMYFUNCTION("""COMPUTED_VALUE"""),1162859402)</f>
        <v>1162859402</v>
      </c>
      <c r="K59" s="38" t="str">
        <f ca="1">IFERROR(__xludf.DUMMYFUNCTION("""COMPUTED_VALUE"""),"carloskrenek@yahoo.com.ar")</f>
        <v>carloskrenek@yahoo.com.ar</v>
      </c>
      <c r="L59" s="38" t="str">
        <f ca="1">IFERROR(__xludf.DUMMYFUNCTION("""COMPUTED_VALUE"""),"Masculino")</f>
        <v>Masculino</v>
      </c>
      <c r="M59" s="38" t="str">
        <f ca="1">IFERROR(__xludf.DUMMYFUNCTION("""COMPUTED_VALUE"""),"YCO")</f>
        <v>YCO</v>
      </c>
      <c r="N59" s="38"/>
      <c r="O59" s="38" t="str">
        <f ca="1">IFERROR(__xludf.DUMMYFUNCTION("""COMPUTED_VALUE"""),"OPTIMIST TIMONELES")</f>
        <v>OPTIMIST TIMONELES</v>
      </c>
      <c r="P59" s="38"/>
      <c r="Q59" s="6" t="str">
        <f ca="1">IFERROR(__xludf.DUMMYFUNCTION("""COMPUTED_VALUE"""),"ARG 3817")</f>
        <v>ARG 3817</v>
      </c>
      <c r="R59" s="38"/>
      <c r="S59" s="38"/>
      <c r="T59" s="38"/>
      <c r="U59" s="38"/>
      <c r="V59" s="38"/>
      <c r="W59" s="38"/>
      <c r="X59" s="38"/>
      <c r="Y59" s="38" t="str">
        <f ca="1">IFERROR(__xludf.DUMMYFUNCTION("""COMPUTED_VALUE"""),"OSDE")</f>
        <v>OSDE</v>
      </c>
      <c r="Z59" s="6" t="str">
        <f ca="1">IFERROR(__xludf.DUMMYFUNCTION("""COMPUTED_VALUE"""),"Si")</f>
        <v>Si</v>
      </c>
      <c r="AA59" s="6" t="str">
        <f ca="1">IFERROR(__xludf.DUMMYFUNCTION("""COMPUTED_VALUE"""),"Acepto")</f>
        <v>Acepto</v>
      </c>
      <c r="AB59" s="6" t="str">
        <f ca="1">IFERROR(__xludf.DUMMYFUNCTION("""COMPUTED_VALUE"""),"Terminado")</f>
        <v>Terminado</v>
      </c>
      <c r="AC59" s="6">
        <f ca="1">IFERROR(__xludf.DUMMYFUNCTION("""COMPUTED_VALUE"""),60000)</f>
        <v>60000</v>
      </c>
      <c r="AD59" s="6">
        <f ca="1">IFERROR(__xludf.DUMMYFUNCTION("""COMPUTED_VALUE"""),205016)</f>
        <v>205016</v>
      </c>
      <c r="AE59" s="38" t="str">
        <f ca="1">IFERROR(__xludf.DUMMYFUNCTION("""COMPUTED_VALUE"""),"TRF 21-08")</f>
        <v>TRF 21-08</v>
      </c>
      <c r="AF59" s="38"/>
      <c r="AG59" s="38"/>
      <c r="AH59" s="6"/>
      <c r="AI59" s="6"/>
    </row>
    <row r="60" spans="2:35" ht="13.2">
      <c r="B60" s="68">
        <f ca="1">IFERROR(__xludf.DUMMYFUNCTION("""COMPUTED_VALUE"""),45534.6592007754)</f>
        <v>45534.659200775401</v>
      </c>
      <c r="C60" s="36" t="str">
        <f ca="1">IFERROR(__xludf.DUMMYFUNCTION("""COMPUTED_VALUE"""),"Fausto")</f>
        <v>Fausto</v>
      </c>
      <c r="D60" s="36" t="str">
        <f ca="1">IFERROR(__xludf.DUMMYFUNCTION("""COMPUTED_VALUE"""),"Lacchini")</f>
        <v>Lacchini</v>
      </c>
      <c r="E60" s="36" t="str">
        <f ca="1">IFERROR(__xludf.DUMMYFUNCTION("""COMPUTED_VALUE"""),"La Plata")</f>
        <v>La Plata</v>
      </c>
      <c r="F60" s="6" t="str">
        <f ca="1">IFERROR(__xludf.DUMMYFUNCTION("""COMPUTED_VALUE"""),"ARG")</f>
        <v>ARG</v>
      </c>
      <c r="G60" s="6">
        <f ca="1">IFERROR(__xludf.DUMMYFUNCTION("""COMPUTED_VALUE"""),53456040)</f>
        <v>53456040</v>
      </c>
      <c r="H60" s="37">
        <f ca="1">IFERROR(__xludf.DUMMYFUNCTION("""COMPUTED_VALUE"""),41535)</f>
        <v>41535</v>
      </c>
      <c r="I60" s="38">
        <f ca="1">IFERROR(__xludf.DUMMYFUNCTION("""COMPUTED_VALUE"""),2214188871)</f>
        <v>2214188871</v>
      </c>
      <c r="J60" s="38">
        <f ca="1">IFERROR(__xludf.DUMMYFUNCTION("""COMPUTED_VALUE"""),2216371227)</f>
        <v>2216371227</v>
      </c>
      <c r="K60" s="38" t="str">
        <f ca="1">IFERROR(__xludf.DUMMYFUNCTION("""COMPUTED_VALUE"""),"carloslacchini@gmail.com")</f>
        <v>carloslacchini@gmail.com</v>
      </c>
      <c r="L60" s="38" t="str">
        <f ca="1">IFERROR(__xludf.DUMMYFUNCTION("""COMPUTED_VALUE"""),"Masculino")</f>
        <v>Masculino</v>
      </c>
      <c r="M60" s="38" t="str">
        <f ca="1">IFERROR(__xludf.DUMMYFUNCTION("""COMPUTED_VALUE"""),"CRLP")</f>
        <v>CRLP</v>
      </c>
      <c r="N60" s="38"/>
      <c r="O60" s="38" t="str">
        <f ca="1">IFERROR(__xludf.DUMMYFUNCTION("""COMPUTED_VALUE"""),"OPTIMIST TIMONELES")</f>
        <v>OPTIMIST TIMONELES</v>
      </c>
      <c r="P60" s="38"/>
      <c r="Q60" s="6">
        <f ca="1">IFERROR(__xludf.DUMMYFUNCTION("""COMPUTED_VALUE"""),3781)</f>
        <v>3781</v>
      </c>
      <c r="R60" s="38" t="str">
        <f ca="1">IFERROR(__xludf.DUMMYFUNCTION("""COMPUTED_VALUE"""),"Biondina 2.0")</f>
        <v>Biondina 2.0</v>
      </c>
      <c r="S60" s="38"/>
      <c r="T60" s="38"/>
      <c r="U60" s="38"/>
      <c r="V60" s="38"/>
      <c r="W60" s="38"/>
      <c r="X60" s="38"/>
      <c r="Y60" s="38" t="str">
        <f ca="1">IFERROR(__xludf.DUMMYFUNCTION("""COMPUTED_VALUE"""),"Galeno 023399760201")</f>
        <v>Galeno 023399760201</v>
      </c>
      <c r="Z60" s="6" t="str">
        <f ca="1">IFERROR(__xludf.DUMMYFUNCTION("""COMPUTED_VALUE"""),"Si")</f>
        <v>Si</v>
      </c>
      <c r="AA60" s="6" t="str">
        <f ca="1">IFERROR(__xludf.DUMMYFUNCTION("""COMPUTED_VALUE"""),"Acepto")</f>
        <v>Acepto</v>
      </c>
      <c r="AB60" s="6" t="str">
        <f ca="1">IFERROR(__xludf.DUMMYFUNCTION("""COMPUTED_VALUE"""),"Terminado")</f>
        <v>Terminado</v>
      </c>
      <c r="AC60" s="6">
        <f ca="1">IFERROR(__xludf.DUMMYFUNCTION("""COMPUTED_VALUE"""),50000)</f>
        <v>50000</v>
      </c>
      <c r="AD60" s="6">
        <f ca="1">IFERROR(__xludf.DUMMYFUNCTION("""COMPUTED_VALUE"""),205101)</f>
        <v>205101</v>
      </c>
      <c r="AE60" s="38" t="str">
        <f ca="1">IFERROR(__xludf.DUMMYFUNCTION("""COMPUTED_VALUE"""),"TRF 30-08")</f>
        <v>TRF 30-08</v>
      </c>
      <c r="AF60" s="38"/>
      <c r="AG60" s="38"/>
      <c r="AH60" s="6"/>
      <c r="AI60" s="6"/>
    </row>
    <row r="61" spans="2:35" ht="13.2">
      <c r="B61" s="68">
        <f ca="1">IFERROR(__xludf.DUMMYFUNCTION("""COMPUTED_VALUE"""),45534.6886252314)</f>
        <v>45534.6886252314</v>
      </c>
      <c r="C61" s="36" t="str">
        <f ca="1">IFERROR(__xludf.DUMMYFUNCTION("""COMPUTED_VALUE"""),"Enzo ")</f>
        <v xml:space="preserve">Enzo </v>
      </c>
      <c r="D61" s="36" t="str">
        <f ca="1">IFERROR(__xludf.DUMMYFUNCTION("""COMPUTED_VALUE"""),"Lannia ")</f>
        <v xml:space="preserve">Lannia </v>
      </c>
      <c r="E61" s="36" t="str">
        <f ca="1">IFERROR(__xludf.DUMMYFUNCTION("""COMPUTED_VALUE"""),"Buenos aires")</f>
        <v>Buenos aires</v>
      </c>
      <c r="F61" s="6" t="str">
        <f ca="1">IFERROR(__xludf.DUMMYFUNCTION("""COMPUTED_VALUE"""),"ARG")</f>
        <v>ARG</v>
      </c>
      <c r="G61" s="6">
        <f ca="1">IFERROR(__xludf.DUMMYFUNCTION("""COMPUTED_VALUE"""),50306735)</f>
        <v>50306735</v>
      </c>
      <c r="H61" s="37">
        <f ca="1">IFERROR(__xludf.DUMMYFUNCTION("""COMPUTED_VALUE"""),40316)</f>
        <v>40316</v>
      </c>
      <c r="I61" s="38">
        <f ca="1">IFERROR(__xludf.DUMMYFUNCTION("""COMPUTED_VALUE"""),1132763991)</f>
        <v>1132763991</v>
      </c>
      <c r="J61" s="38">
        <f ca="1">IFERROR(__xludf.DUMMYFUNCTION("""COMPUTED_VALUE"""),1132763953)</f>
        <v>1132763953</v>
      </c>
      <c r="K61" s="38" t="str">
        <f ca="1">IFERROR(__xludf.DUMMYFUNCTION("""COMPUTED_VALUE"""),"andreval05@homail.com")</f>
        <v>andreval05@homail.com</v>
      </c>
      <c r="L61" s="38" t="str">
        <f ca="1">IFERROR(__xludf.DUMMYFUNCTION("""COMPUTED_VALUE"""),"Masculino")</f>
        <v>Masculino</v>
      </c>
      <c r="M61" s="38" t="str">
        <f ca="1">IFERROR(__xludf.DUMMYFUNCTION("""COMPUTED_VALUE"""),"Cvb")</f>
        <v>Cvb</v>
      </c>
      <c r="N61" s="38" t="str">
        <f ca="1">IFERROR(__xludf.DUMMYFUNCTION("""COMPUTED_VALUE"""),"Interior (Optimist)")</f>
        <v>Interior (Optimist)</v>
      </c>
      <c r="O61" s="38" t="str">
        <f ca="1">IFERROR(__xludf.DUMMYFUNCTION("""COMPUTED_VALUE"""),"OPTIMIST TIMONELES")</f>
        <v>OPTIMIST TIMONELES</v>
      </c>
      <c r="P61" s="38"/>
      <c r="Q61" s="6">
        <f ca="1">IFERROR(__xludf.DUMMYFUNCTION("""COMPUTED_VALUE"""),3114)</f>
        <v>3114</v>
      </c>
      <c r="R61" s="38"/>
      <c r="S61" s="38"/>
      <c r="T61" s="38"/>
      <c r="U61" s="38"/>
      <c r="V61" s="38"/>
      <c r="W61" s="38"/>
      <c r="X61" s="38"/>
      <c r="Y61" s="38" t="str">
        <f ca="1">IFERROR(__xludf.DUMMYFUNCTION("""COMPUTED_VALUE"""),"Swiss medical")</f>
        <v>Swiss medical</v>
      </c>
      <c r="Z61" s="6" t="str">
        <f ca="1">IFERROR(__xludf.DUMMYFUNCTION("""COMPUTED_VALUE"""),"Si")</f>
        <v>Si</v>
      </c>
      <c r="AA61" s="6" t="str">
        <f ca="1">IFERROR(__xludf.DUMMYFUNCTION("""COMPUTED_VALUE"""),"Acepto")</f>
        <v>Acepto</v>
      </c>
      <c r="AB61" s="6" t="str">
        <f ca="1">IFERROR(__xludf.DUMMYFUNCTION("""COMPUTED_VALUE"""),"Terminado")</f>
        <v>Terminado</v>
      </c>
      <c r="AC61" s="6">
        <f ca="1">IFERROR(__xludf.DUMMYFUNCTION("""COMPUTED_VALUE"""),50000)</f>
        <v>50000</v>
      </c>
      <c r="AD61" s="6">
        <f ca="1">IFERROR(__xludf.DUMMYFUNCTION("""COMPUTED_VALUE"""),205136)</f>
        <v>205136</v>
      </c>
      <c r="AE61" s="38" t="str">
        <f ca="1">IFERROR(__xludf.DUMMYFUNCTION("""COMPUTED_VALUE"""),"TRF 30-08")</f>
        <v>TRF 30-08</v>
      </c>
      <c r="AF61" s="38"/>
      <c r="AG61" s="38"/>
      <c r="AH61" s="6"/>
      <c r="AI61" s="6"/>
    </row>
    <row r="62" spans="2:35" ht="13.2">
      <c r="B62" s="68">
        <f ca="1">IFERROR(__xludf.DUMMYFUNCTION("""COMPUTED_VALUE"""),45532.5297163773)</f>
        <v>45532.529716377299</v>
      </c>
      <c r="C62" s="36" t="str">
        <f ca="1">IFERROR(__xludf.DUMMYFUNCTION("""COMPUTED_VALUE"""),"Emma")</f>
        <v>Emma</v>
      </c>
      <c r="D62" s="36" t="str">
        <f ca="1">IFERROR(__xludf.DUMMYFUNCTION("""COMPUTED_VALUE"""),"Lenzetti Colin ")</f>
        <v xml:space="preserve">Lenzetti Colin </v>
      </c>
      <c r="E62" s="36" t="str">
        <f ca="1">IFERROR(__xludf.DUMMYFUNCTION("""COMPUTED_VALUE"""),"La Plata ")</f>
        <v xml:space="preserve">La Plata </v>
      </c>
      <c r="F62" s="6" t="str">
        <f ca="1">IFERROR(__xludf.DUMMYFUNCTION("""COMPUTED_VALUE"""),"ARG")</f>
        <v>ARG</v>
      </c>
      <c r="G62" s="6">
        <f ca="1">IFERROR(__xludf.DUMMYFUNCTION("""COMPUTED_VALUE"""),51261170)</f>
        <v>51261170</v>
      </c>
      <c r="H62" s="37">
        <f ca="1">IFERROR(__xludf.DUMMYFUNCTION("""COMPUTED_VALUE"""),40755)</f>
        <v>40755</v>
      </c>
      <c r="I62" s="38">
        <f ca="1">IFERROR(__xludf.DUMMYFUNCTION("""COMPUTED_VALUE"""),2216112066)</f>
        <v>2216112066</v>
      </c>
      <c r="J62" s="38">
        <f ca="1">IFERROR(__xludf.DUMMYFUNCTION("""COMPUTED_VALUE"""),2213573333)</f>
        <v>2213573333</v>
      </c>
      <c r="K62" s="38" t="str">
        <f ca="1">IFERROR(__xludf.DUMMYFUNCTION("""COMPUTED_VALUE"""),"emmalenzetticolin@gmail.com")</f>
        <v>emmalenzetticolin@gmail.com</v>
      </c>
      <c r="L62" s="38" t="str">
        <f ca="1">IFERROR(__xludf.DUMMYFUNCTION("""COMPUTED_VALUE"""),"Femenino")</f>
        <v>Femenino</v>
      </c>
      <c r="M62" s="38" t="str">
        <f ca="1">IFERROR(__xludf.DUMMYFUNCTION("""COMPUTED_VALUE"""),"CRLP")</f>
        <v>CRLP</v>
      </c>
      <c r="N62" s="38" t="str">
        <f ca="1">IFERROR(__xludf.DUMMYFUNCTION("""COMPUTED_VALUE"""),"Femenino")</f>
        <v>Femenino</v>
      </c>
      <c r="O62" s="38" t="str">
        <f ca="1">IFERROR(__xludf.DUMMYFUNCTION("""COMPUTED_VALUE"""),"OPTIMIST TIMONELES")</f>
        <v>OPTIMIST TIMONELES</v>
      </c>
      <c r="P62" s="38"/>
      <c r="Q62" s="6">
        <f ca="1">IFERROR(__xludf.DUMMYFUNCTION("""COMPUTED_VALUE"""),3754)</f>
        <v>3754</v>
      </c>
      <c r="R62" s="38"/>
      <c r="S62" s="38"/>
      <c r="T62" s="38"/>
      <c r="U62" s="38"/>
      <c r="V62" s="38"/>
      <c r="W62" s="38"/>
      <c r="X62" s="38"/>
      <c r="Y62" s="38" t="str">
        <f ca="1">IFERROR(__xludf.DUMMYFUNCTION("""COMPUTED_VALUE"""),"swiss medical 800006 3965174 04 0014")</f>
        <v>swiss medical 800006 3965174 04 0014</v>
      </c>
      <c r="Z62" s="6" t="str">
        <f ca="1">IFERROR(__xludf.DUMMYFUNCTION("""COMPUTED_VALUE"""),"Si")</f>
        <v>Si</v>
      </c>
      <c r="AA62" s="6" t="str">
        <f ca="1">IFERROR(__xludf.DUMMYFUNCTION("""COMPUTED_VALUE"""),"Acepto")</f>
        <v>Acepto</v>
      </c>
      <c r="AB62" s="6" t="str">
        <f ca="1">IFERROR(__xludf.DUMMYFUNCTION("""COMPUTED_VALUE"""),"Terminado")</f>
        <v>Terminado</v>
      </c>
      <c r="AC62" s="6">
        <f ca="1">IFERROR(__xludf.DUMMYFUNCTION("""COMPUTED_VALUE"""),50000)</f>
        <v>50000</v>
      </c>
      <c r="AD62" s="6">
        <f ca="1">IFERROR(__xludf.DUMMYFUNCTION("""COMPUTED_VALUE"""),205067)</f>
        <v>205067</v>
      </c>
      <c r="AE62" s="38" t="str">
        <f ca="1">IFERROR(__xludf.DUMMYFUNCTION("""COMPUTED_VALUE"""),"TRF 28-08")</f>
        <v>TRF 28-08</v>
      </c>
      <c r="AF62" s="38"/>
      <c r="AG62" s="38"/>
      <c r="AH62" s="6"/>
      <c r="AI62" s="6"/>
    </row>
    <row r="63" spans="2:35" ht="13.2">
      <c r="B63" s="68">
        <f ca="1">IFERROR(__xludf.DUMMYFUNCTION("""COMPUTED_VALUE"""),45538.7790147222)</f>
        <v>45538.779014722197</v>
      </c>
      <c r="C63" s="36" t="str">
        <f ca="1">IFERROR(__xludf.DUMMYFUNCTION("""COMPUTED_VALUE"""),"María Trinidad ")</f>
        <v xml:space="preserve">María Trinidad </v>
      </c>
      <c r="D63" s="36" t="str">
        <f ca="1">IFERROR(__xludf.DUMMYFUNCTION("""COMPUTED_VALUE"""),"León Herrán")</f>
        <v>León Herrán</v>
      </c>
      <c r="E63" s="36" t="str">
        <f ca="1">IFERROR(__xludf.DUMMYFUNCTION("""COMPUTED_VALUE"""),"CABA")</f>
        <v>CABA</v>
      </c>
      <c r="F63" s="6" t="str">
        <f ca="1">IFERROR(__xludf.DUMMYFUNCTION("""COMPUTED_VALUE"""),"ARG")</f>
        <v>ARG</v>
      </c>
      <c r="G63" s="6">
        <f ca="1">IFERROR(__xludf.DUMMYFUNCTION("""COMPUTED_VALUE"""),49701997)</f>
        <v>49701997</v>
      </c>
      <c r="H63" s="37">
        <f ca="1">IFERROR(__xludf.DUMMYFUNCTION("""COMPUTED_VALUE"""),40052)</f>
        <v>40052</v>
      </c>
      <c r="I63" s="38">
        <f ca="1">IFERROR(__xludf.DUMMYFUNCTION("""COMPUTED_VALUE"""),1155842334)</f>
        <v>1155842334</v>
      </c>
      <c r="J63" s="38">
        <f ca="1">IFERROR(__xludf.DUMMYFUNCTION("""COMPUTED_VALUE"""),1155842334)</f>
        <v>1155842334</v>
      </c>
      <c r="K63" s="38" t="str">
        <f ca="1">IFERROR(__xludf.DUMMYFUNCTION("""COMPUTED_VALUE"""),"l.a.leon80@gmail.com")</f>
        <v>l.a.leon80@gmail.com</v>
      </c>
      <c r="L63" s="38" t="str">
        <f ca="1">IFERROR(__xludf.DUMMYFUNCTION("""COMPUTED_VALUE"""),"Femenino")</f>
        <v>Femenino</v>
      </c>
      <c r="M63" s="38" t="str">
        <f ca="1">IFERROR(__xludf.DUMMYFUNCTION("""COMPUTED_VALUE"""),"CUBA")</f>
        <v>CUBA</v>
      </c>
      <c r="N63" s="38" t="str">
        <f ca="1">IFERROR(__xludf.DUMMYFUNCTION("""COMPUTED_VALUE"""),"Femenino")</f>
        <v>Femenino</v>
      </c>
      <c r="O63" s="38" t="str">
        <f ca="1">IFERROR(__xludf.DUMMYFUNCTION("""COMPUTED_VALUE"""),"OPTIMIST TIMONELES")</f>
        <v>OPTIMIST TIMONELES</v>
      </c>
      <c r="P63" s="38"/>
      <c r="Q63" s="6">
        <f ca="1">IFERROR(__xludf.DUMMYFUNCTION("""COMPUTED_VALUE"""),3721)</f>
        <v>3721</v>
      </c>
      <c r="R63" s="38"/>
      <c r="S63" s="38"/>
      <c r="T63" s="38"/>
      <c r="U63" s="38"/>
      <c r="V63" s="38"/>
      <c r="W63" s="38"/>
      <c r="X63" s="38"/>
      <c r="Y63" s="38">
        <f ca="1">IFERROR(__xludf.DUMMYFUNCTION("""COMPUTED_VALUE"""),61628272803)</f>
        <v>61628272803</v>
      </c>
      <c r="Z63" s="6" t="str">
        <f ca="1">IFERROR(__xludf.DUMMYFUNCTION("""COMPUTED_VALUE"""),"No")</f>
        <v>No</v>
      </c>
      <c r="AA63" s="6" t="str">
        <f ca="1">IFERROR(__xludf.DUMMYFUNCTION("""COMPUTED_VALUE"""),"Acepto")</f>
        <v>Acepto</v>
      </c>
      <c r="AB63" s="6" t="str">
        <f ca="1">IFERROR(__xludf.DUMMYFUNCTION("""COMPUTED_VALUE"""),"Terminado")</f>
        <v>Terminado</v>
      </c>
      <c r="AC63" s="6">
        <f ca="1">IFERROR(__xludf.DUMMYFUNCTION("""COMPUTED_VALUE"""),50000)</f>
        <v>50000</v>
      </c>
      <c r="AD63" s="6">
        <f ca="1">IFERROR(__xludf.DUMMYFUNCTION("""COMPUTED_VALUE"""),205471)</f>
        <v>205471</v>
      </c>
      <c r="AE63" s="38" t="str">
        <f ca="1">IFERROR(__xludf.DUMMYFUNCTION("""COMPUTED_VALUE"""),"TRF 03-09")</f>
        <v>TRF 03-09</v>
      </c>
      <c r="AF63" s="38"/>
      <c r="AG63" s="38"/>
      <c r="AH63" s="6"/>
      <c r="AI63" s="6"/>
    </row>
    <row r="64" spans="2:35" ht="13.2">
      <c r="B64" s="68">
        <f ca="1">IFERROR(__xludf.DUMMYFUNCTION("""COMPUTED_VALUE"""),45535.6062299884)</f>
        <v>45535.6062299884</v>
      </c>
      <c r="C64" s="36" t="str">
        <f ca="1">IFERROR(__xludf.DUMMYFUNCTION("""COMPUTED_VALUE"""),"Helena")</f>
        <v>Helena</v>
      </c>
      <c r="D64" s="36" t="str">
        <f ca="1">IFERROR(__xludf.DUMMYFUNCTION("""COMPUTED_VALUE"""),"Lezana")</f>
        <v>Lezana</v>
      </c>
      <c r="E64" s="36" t="str">
        <f ca="1">IFERROR(__xludf.DUMMYFUNCTION("""COMPUTED_VALUE"""),"Zárate ")</f>
        <v xml:space="preserve">Zárate </v>
      </c>
      <c r="F64" s="6" t="str">
        <f ca="1">IFERROR(__xludf.DUMMYFUNCTION("""COMPUTED_VALUE"""),"ARG")</f>
        <v>ARG</v>
      </c>
      <c r="G64" s="6">
        <f ca="1">IFERROR(__xludf.DUMMYFUNCTION("""COMPUTED_VALUE"""),52977090)</f>
        <v>52977090</v>
      </c>
      <c r="H64" s="37">
        <f ca="1">IFERROR(__xludf.DUMMYFUNCTION("""COMPUTED_VALUE"""),41311)</f>
        <v>41311</v>
      </c>
      <c r="I64" s="38">
        <f ca="1">IFERROR(__xludf.DUMMYFUNCTION("""COMPUTED_VALUE"""),3487291980)</f>
        <v>3487291980</v>
      </c>
      <c r="J64" s="38">
        <f ca="1">IFERROR(__xludf.DUMMYFUNCTION("""COMPUTED_VALUE"""),3487291980)</f>
        <v>3487291980</v>
      </c>
      <c r="K64" s="38" t="str">
        <f ca="1">IFERROR(__xludf.DUMMYFUNCTION("""COMPUTED_VALUE"""),"carinaveronicatizi@gmail.com")</f>
        <v>carinaveronicatizi@gmail.com</v>
      </c>
      <c r="L64" s="38" t="str">
        <f ca="1">IFERROR(__xludf.DUMMYFUNCTION("""COMPUTED_VALUE"""),"Femenino")</f>
        <v>Femenino</v>
      </c>
      <c r="M64" s="38" t="str">
        <f ca="1">IFERROR(__xludf.DUMMYFUNCTION("""COMPUTED_VALUE"""),"CNZ")</f>
        <v>CNZ</v>
      </c>
      <c r="N64" s="38" t="str">
        <f ca="1">IFERROR(__xludf.DUMMYFUNCTION("""COMPUTED_VALUE"""),"Interior (Optimist)")</f>
        <v>Interior (Optimist)</v>
      </c>
      <c r="O64" s="38" t="str">
        <f ca="1">IFERROR(__xludf.DUMMYFUNCTION("""COMPUTED_VALUE"""),"OPTIMIST TIMONELES")</f>
        <v>OPTIMIST TIMONELES</v>
      </c>
      <c r="P64" s="38"/>
      <c r="Q64" s="6">
        <f ca="1">IFERROR(__xludf.DUMMYFUNCTION("""COMPUTED_VALUE"""),3457)</f>
        <v>3457</v>
      </c>
      <c r="R64" s="38" t="str">
        <f ca="1">IFERROR(__xludf.DUMMYFUNCTION("""COMPUTED_VALUE"""),"Rulos Traviesos")</f>
        <v>Rulos Traviesos</v>
      </c>
      <c r="S64" s="38"/>
      <c r="T64" s="38"/>
      <c r="U64" s="38"/>
      <c r="V64" s="38"/>
      <c r="W64" s="38"/>
      <c r="X64" s="38"/>
      <c r="Y64" s="38" t="str">
        <f ca="1">IFERROR(__xludf.DUMMYFUNCTION("""COMPUTED_VALUE"""),"OSDE")</f>
        <v>OSDE</v>
      </c>
      <c r="Z64" s="6" t="str">
        <f ca="1">IFERROR(__xludf.DUMMYFUNCTION("""COMPUTED_VALUE"""),"No")</f>
        <v>No</v>
      </c>
      <c r="AA64" s="6" t="str">
        <f ca="1">IFERROR(__xludf.DUMMYFUNCTION("""COMPUTED_VALUE"""),"Acepto")</f>
        <v>Acepto</v>
      </c>
      <c r="AB64" s="6" t="str">
        <f ca="1">IFERROR(__xludf.DUMMYFUNCTION("""COMPUTED_VALUE"""),"Terminado")</f>
        <v>Terminado</v>
      </c>
      <c r="AC64" s="6">
        <f ca="1">IFERROR(__xludf.DUMMYFUNCTION("""COMPUTED_VALUE"""),50000)</f>
        <v>50000</v>
      </c>
      <c r="AD64" s="6">
        <f ca="1">IFERROR(__xludf.DUMMYFUNCTION("""COMPUTED_VALUE"""),205345)</f>
        <v>205345</v>
      </c>
      <c r="AE64" s="38" t="str">
        <f ca="1">IFERROR(__xludf.DUMMYFUNCTION("""COMPUTED_VALUE"""),"TRF 31-08")</f>
        <v>TRF 31-08</v>
      </c>
      <c r="AF64" s="38"/>
      <c r="AG64" s="38"/>
      <c r="AH64" s="6"/>
      <c r="AI64" s="6"/>
    </row>
    <row r="65" spans="2:35" ht="13.2">
      <c r="B65" s="68">
        <f ca="1">IFERROR(__xludf.DUMMYFUNCTION("""COMPUTED_VALUE"""),45533.7795736111)</f>
        <v>45533.7795736111</v>
      </c>
      <c r="C65" s="36" t="str">
        <f ca="1">IFERROR(__xludf.DUMMYFUNCTION("""COMPUTED_VALUE"""),"Valentín ")</f>
        <v xml:space="preserve">Valentín </v>
      </c>
      <c r="D65" s="36" t="str">
        <f ca="1">IFERROR(__xludf.DUMMYFUNCTION("""COMPUTED_VALUE"""),"López Morgan ")</f>
        <v xml:space="preserve">López Morgan </v>
      </c>
      <c r="E65" s="36" t="str">
        <f ca="1">IFERROR(__xludf.DUMMYFUNCTION("""COMPUTED_VALUE"""),"Puerto Madryn")</f>
        <v>Puerto Madryn</v>
      </c>
      <c r="F65" s="6" t="str">
        <f ca="1">IFERROR(__xludf.DUMMYFUNCTION("""COMPUTED_VALUE"""),"ARG")</f>
        <v>ARG</v>
      </c>
      <c r="G65" s="6">
        <f ca="1">IFERROR(__xludf.DUMMYFUNCTION("""COMPUTED_VALUE"""),50217149)</f>
        <v>50217149</v>
      </c>
      <c r="H65" s="37">
        <f ca="1">IFERROR(__xludf.DUMMYFUNCTION("""COMPUTED_VALUE"""),40484)</f>
        <v>40484</v>
      </c>
      <c r="I65" s="38">
        <f ca="1">IFERROR(__xludf.DUMMYFUNCTION("""COMPUTED_VALUE"""),2804977351)</f>
        <v>2804977351</v>
      </c>
      <c r="J65" s="38">
        <f ca="1">IFERROR(__xludf.DUMMYFUNCTION("""COMPUTED_VALUE"""),2804657370)</f>
        <v>2804657370</v>
      </c>
      <c r="K65" s="38" t="str">
        <f ca="1">IFERROR(__xludf.DUMMYFUNCTION("""COMPUTED_VALUE"""),"vmacsen@gmail.com")</f>
        <v>vmacsen@gmail.com</v>
      </c>
      <c r="L65" s="38" t="str">
        <f ca="1">IFERROR(__xludf.DUMMYFUNCTION("""COMPUTED_VALUE"""),"Masculino")</f>
        <v>Masculino</v>
      </c>
      <c r="M65" s="38" t="str">
        <f ca="1">IFERROR(__xludf.DUMMYFUNCTION("""COMPUTED_VALUE"""),"CNAS")</f>
        <v>CNAS</v>
      </c>
      <c r="N65" s="38" t="str">
        <f ca="1">IFERROR(__xludf.DUMMYFUNCTION("""COMPUTED_VALUE"""),"Interior (Optimist)")</f>
        <v>Interior (Optimist)</v>
      </c>
      <c r="O65" s="38" t="str">
        <f ca="1">IFERROR(__xludf.DUMMYFUNCTION("""COMPUTED_VALUE"""),"OPTIMIST TIMONELES")</f>
        <v>OPTIMIST TIMONELES</v>
      </c>
      <c r="P65" s="38"/>
      <c r="Q65" s="6">
        <f ca="1">IFERROR(__xludf.DUMMYFUNCTION("""COMPUTED_VALUE"""),2339)</f>
        <v>2339</v>
      </c>
      <c r="R65" s="38" t="str">
        <f ca="1">IFERROR(__xludf.DUMMYFUNCTION("""COMPUTED_VALUE"""),"Black Dragon")</f>
        <v>Black Dragon</v>
      </c>
      <c r="S65" s="38"/>
      <c r="T65" s="38"/>
      <c r="U65" s="38"/>
      <c r="V65" s="38"/>
      <c r="W65" s="38"/>
      <c r="X65" s="38"/>
      <c r="Y65" s="38"/>
      <c r="Z65" s="6" t="str">
        <f ca="1">IFERROR(__xludf.DUMMYFUNCTION("""COMPUTED_VALUE"""),"Si")</f>
        <v>Si</v>
      </c>
      <c r="AA65" s="6" t="str">
        <f ca="1">IFERROR(__xludf.DUMMYFUNCTION("""COMPUTED_VALUE"""),"Acepto")</f>
        <v>Acepto</v>
      </c>
      <c r="AB65" s="6" t="str">
        <f ca="1">IFERROR(__xludf.DUMMYFUNCTION("""COMPUTED_VALUE"""),"Terminado")</f>
        <v>Terminado</v>
      </c>
      <c r="AC65" s="6">
        <f ca="1">IFERROR(__xludf.DUMMYFUNCTION("""COMPUTED_VALUE"""),42500)</f>
        <v>42500</v>
      </c>
      <c r="AD65" s="6">
        <f ca="1">IFERROR(__xludf.DUMMYFUNCTION("""COMPUTED_VALUE"""),205083)</f>
        <v>205083</v>
      </c>
      <c r="AE65" s="38" t="str">
        <f ca="1">IFERROR(__xludf.DUMMYFUNCTION("""COMPUTED_VALUE"""),"TRF 29-08")</f>
        <v>TRF 29-08</v>
      </c>
      <c r="AF65" s="38"/>
      <c r="AG65" s="38"/>
      <c r="AH65" s="6"/>
      <c r="AI65" s="6"/>
    </row>
    <row r="66" spans="2:35" ht="13.2">
      <c r="B66" s="68">
        <f ca="1">IFERROR(__xludf.DUMMYFUNCTION("""COMPUTED_VALUE"""),45533.5873749189)</f>
        <v>45533.587374918898</v>
      </c>
      <c r="C66" s="36" t="str">
        <f ca="1">IFERROR(__xludf.DUMMYFUNCTION("""COMPUTED_VALUE"""),"Tania")</f>
        <v>Tania</v>
      </c>
      <c r="D66" s="36" t="str">
        <f ca="1">IFERROR(__xludf.DUMMYFUNCTION("""COMPUTED_VALUE"""),"Lopez Obejero")</f>
        <v>Lopez Obejero</v>
      </c>
      <c r="E66" s="36" t="str">
        <f ca="1">IFERROR(__xludf.DUMMYFUNCTION("""COMPUTED_VALUE"""),"Buenos Aires")</f>
        <v>Buenos Aires</v>
      </c>
      <c r="F66" s="6" t="str">
        <f ca="1">IFERROR(__xludf.DUMMYFUNCTION("""COMPUTED_VALUE"""),"ARG")</f>
        <v>ARG</v>
      </c>
      <c r="G66" s="6">
        <f ca="1">IFERROR(__xludf.DUMMYFUNCTION("""COMPUTED_VALUE"""),50320758)</f>
        <v>50320758</v>
      </c>
      <c r="H66" s="37">
        <f ca="1">IFERROR(__xludf.DUMMYFUNCTION("""COMPUTED_VALUE"""),40344)</f>
        <v>40344</v>
      </c>
      <c r="I66" s="38" t="str">
        <f ca="1">IFERROR(__xludf.DUMMYFUNCTION("""COMPUTED_VALUE"""),"5578-7005")</f>
        <v>5578-7005</v>
      </c>
      <c r="J66" s="38" t="str">
        <f ca="1">IFERROR(__xludf.DUMMYFUNCTION("""COMPUTED_VALUE"""),"5307-7201")</f>
        <v>5307-7201</v>
      </c>
      <c r="K66" s="38" t="str">
        <f ca="1">IFERROR(__xludf.DUMMYFUNCTION("""COMPUTED_VALUE"""),"victoria.obejero@startechnology.com.ar")</f>
        <v>victoria.obejero@startechnology.com.ar</v>
      </c>
      <c r="L66" s="38" t="str">
        <f ca="1">IFERROR(__xludf.DUMMYFUNCTION("""COMPUTED_VALUE"""),"Femenino")</f>
        <v>Femenino</v>
      </c>
      <c r="M66" s="38" t="str">
        <f ca="1">IFERROR(__xludf.DUMMYFUNCTION("""COMPUTED_VALUE"""),"CPNLB")</f>
        <v>CPNLB</v>
      </c>
      <c r="N66" s="38" t="str">
        <f ca="1">IFERROR(__xludf.DUMMYFUNCTION("""COMPUTED_VALUE"""),"Femenino")</f>
        <v>Femenino</v>
      </c>
      <c r="O66" s="38" t="str">
        <f ca="1">IFERROR(__xludf.DUMMYFUNCTION("""COMPUTED_VALUE"""),"OPTIMIST TIMONELES")</f>
        <v>OPTIMIST TIMONELES</v>
      </c>
      <c r="P66" s="38"/>
      <c r="Q66" s="6">
        <f ca="1">IFERROR(__xludf.DUMMYFUNCTION("""COMPUTED_VALUE"""),3775)</f>
        <v>3775</v>
      </c>
      <c r="R66" s="38"/>
      <c r="S66" s="38"/>
      <c r="T66" s="38"/>
      <c r="U66" s="38"/>
      <c r="V66" s="38"/>
      <c r="W66" s="38"/>
      <c r="X66" s="38"/>
      <c r="Y66" s="38" t="str">
        <f ca="1">IFERROR(__xludf.DUMMYFUNCTION("""COMPUTED_VALUE"""),"GALENO ORO")</f>
        <v>GALENO ORO</v>
      </c>
      <c r="Z66" s="6" t="str">
        <f ca="1">IFERROR(__xludf.DUMMYFUNCTION("""COMPUTED_VALUE"""),"Si")</f>
        <v>Si</v>
      </c>
      <c r="AA66" s="6" t="str">
        <f ca="1">IFERROR(__xludf.DUMMYFUNCTION("""COMPUTED_VALUE"""),"Acepto")</f>
        <v>Acepto</v>
      </c>
      <c r="AB66" s="6" t="str">
        <f ca="1">IFERROR(__xludf.DUMMYFUNCTION("""COMPUTED_VALUE"""),"Terminado")</f>
        <v>Terminado</v>
      </c>
      <c r="AC66" s="6">
        <f ca="1">IFERROR(__xludf.DUMMYFUNCTION("""COMPUTED_VALUE"""),50000)</f>
        <v>50000</v>
      </c>
      <c r="AD66" s="6">
        <f ca="1">IFERROR(__xludf.DUMMYFUNCTION("""COMPUTED_VALUE"""),205079)</f>
        <v>205079</v>
      </c>
      <c r="AE66" s="38" t="str">
        <f ca="1">IFERROR(__xludf.DUMMYFUNCTION("""COMPUTED_VALUE"""),"TRF 29-08")</f>
        <v>TRF 29-08</v>
      </c>
      <c r="AF66" s="38"/>
      <c r="AG66" s="38"/>
      <c r="AH66" s="6"/>
      <c r="AI66" s="6"/>
    </row>
    <row r="67" spans="2:35" ht="13.2">
      <c r="B67" s="68">
        <f ca="1">IFERROR(__xludf.DUMMYFUNCTION("""COMPUTED_VALUE"""),45530.6371090856)</f>
        <v>45530.637109085597</v>
      </c>
      <c r="C67" s="36" t="str">
        <f ca="1">IFERROR(__xludf.DUMMYFUNCTION("""COMPUTED_VALUE"""),"LISANDRO")</f>
        <v>LISANDRO</v>
      </c>
      <c r="D67" s="36" t="str">
        <f ca="1">IFERROR(__xludf.DUMMYFUNCTION("""COMPUTED_VALUE"""),"LOUREYRO MORGENSTERN")</f>
        <v>LOUREYRO MORGENSTERN</v>
      </c>
      <c r="E67" s="36" t="str">
        <f ca="1">IFERROR(__xludf.DUMMYFUNCTION("""COMPUTED_VALUE"""),"NUÑEZ")</f>
        <v>NUÑEZ</v>
      </c>
      <c r="F67" s="6" t="str">
        <f ca="1">IFERROR(__xludf.DUMMYFUNCTION("""COMPUTED_VALUE"""),"ARG")</f>
        <v>ARG</v>
      </c>
      <c r="G67" s="6">
        <f ca="1">IFERROR(__xludf.DUMMYFUNCTION("""COMPUTED_VALUE"""),51125616)</f>
        <v>51125616</v>
      </c>
      <c r="H67" s="37">
        <f ca="1">IFERROR(__xludf.DUMMYFUNCTION("""COMPUTED_VALUE"""),40658)</f>
        <v>40658</v>
      </c>
      <c r="I67" s="38">
        <f ca="1">IFERROR(__xludf.DUMMYFUNCTION("""COMPUTED_VALUE"""),1552210801)</f>
        <v>1552210801</v>
      </c>
      <c r="J67" s="38">
        <f ca="1">IFERROR(__xludf.DUMMYFUNCTION("""COMPUTED_VALUE"""),1552210801)</f>
        <v>1552210801</v>
      </c>
      <c r="K67" s="38" t="str">
        <f ca="1">IFERROR(__xludf.DUMMYFUNCTION("""COMPUTED_VALUE"""),"laspenelopes2011@gmail.com")</f>
        <v>laspenelopes2011@gmail.com</v>
      </c>
      <c r="L67" s="38" t="str">
        <f ca="1">IFERROR(__xludf.DUMMYFUNCTION("""COMPUTED_VALUE"""),"Masculino")</f>
        <v>Masculino</v>
      </c>
      <c r="M67" s="38" t="str">
        <f ca="1">IFERROR(__xludf.DUMMYFUNCTION("""COMPUTED_VALUE"""),"CVB")</f>
        <v>CVB</v>
      </c>
      <c r="N67" s="38" t="str">
        <f ca="1">IFERROR(__xludf.DUMMYFUNCTION("""COMPUTED_VALUE"""),"OPTIMIST TIMONEL")</f>
        <v>OPTIMIST TIMONEL</v>
      </c>
      <c r="O67" s="38" t="str">
        <f ca="1">IFERROR(__xludf.DUMMYFUNCTION("""COMPUTED_VALUE"""),"OPTIMIST TIMONELES")</f>
        <v>OPTIMIST TIMONELES</v>
      </c>
      <c r="P67" s="38"/>
      <c r="Q67" s="6">
        <f ca="1">IFERROR(__xludf.DUMMYFUNCTION("""COMPUTED_VALUE"""),4126)</f>
        <v>4126</v>
      </c>
      <c r="R67" s="38"/>
      <c r="S67" s="38"/>
      <c r="T67" s="38"/>
      <c r="U67" s="38"/>
      <c r="V67" s="38"/>
      <c r="W67" s="38"/>
      <c r="X67" s="38"/>
      <c r="Y67" s="38" t="str">
        <f ca="1">IFERROR(__xludf.DUMMYFUNCTION("""COMPUTED_VALUE"""),"OSDE CREDENCIAL 61758693303")</f>
        <v>OSDE CREDENCIAL 61758693303</v>
      </c>
      <c r="Z67" s="6" t="str">
        <f ca="1">IFERROR(__xludf.DUMMYFUNCTION("""COMPUTED_VALUE"""),"Si")</f>
        <v>Si</v>
      </c>
      <c r="AA67" s="6" t="str">
        <f ca="1">IFERROR(__xludf.DUMMYFUNCTION("""COMPUTED_VALUE"""),"Acepto")</f>
        <v>Acepto</v>
      </c>
      <c r="AB67" s="6" t="str">
        <f ca="1">IFERROR(__xludf.DUMMYFUNCTION("""COMPUTED_VALUE"""),"Terminado")</f>
        <v>Terminado</v>
      </c>
      <c r="AC67" s="6">
        <f ca="1">IFERROR(__xludf.DUMMYFUNCTION("""COMPUTED_VALUE"""),50000)</f>
        <v>50000</v>
      </c>
      <c r="AD67" s="6">
        <f ca="1">IFERROR(__xludf.DUMMYFUNCTION("""COMPUTED_VALUE"""),205071)</f>
        <v>205071</v>
      </c>
      <c r="AE67" s="38" t="str">
        <f ca="1">IFERROR(__xludf.DUMMYFUNCTION("""COMPUTED_VALUE"""),"TRF 28-08")</f>
        <v>TRF 28-08</v>
      </c>
      <c r="AF67" s="38"/>
      <c r="AG67" s="38"/>
      <c r="AH67" s="6"/>
      <c r="AI67" s="6"/>
    </row>
    <row r="68" spans="2:35" ht="13.2">
      <c r="B68" s="68">
        <f ca="1">IFERROR(__xludf.DUMMYFUNCTION("""COMPUTED_VALUE"""),45536.3814568402)</f>
        <v>45536.381456840201</v>
      </c>
      <c r="C68" s="36" t="str">
        <f ca="1">IFERROR(__xludf.DUMMYFUNCTION("""COMPUTED_VALUE"""),"Juan Felipe")</f>
        <v>Juan Felipe</v>
      </c>
      <c r="D68" s="36" t="str">
        <f ca="1">IFERROR(__xludf.DUMMYFUNCTION("""COMPUTED_VALUE"""),"Luis")</f>
        <v>Luis</v>
      </c>
      <c r="E68" s="36" t="str">
        <f ca="1">IFERROR(__xludf.DUMMYFUNCTION("""COMPUTED_VALUE"""),"La Plata ")</f>
        <v xml:space="preserve">La Plata </v>
      </c>
      <c r="F68" s="6" t="str">
        <f ca="1">IFERROR(__xludf.DUMMYFUNCTION("""COMPUTED_VALUE"""),"ARG")</f>
        <v>ARG</v>
      </c>
      <c r="G68" s="6">
        <f ca="1">IFERROR(__xludf.DUMMYFUNCTION("""COMPUTED_VALUE"""),52908766)</f>
        <v>52908766</v>
      </c>
      <c r="H68" s="37">
        <f ca="1">IFERROR(__xludf.DUMMYFUNCTION("""COMPUTED_VALUE"""),41234)</f>
        <v>41234</v>
      </c>
      <c r="I68" s="38">
        <f ca="1">IFERROR(__xludf.DUMMYFUNCTION("""COMPUTED_VALUE"""),2216162390)</f>
        <v>2216162390</v>
      </c>
      <c r="J68" s="38">
        <f ca="1">IFERROR(__xludf.DUMMYFUNCTION("""COMPUTED_VALUE"""),2216162390)</f>
        <v>2216162390</v>
      </c>
      <c r="K68" s="38" t="str">
        <f ca="1">IFERROR(__xludf.DUMMYFUNCTION("""COMPUTED_VALUE"""),"luciagaray1@gmail.com")</f>
        <v>luciagaray1@gmail.com</v>
      </c>
      <c r="L68" s="38" t="str">
        <f ca="1">IFERROR(__xludf.DUMMYFUNCTION("""COMPUTED_VALUE"""),"Masculino")</f>
        <v>Masculino</v>
      </c>
      <c r="M68" s="38" t="str">
        <f ca="1">IFERROR(__xludf.DUMMYFUNCTION("""COMPUTED_VALUE"""),"CRLP ")</f>
        <v xml:space="preserve">CRLP </v>
      </c>
      <c r="N68" s="38"/>
      <c r="O68" s="38" t="str">
        <f ca="1">IFERROR(__xludf.DUMMYFUNCTION("""COMPUTED_VALUE"""),"OPTIMIST TIMONELES")</f>
        <v>OPTIMIST TIMONELES</v>
      </c>
      <c r="P68" s="38"/>
      <c r="Q68" s="6">
        <f ca="1">IFERROR(__xludf.DUMMYFUNCTION("""COMPUTED_VALUE"""),3297)</f>
        <v>3297</v>
      </c>
      <c r="R68" s="38" t="str">
        <f ca="1">IFERROR(__xludf.DUMMYFUNCTION("""COMPUTED_VALUE"""),"Enigma")</f>
        <v>Enigma</v>
      </c>
      <c r="S68" s="38"/>
      <c r="T68" s="38"/>
      <c r="U68" s="38"/>
      <c r="V68" s="38"/>
      <c r="W68" s="38"/>
      <c r="X68" s="38"/>
      <c r="Y68" s="38" t="str">
        <f ca="1">IFERROR(__xludf.DUMMYFUNCTION("""COMPUTED_VALUE"""),"B25224153004")</f>
        <v>B25224153004</v>
      </c>
      <c r="Z68" s="6" t="str">
        <f ca="1">IFERROR(__xludf.DUMMYFUNCTION("""COMPUTED_VALUE"""),"Si")</f>
        <v>Si</v>
      </c>
      <c r="AA68" s="6" t="str">
        <f ca="1">IFERROR(__xludf.DUMMYFUNCTION("""COMPUTED_VALUE"""),"Acepto")</f>
        <v>Acepto</v>
      </c>
      <c r="AB68" s="6" t="str">
        <f ca="1">IFERROR(__xludf.DUMMYFUNCTION("""COMPUTED_VALUE"""),"Terminado")</f>
        <v>Terminado</v>
      </c>
      <c r="AC68" s="6">
        <f ca="1">IFERROR(__xludf.DUMMYFUNCTION("""COMPUTED_VALUE"""),70000)</f>
        <v>70000</v>
      </c>
      <c r="AD68" s="6">
        <f ca="1">IFERROR(__xludf.DUMMYFUNCTION("""COMPUTED_VALUE"""),205334)</f>
        <v>205334</v>
      </c>
      <c r="AE68" s="38" t="str">
        <f ca="1">IFERROR(__xludf.DUMMYFUNCTION("""COMPUTED_VALUE"""),"TRF 01-09")</f>
        <v>TRF 01-09</v>
      </c>
      <c r="AF68" s="38"/>
      <c r="AG68" s="38"/>
      <c r="AH68" s="6"/>
      <c r="AI68" s="6"/>
    </row>
    <row r="69" spans="2:35" ht="13.2">
      <c r="B69" s="68">
        <f ca="1">IFERROR(__xludf.DUMMYFUNCTION("""COMPUTED_VALUE"""),45534.7605956365)</f>
        <v>45534.760595636501</v>
      </c>
      <c r="C69" s="36" t="str">
        <f ca="1">IFERROR(__xludf.DUMMYFUNCTION("""COMPUTED_VALUE"""),"Bautista ")</f>
        <v xml:space="preserve">Bautista </v>
      </c>
      <c r="D69" s="36" t="str">
        <f ca="1">IFERROR(__xludf.DUMMYFUNCTION("""COMPUTED_VALUE"""),"Luque ")</f>
        <v xml:space="preserve">Luque </v>
      </c>
      <c r="E69" s="36" t="str">
        <f ca="1">IFERROR(__xludf.DUMMYFUNCTION("""COMPUTED_VALUE"""),"Buenos Aires ")</f>
        <v xml:space="preserve">Buenos Aires </v>
      </c>
      <c r="F69" s="6" t="str">
        <f ca="1">IFERROR(__xludf.DUMMYFUNCTION("""COMPUTED_VALUE"""),"ARG")</f>
        <v>ARG</v>
      </c>
      <c r="G69" s="6">
        <f ca="1">IFERROR(__xludf.DUMMYFUNCTION("""COMPUTED_VALUE"""),50416772)</f>
        <v>50416772</v>
      </c>
      <c r="H69" s="37">
        <f ca="1">IFERROR(__xludf.DUMMYFUNCTION("""COMPUTED_VALUE"""),40364)</f>
        <v>40364</v>
      </c>
      <c r="I69" s="38">
        <f ca="1">IFERROR(__xludf.DUMMYFUNCTION("""COMPUTED_VALUE"""),91161879557)</f>
        <v>91161879557</v>
      </c>
      <c r="J69" s="38">
        <f ca="1">IFERROR(__xludf.DUMMYFUNCTION("""COMPUTED_VALUE"""),91161879557)</f>
        <v>91161879557</v>
      </c>
      <c r="K69" s="38" t="str">
        <f ca="1">IFERROR(__xludf.DUMMYFUNCTION("""COMPUTED_VALUE"""),"Lulipalau@hotmail.com")</f>
        <v>Lulipalau@hotmail.com</v>
      </c>
      <c r="L69" s="38" t="str">
        <f ca="1">IFERROR(__xludf.DUMMYFUNCTION("""COMPUTED_VALUE"""),"Masculino")</f>
        <v>Masculino</v>
      </c>
      <c r="M69" s="38" t="str">
        <f ca="1">IFERROR(__xludf.DUMMYFUNCTION("""COMPUTED_VALUE"""),"YCO")</f>
        <v>YCO</v>
      </c>
      <c r="N69" s="38"/>
      <c r="O69" s="38" t="str">
        <f ca="1">IFERROR(__xludf.DUMMYFUNCTION("""COMPUTED_VALUE"""),"OPTIMIST TIMONELES")</f>
        <v>OPTIMIST TIMONELES</v>
      </c>
      <c r="P69" s="38"/>
      <c r="Q69" s="6" t="str">
        <f ca="1">IFERROR(__xludf.DUMMYFUNCTION("""COMPUTED_VALUE"""),"ARG 4011")</f>
        <v>ARG 4011</v>
      </c>
      <c r="R69" s="38"/>
      <c r="S69" s="38"/>
      <c r="T69" s="38"/>
      <c r="U69" s="38"/>
      <c r="V69" s="38"/>
      <c r="W69" s="38"/>
      <c r="X69" s="38"/>
      <c r="Y69" s="38">
        <f ca="1">IFERROR(__xludf.DUMMYFUNCTION("""COMPUTED_VALUE"""),61108063902)</f>
        <v>61108063902</v>
      </c>
      <c r="Z69" s="6" t="str">
        <f ca="1">IFERROR(__xludf.DUMMYFUNCTION("""COMPUTED_VALUE"""),"Si")</f>
        <v>Si</v>
      </c>
      <c r="AA69" s="6" t="str">
        <f ca="1">IFERROR(__xludf.DUMMYFUNCTION("""COMPUTED_VALUE"""),"Acepto")</f>
        <v>Acepto</v>
      </c>
      <c r="AB69" s="6" t="str">
        <f ca="1">IFERROR(__xludf.DUMMYFUNCTION("""COMPUTED_VALUE"""),"Terminado")</f>
        <v>Terminado</v>
      </c>
      <c r="AC69" s="6">
        <f ca="1">IFERROR(__xludf.DUMMYFUNCTION("""COMPUTED_VALUE"""),50000)</f>
        <v>50000</v>
      </c>
      <c r="AD69" s="6"/>
      <c r="AE69" s="38" t="str">
        <f ca="1">IFERROR(__xludf.DUMMYFUNCTION("""COMPUTED_VALUE"""),"AF")</f>
        <v>AF</v>
      </c>
      <c r="AF69" s="38"/>
      <c r="AG69" s="38"/>
      <c r="AH69" s="6"/>
      <c r="AI69" s="6"/>
    </row>
    <row r="70" spans="2:35" ht="13.2">
      <c r="B70" s="68">
        <f ca="1">IFERROR(__xludf.DUMMYFUNCTION("""COMPUTED_VALUE"""),45534.7620573148)</f>
        <v>45534.762057314801</v>
      </c>
      <c r="C70" s="36" t="str">
        <f ca="1">IFERROR(__xludf.DUMMYFUNCTION("""COMPUTED_VALUE"""),"Delfina ")</f>
        <v xml:space="preserve">Delfina </v>
      </c>
      <c r="D70" s="36" t="str">
        <f ca="1">IFERROR(__xludf.DUMMYFUNCTION("""COMPUTED_VALUE"""),"Luque ")</f>
        <v xml:space="preserve">Luque </v>
      </c>
      <c r="E70" s="36" t="str">
        <f ca="1">IFERROR(__xludf.DUMMYFUNCTION("""COMPUTED_VALUE"""),"Buenos Aires ")</f>
        <v xml:space="preserve">Buenos Aires </v>
      </c>
      <c r="F70" s="6" t="str">
        <f ca="1">IFERROR(__xludf.DUMMYFUNCTION("""COMPUTED_VALUE"""),"ARG")</f>
        <v>ARG</v>
      </c>
      <c r="G70" s="6">
        <f ca="1">IFERROR(__xludf.DUMMYFUNCTION("""COMPUTED_VALUE"""),52768606)</f>
        <v>52768606</v>
      </c>
      <c r="H70" s="37">
        <f ca="1">IFERROR(__xludf.DUMMYFUNCTION("""COMPUTED_VALUE"""),41178)</f>
        <v>41178</v>
      </c>
      <c r="I70" s="38">
        <f ca="1">IFERROR(__xludf.DUMMYFUNCTION("""COMPUTED_VALUE"""),91161879557)</f>
        <v>91161879557</v>
      </c>
      <c r="J70" s="38">
        <f ca="1">IFERROR(__xludf.DUMMYFUNCTION("""COMPUTED_VALUE"""),91161879557)</f>
        <v>91161879557</v>
      </c>
      <c r="K70" s="38" t="str">
        <f ca="1">IFERROR(__xludf.DUMMYFUNCTION("""COMPUTED_VALUE"""),"Lulipalau@hotmail.com")</f>
        <v>Lulipalau@hotmail.com</v>
      </c>
      <c r="L70" s="38" t="str">
        <f ca="1">IFERROR(__xludf.DUMMYFUNCTION("""COMPUTED_VALUE"""),"Femenino")</f>
        <v>Femenino</v>
      </c>
      <c r="M70" s="38" t="str">
        <f ca="1">IFERROR(__xludf.DUMMYFUNCTION("""COMPUTED_VALUE"""),"YCO")</f>
        <v>YCO</v>
      </c>
      <c r="N70" s="38" t="str">
        <f ca="1">IFERROR(__xludf.DUMMYFUNCTION("""COMPUTED_VALUE"""),"Femenino, Sub12")</f>
        <v>Femenino, Sub12</v>
      </c>
      <c r="O70" s="38" t="str">
        <f ca="1">IFERROR(__xludf.DUMMYFUNCTION("""COMPUTED_VALUE"""),"OPTIMIST TIMONELES")</f>
        <v>OPTIMIST TIMONELES</v>
      </c>
      <c r="P70" s="38"/>
      <c r="Q70" s="6" t="str">
        <f ca="1">IFERROR(__xludf.DUMMYFUNCTION("""COMPUTED_VALUE"""),"ARG4031")</f>
        <v>ARG4031</v>
      </c>
      <c r="R70" s="38"/>
      <c r="S70" s="38"/>
      <c r="T70" s="38"/>
      <c r="U70" s="38"/>
      <c r="V70" s="38"/>
      <c r="W70" s="38"/>
      <c r="X70" s="38"/>
      <c r="Y70" s="38">
        <f ca="1">IFERROR(__xludf.DUMMYFUNCTION("""COMPUTED_VALUE"""),61108063903)</f>
        <v>61108063903</v>
      </c>
      <c r="Z70" s="6" t="str">
        <f ca="1">IFERROR(__xludf.DUMMYFUNCTION("""COMPUTED_VALUE"""),"Si")</f>
        <v>Si</v>
      </c>
      <c r="AA70" s="6" t="str">
        <f ca="1">IFERROR(__xludf.DUMMYFUNCTION("""COMPUTED_VALUE"""),"Acepto")</f>
        <v>Acepto</v>
      </c>
      <c r="AB70" s="6" t="str">
        <f ca="1">IFERROR(__xludf.DUMMYFUNCTION("""COMPUTED_VALUE"""),"Terminado")</f>
        <v>Terminado</v>
      </c>
      <c r="AC70" s="6">
        <f ca="1">IFERROR(__xludf.DUMMYFUNCTION("""COMPUTED_VALUE"""),50000)</f>
        <v>50000</v>
      </c>
      <c r="AD70" s="6"/>
      <c r="AE70" s="38" t="str">
        <f ca="1">IFERROR(__xludf.DUMMYFUNCTION("""COMPUTED_VALUE"""),"AF")</f>
        <v>AF</v>
      </c>
      <c r="AF70" s="38"/>
      <c r="AG70" s="38"/>
      <c r="AH70" s="6"/>
      <c r="AI70" s="6"/>
    </row>
    <row r="71" spans="2:35" ht="13.2">
      <c r="B71" s="68">
        <f ca="1">IFERROR(__xludf.DUMMYFUNCTION("""COMPUTED_VALUE"""),45535.9718328125)</f>
        <v>45535.971832812502</v>
      </c>
      <c r="C71" s="36" t="str">
        <f ca="1">IFERROR(__xludf.DUMMYFUNCTION("""COMPUTED_VALUE"""),"Valentina")</f>
        <v>Valentina</v>
      </c>
      <c r="D71" s="36" t="str">
        <f ca="1">IFERROR(__xludf.DUMMYFUNCTION("""COMPUTED_VALUE"""),"Maffei")</f>
        <v>Maffei</v>
      </c>
      <c r="E71" s="36" t="str">
        <f ca="1">IFERROR(__xludf.DUMMYFUNCTION("""COMPUTED_VALUE"""),"CABA")</f>
        <v>CABA</v>
      </c>
      <c r="F71" s="6" t="str">
        <f ca="1">IFERROR(__xludf.DUMMYFUNCTION("""COMPUTED_VALUE"""),"ARG")</f>
        <v>ARG</v>
      </c>
      <c r="G71" s="6">
        <f ca="1">IFERROR(__xludf.DUMMYFUNCTION("""COMPUTED_VALUE"""),50903230)</f>
        <v>50903230</v>
      </c>
      <c r="H71" s="37">
        <f ca="1">IFERROR(__xludf.DUMMYFUNCTION("""COMPUTED_VALUE"""),40545)</f>
        <v>40545</v>
      </c>
      <c r="I71" s="38">
        <f ca="1">IFERROR(__xludf.DUMMYFUNCTION("""COMPUTED_VALUE"""),1156368464)</f>
        <v>1156368464</v>
      </c>
      <c r="J71" s="38">
        <f ca="1">IFERROR(__xludf.DUMMYFUNCTION("""COMPUTED_VALUE"""),1121894757)</f>
        <v>1121894757</v>
      </c>
      <c r="K71" s="38" t="str">
        <f ca="1">IFERROR(__xludf.DUMMYFUNCTION("""COMPUTED_VALUE"""),"dmemergencias@gmail.com")</f>
        <v>dmemergencias@gmail.com</v>
      </c>
      <c r="L71" s="38" t="str">
        <f ca="1">IFERROR(__xludf.DUMMYFUNCTION("""COMPUTED_VALUE"""),"Femenino")</f>
        <v>Femenino</v>
      </c>
      <c r="M71" s="38" t="str">
        <f ca="1">IFERROR(__xludf.DUMMYFUNCTION("""COMPUTED_VALUE"""),"CVB")</f>
        <v>CVB</v>
      </c>
      <c r="N71" s="38" t="str">
        <f ca="1">IFERROR(__xludf.DUMMYFUNCTION("""COMPUTED_VALUE"""),"Femenino")</f>
        <v>Femenino</v>
      </c>
      <c r="O71" s="38" t="str">
        <f ca="1">IFERROR(__xludf.DUMMYFUNCTION("""COMPUTED_VALUE"""),"OPTIMIST TIMONELES")</f>
        <v>OPTIMIST TIMONELES</v>
      </c>
      <c r="P71" s="38"/>
      <c r="Q71" s="6">
        <f ca="1">IFERROR(__xludf.DUMMYFUNCTION("""COMPUTED_VALUE"""),3643)</f>
        <v>3643</v>
      </c>
      <c r="R71" s="38"/>
      <c r="S71" s="38"/>
      <c r="T71" s="38"/>
      <c r="U71" s="38"/>
      <c r="V71" s="38"/>
      <c r="W71" s="38"/>
      <c r="X71" s="38"/>
      <c r="Y71" s="38" t="str">
        <f ca="1">IFERROR(__xludf.DUMMYFUNCTION("""COMPUTED_VALUE"""),"MEDICUS")</f>
        <v>MEDICUS</v>
      </c>
      <c r="Z71" s="6" t="str">
        <f ca="1">IFERROR(__xludf.DUMMYFUNCTION("""COMPUTED_VALUE"""),"No")</f>
        <v>No</v>
      </c>
      <c r="AA71" s="6" t="str">
        <f ca="1">IFERROR(__xludf.DUMMYFUNCTION("""COMPUTED_VALUE"""),"Acepto")</f>
        <v>Acepto</v>
      </c>
      <c r="AB71" s="6" t="str">
        <f ca="1">IFERROR(__xludf.DUMMYFUNCTION("""COMPUTED_VALUE"""),"Terminado")</f>
        <v>Terminado</v>
      </c>
      <c r="AC71" s="6">
        <f ca="1">IFERROR(__xludf.DUMMYFUNCTION("""COMPUTED_VALUE"""),50000)</f>
        <v>50000</v>
      </c>
      <c r="AD71" s="6">
        <f ca="1">IFERROR(__xludf.DUMMYFUNCTION("""COMPUTED_VALUE"""),205338)</f>
        <v>205338</v>
      </c>
      <c r="AE71" s="38" t="str">
        <f ca="1">IFERROR(__xludf.DUMMYFUNCTION("""COMPUTED_VALUE"""),"TRF 31-08")</f>
        <v>TRF 31-08</v>
      </c>
      <c r="AF71" s="38"/>
      <c r="AG71" s="38"/>
      <c r="AH71" s="6"/>
      <c r="AI71" s="6"/>
    </row>
    <row r="72" spans="2:35" ht="13.2">
      <c r="B72" s="68">
        <f ca="1">IFERROR(__xludf.DUMMYFUNCTION("""COMPUTED_VALUE"""),45538.8087801851)</f>
        <v>45538.8087801851</v>
      </c>
      <c r="C72" s="36" t="str">
        <f ca="1">IFERROR(__xludf.DUMMYFUNCTION("""COMPUTED_VALUE"""),"Constantino")</f>
        <v>Constantino</v>
      </c>
      <c r="D72" s="36" t="str">
        <f ca="1">IFERROR(__xludf.DUMMYFUNCTION("""COMPUTED_VALUE"""),"Maffei")</f>
        <v>Maffei</v>
      </c>
      <c r="E72" s="36" t="str">
        <f ca="1">IFERROR(__xludf.DUMMYFUNCTION("""COMPUTED_VALUE"""),"Buenos Aires")</f>
        <v>Buenos Aires</v>
      </c>
      <c r="F72" s="6" t="str">
        <f ca="1">IFERROR(__xludf.DUMMYFUNCTION("""COMPUTED_VALUE"""),"ARG")</f>
        <v>ARG</v>
      </c>
      <c r="G72" s="6">
        <f ca="1">IFERROR(__xludf.DUMMYFUNCTION("""COMPUTED_VALUE"""),51157369)</f>
        <v>51157369</v>
      </c>
      <c r="H72" s="37">
        <f ca="1">IFERROR(__xludf.DUMMYFUNCTION("""COMPUTED_VALUE"""),40725)</f>
        <v>40725</v>
      </c>
      <c r="I72" s="38">
        <f ca="1">IFERROR(__xludf.DUMMYFUNCTION("""COMPUTED_VALUE"""),1159763843)</f>
        <v>1159763843</v>
      </c>
      <c r="J72" s="38">
        <f ca="1">IFERROR(__xludf.DUMMYFUNCTION("""COMPUTED_VALUE"""),1151261100)</f>
        <v>1151261100</v>
      </c>
      <c r="K72" s="38" t="str">
        <f ca="1">IFERROR(__xludf.DUMMYFUNCTION("""COMPUTED_VALUE"""),"carinafarinelli@hotmail.com")</f>
        <v>carinafarinelli@hotmail.com</v>
      </c>
      <c r="L72" s="38" t="str">
        <f ca="1">IFERROR(__xludf.DUMMYFUNCTION("""COMPUTED_VALUE"""),"Masculino")</f>
        <v>Masculino</v>
      </c>
      <c r="M72" s="38" t="str">
        <f ca="1">IFERROR(__xludf.DUMMYFUNCTION("""COMPUTED_VALUE"""),"CPNLB")</f>
        <v>CPNLB</v>
      </c>
      <c r="N72" s="38"/>
      <c r="O72" s="38" t="str">
        <f ca="1">IFERROR(__xludf.DUMMYFUNCTION("""COMPUTED_VALUE"""),"OPTIMIST TIMONELES")</f>
        <v>OPTIMIST TIMONELES</v>
      </c>
      <c r="P72" s="38"/>
      <c r="Q72" s="6">
        <f ca="1">IFERROR(__xludf.DUMMYFUNCTION("""COMPUTED_VALUE"""),4047)</f>
        <v>4047</v>
      </c>
      <c r="R72" s="38" t="str">
        <f ca="1">IFERROR(__xludf.DUMMYFUNCTION("""COMPUTED_VALUE"""),"Demoledor ")</f>
        <v xml:space="preserve">Demoledor </v>
      </c>
      <c r="S72" s="38"/>
      <c r="T72" s="38"/>
      <c r="U72" s="38"/>
      <c r="V72" s="38"/>
      <c r="W72" s="38"/>
      <c r="X72" s="38"/>
      <c r="Y72" s="38" t="str">
        <f ca="1">IFERROR(__xludf.DUMMYFUNCTION("""COMPUTED_VALUE"""),"OSDE 310")</f>
        <v>OSDE 310</v>
      </c>
      <c r="Z72" s="6" t="str">
        <f ca="1">IFERROR(__xludf.DUMMYFUNCTION("""COMPUTED_VALUE"""),"Si")</f>
        <v>Si</v>
      </c>
      <c r="AA72" s="6" t="str">
        <f ca="1">IFERROR(__xludf.DUMMYFUNCTION("""COMPUTED_VALUE"""),"Acepto")</f>
        <v>Acepto</v>
      </c>
      <c r="AB72" s="6" t="str">
        <f ca="1">IFERROR(__xludf.DUMMYFUNCTION("""COMPUTED_VALUE"""),"Pendiente")</f>
        <v>Pendiente</v>
      </c>
      <c r="AC72" s="6"/>
      <c r="AD72" s="6"/>
      <c r="AE72" s="38"/>
      <c r="AF72" s="38"/>
      <c r="AG72" s="38"/>
      <c r="AH72" s="6"/>
      <c r="AI72" s="6"/>
    </row>
    <row r="73" spans="2:35" ht="13.2">
      <c r="B73" s="68">
        <f ca="1">IFERROR(__xludf.DUMMYFUNCTION("""COMPUTED_VALUE"""),45538.7409922685)</f>
        <v>45538.740992268496</v>
      </c>
      <c r="C73" s="36" t="str">
        <f ca="1">IFERROR(__xludf.DUMMYFUNCTION("""COMPUTED_VALUE"""),"FEDERICO EDUARDO")</f>
        <v>FEDERICO EDUARDO</v>
      </c>
      <c r="D73" s="36" t="str">
        <f ca="1">IFERROR(__xludf.DUMMYFUNCTION("""COMPUTED_VALUE"""),"MAINERO")</f>
        <v>MAINERO</v>
      </c>
      <c r="E73" s="36" t="str">
        <f ca="1">IFERROR(__xludf.DUMMYFUNCTION("""COMPUTED_VALUE"""),"BUENOS AIRES")</f>
        <v>BUENOS AIRES</v>
      </c>
      <c r="F73" s="6" t="str">
        <f ca="1">IFERROR(__xludf.DUMMYFUNCTION("""COMPUTED_VALUE"""),"ARG")</f>
        <v>ARG</v>
      </c>
      <c r="G73" s="6">
        <f ca="1">IFERROR(__xludf.DUMMYFUNCTION("""COMPUTED_VALUE"""),52448630)</f>
        <v>52448630</v>
      </c>
      <c r="H73" s="37">
        <f ca="1">IFERROR(__xludf.DUMMYFUNCTION("""COMPUTED_VALUE"""),41049)</f>
        <v>41049</v>
      </c>
      <c r="I73" s="38">
        <f ca="1">IFERROR(__xludf.DUMMYFUNCTION("""COMPUTED_VALUE"""),1149924264)</f>
        <v>1149924264</v>
      </c>
      <c r="J73" s="38">
        <f ca="1">IFERROR(__xludf.DUMMYFUNCTION("""COMPUTED_VALUE"""),1161929890)</f>
        <v>1161929890</v>
      </c>
      <c r="K73" s="38" t="str">
        <f ca="1">IFERROR(__xludf.DUMMYFUNCTION("""COMPUTED_VALUE"""),"info@mainerowicht.com.ar")</f>
        <v>info@mainerowicht.com.ar</v>
      </c>
      <c r="L73" s="38" t="str">
        <f ca="1">IFERROR(__xludf.DUMMYFUNCTION("""COMPUTED_VALUE"""),"Masculino")</f>
        <v>Masculino</v>
      </c>
      <c r="M73" s="38" t="str">
        <f ca="1">IFERROR(__xludf.DUMMYFUNCTION("""COMPUTED_VALUE"""),"YCCN")</f>
        <v>YCCN</v>
      </c>
      <c r="N73" s="38"/>
      <c r="O73" s="38" t="str">
        <f ca="1">IFERROR(__xludf.DUMMYFUNCTION("""COMPUTED_VALUE"""),"OPTIMIST TIMONELES")</f>
        <v>OPTIMIST TIMONELES</v>
      </c>
      <c r="P73" s="38"/>
      <c r="Q73" s="6">
        <f ca="1">IFERROR(__xludf.DUMMYFUNCTION("""COMPUTED_VALUE"""),3968)</f>
        <v>3968</v>
      </c>
      <c r="R73" s="38"/>
      <c r="S73" s="38"/>
      <c r="T73" s="38"/>
      <c r="U73" s="38"/>
      <c r="V73" s="38"/>
      <c r="W73" s="38"/>
      <c r="X73" s="38"/>
      <c r="Y73" s="38" t="str">
        <f ca="1">IFERROR(__xludf.DUMMYFUNCTION("""COMPUTED_VALUE"""),"OMINT")</f>
        <v>OMINT</v>
      </c>
      <c r="Z73" s="6" t="str">
        <f ca="1">IFERROR(__xludf.DUMMYFUNCTION("""COMPUTED_VALUE"""),"No")</f>
        <v>No</v>
      </c>
      <c r="AA73" s="6" t="str">
        <f ca="1">IFERROR(__xludf.DUMMYFUNCTION("""COMPUTED_VALUE"""),"Acepto")</f>
        <v>Acepto</v>
      </c>
      <c r="AB73" s="6" t="str">
        <f ca="1">IFERROR(__xludf.DUMMYFUNCTION("""COMPUTED_VALUE"""),"Terminado")</f>
        <v>Terminado</v>
      </c>
      <c r="AC73" s="6">
        <f ca="1">IFERROR(__xludf.DUMMYFUNCTION("""COMPUTED_VALUE"""),50000)</f>
        <v>50000</v>
      </c>
      <c r="AD73" s="6">
        <f ca="1">IFERROR(__xludf.DUMMYFUNCTION("""COMPUTED_VALUE"""),205418)</f>
        <v>205418</v>
      </c>
      <c r="AE73" s="38" t="str">
        <f ca="1">IFERROR(__xludf.DUMMYFUNCTION("""COMPUTED_VALUE"""),"TRF 03-09")</f>
        <v>TRF 03-09</v>
      </c>
      <c r="AF73" s="38"/>
      <c r="AG73" s="38"/>
      <c r="AH73" s="6"/>
      <c r="AI73" s="6"/>
    </row>
    <row r="74" spans="2:35" ht="13.2">
      <c r="B74" s="68">
        <f ca="1">IFERROR(__xludf.DUMMYFUNCTION("""COMPUTED_VALUE"""),45533.4646309374)</f>
        <v>45533.4646309374</v>
      </c>
      <c r="C74" s="36" t="str">
        <f ca="1">IFERROR(__xludf.DUMMYFUNCTION("""COMPUTED_VALUE"""),"MILO")</f>
        <v>MILO</v>
      </c>
      <c r="D74" s="36" t="str">
        <f ca="1">IFERROR(__xludf.DUMMYFUNCTION("""COMPUTED_VALUE"""),"MESSINA")</f>
        <v>MESSINA</v>
      </c>
      <c r="E74" s="36" t="str">
        <f ca="1">IFERROR(__xludf.DUMMYFUNCTION("""COMPUTED_VALUE"""),"BUENOS AIRES")</f>
        <v>BUENOS AIRES</v>
      </c>
      <c r="F74" s="6" t="str">
        <f ca="1">IFERROR(__xludf.DUMMYFUNCTION("""COMPUTED_VALUE"""),"ARG")</f>
        <v>ARG</v>
      </c>
      <c r="G74" s="6">
        <f ca="1">IFERROR(__xludf.DUMMYFUNCTION("""COMPUTED_VALUE"""),52122807)</f>
        <v>52122807</v>
      </c>
      <c r="H74" s="37">
        <f ca="1">IFERROR(__xludf.DUMMYFUNCTION("""COMPUTED_VALUE"""),-689531)</f>
        <v>-689531</v>
      </c>
      <c r="I74" s="38">
        <f ca="1">IFERROR(__xludf.DUMMYFUNCTION("""COMPUTED_VALUE"""),1162588124)</f>
        <v>1162588124</v>
      </c>
      <c r="J74" s="38">
        <f ca="1">IFERROR(__xludf.DUMMYFUNCTION("""COMPUTED_VALUE"""),1145587913)</f>
        <v>1145587913</v>
      </c>
      <c r="K74" s="38" t="str">
        <f ca="1">IFERROR(__xludf.DUMMYFUNCTION("""COMPUTED_VALUE"""),"CARO_MORE@YAHOO.COM")</f>
        <v>CARO_MORE@YAHOO.COM</v>
      </c>
      <c r="L74" s="38" t="str">
        <f ca="1">IFERROR(__xludf.DUMMYFUNCTION("""COMPUTED_VALUE"""),"Masculino")</f>
        <v>Masculino</v>
      </c>
      <c r="M74" s="38" t="str">
        <f ca="1">IFERROR(__xludf.DUMMYFUNCTION("""COMPUTED_VALUE"""),"CVB")</f>
        <v>CVB</v>
      </c>
      <c r="N74" s="38"/>
      <c r="O74" s="38" t="str">
        <f ca="1">IFERROR(__xludf.DUMMYFUNCTION("""COMPUTED_VALUE"""),"OPTIMIST TIMONELES")</f>
        <v>OPTIMIST TIMONELES</v>
      </c>
      <c r="P74" s="38"/>
      <c r="Q74" s="6">
        <f ca="1">IFERROR(__xludf.DUMMYFUNCTION("""COMPUTED_VALUE"""),3565)</f>
        <v>3565</v>
      </c>
      <c r="R74" s="38" t="str">
        <f ca="1">IFERROR(__xludf.DUMMYFUNCTION("""COMPUTED_VALUE"""),"TITAN")</f>
        <v>TITAN</v>
      </c>
      <c r="S74" s="38"/>
      <c r="T74" s="38"/>
      <c r="U74" s="38"/>
      <c r="V74" s="38"/>
      <c r="W74" s="38"/>
      <c r="X74" s="38"/>
      <c r="Y74" s="38" t="str">
        <f ca="1">IFERROR(__xludf.DUMMYFUNCTION("""COMPUTED_VALUE"""),"DOSUBA")</f>
        <v>DOSUBA</v>
      </c>
      <c r="Z74" s="6" t="str">
        <f ca="1">IFERROR(__xludf.DUMMYFUNCTION("""COMPUTED_VALUE"""),"Si")</f>
        <v>Si</v>
      </c>
      <c r="AA74" s="6" t="str">
        <f ca="1">IFERROR(__xludf.DUMMYFUNCTION("""COMPUTED_VALUE"""),"Acepto")</f>
        <v>Acepto</v>
      </c>
      <c r="AB74" s="6" t="str">
        <f ca="1">IFERROR(__xludf.DUMMYFUNCTION("""COMPUTED_VALUE"""),"Terminado")</f>
        <v>Terminado</v>
      </c>
      <c r="AC74" s="6">
        <f ca="1">IFERROR(__xludf.DUMMYFUNCTION("""COMPUTED_VALUE"""),50000)</f>
        <v>50000</v>
      </c>
      <c r="AD74" s="6">
        <f ca="1">IFERROR(__xludf.DUMMYFUNCTION("""COMPUTED_VALUE"""),205073)</f>
        <v>205073</v>
      </c>
      <c r="AE74" s="38" t="str">
        <f ca="1">IFERROR(__xludf.DUMMYFUNCTION("""COMPUTED_VALUE"""),"TRF 29-08")</f>
        <v>TRF 29-08</v>
      </c>
      <c r="AF74" s="38"/>
      <c r="AG74" s="38"/>
      <c r="AH74" s="6"/>
      <c r="AI74" s="6"/>
    </row>
    <row r="75" spans="2:35" ht="13.2">
      <c r="B75" s="68">
        <f ca="1">IFERROR(__xludf.DUMMYFUNCTION("""COMPUTED_VALUE"""),45535.5924189699)</f>
        <v>45535.5924189699</v>
      </c>
      <c r="C75" s="36" t="str">
        <f ca="1">IFERROR(__xludf.DUMMYFUNCTION("""COMPUTED_VALUE"""),"Josefina")</f>
        <v>Josefina</v>
      </c>
      <c r="D75" s="36" t="str">
        <f ca="1">IFERROR(__xludf.DUMMYFUNCTION("""COMPUTED_VALUE"""),"Mirey")</f>
        <v>Mirey</v>
      </c>
      <c r="E75" s="36" t="str">
        <f ca="1">IFERROR(__xludf.DUMMYFUNCTION("""COMPUTED_VALUE"""),"Zarate")</f>
        <v>Zarate</v>
      </c>
      <c r="F75" s="6" t="str">
        <f ca="1">IFERROR(__xludf.DUMMYFUNCTION("""COMPUTED_VALUE"""),"ARG")</f>
        <v>ARG</v>
      </c>
      <c r="G75" s="6">
        <f ca="1">IFERROR(__xludf.DUMMYFUNCTION("""COMPUTED_VALUE"""),51167440)</f>
        <v>51167440</v>
      </c>
      <c r="H75" s="37">
        <f ca="1">IFERROR(__xludf.DUMMYFUNCTION("""COMPUTED_VALUE"""),40773)</f>
        <v>40773</v>
      </c>
      <c r="I75" s="38" t="str">
        <f ca="1">IFERROR(__xludf.DUMMYFUNCTION("""COMPUTED_VALUE"""),"3487-308488")</f>
        <v>3487-308488</v>
      </c>
      <c r="J75" s="38" t="str">
        <f ca="1">IFERROR(__xludf.DUMMYFUNCTION("""COMPUTED_VALUE"""),"3487-308487")</f>
        <v>3487-308487</v>
      </c>
      <c r="K75" s="38" t="str">
        <f ca="1">IFERROR(__xludf.DUMMYFUNCTION("""COMPUTED_VALUE"""),"marcelomirey@hotmail.com")</f>
        <v>marcelomirey@hotmail.com</v>
      </c>
      <c r="L75" s="38" t="str">
        <f ca="1">IFERROR(__xludf.DUMMYFUNCTION("""COMPUTED_VALUE"""),"Femenino")</f>
        <v>Femenino</v>
      </c>
      <c r="M75" s="38" t="str">
        <f ca="1">IFERROR(__xludf.DUMMYFUNCTION("""COMPUTED_VALUE"""),"CNZ")</f>
        <v>CNZ</v>
      </c>
      <c r="N75" s="38" t="str">
        <f ca="1">IFERROR(__xludf.DUMMYFUNCTION("""COMPUTED_VALUE"""),"Femenino")</f>
        <v>Femenino</v>
      </c>
      <c r="O75" s="38" t="str">
        <f ca="1">IFERROR(__xludf.DUMMYFUNCTION("""COMPUTED_VALUE"""),"OPTIMIST TIMONELES")</f>
        <v>OPTIMIST TIMONELES</v>
      </c>
      <c r="P75" s="38"/>
      <c r="Q75" s="6">
        <f ca="1">IFERROR(__xludf.DUMMYFUNCTION("""COMPUTED_VALUE"""),3538)</f>
        <v>3538</v>
      </c>
      <c r="R75" s="38"/>
      <c r="S75" s="38"/>
      <c r="T75" s="38"/>
      <c r="U75" s="38"/>
      <c r="V75" s="38"/>
      <c r="W75" s="38"/>
      <c r="X75" s="38"/>
      <c r="Y75" s="38" t="str">
        <f ca="1">IFERROR(__xludf.DUMMYFUNCTION("""COMPUTED_VALUE"""),"COMEI 050863-02-0 ")</f>
        <v xml:space="preserve">COMEI 050863-02-0 </v>
      </c>
      <c r="Z75" s="6" t="str">
        <f ca="1">IFERROR(__xludf.DUMMYFUNCTION("""COMPUTED_VALUE"""),"Si")</f>
        <v>Si</v>
      </c>
      <c r="AA75" s="6" t="str">
        <f ca="1">IFERROR(__xludf.DUMMYFUNCTION("""COMPUTED_VALUE"""),"Acepto")</f>
        <v>Acepto</v>
      </c>
      <c r="AB75" s="6" t="str">
        <f ca="1">IFERROR(__xludf.DUMMYFUNCTION("""COMPUTED_VALUE"""),"Terminado")</f>
        <v>Terminado</v>
      </c>
      <c r="AC75" s="6">
        <f ca="1">IFERROR(__xludf.DUMMYFUNCTION("""COMPUTED_VALUE"""),50000)</f>
        <v>50000</v>
      </c>
      <c r="AD75" s="6">
        <f ca="1">IFERROR(__xludf.DUMMYFUNCTION("""COMPUTED_VALUE"""),205152)</f>
        <v>205152</v>
      </c>
      <c r="AE75" s="38" t="str">
        <f ca="1">IFERROR(__xludf.DUMMYFUNCTION("""COMPUTED_VALUE"""),"TRF 31-08")</f>
        <v>TRF 31-08</v>
      </c>
      <c r="AF75" s="38"/>
      <c r="AG75" s="38"/>
      <c r="AH75" s="6"/>
      <c r="AI75" s="6"/>
    </row>
    <row r="76" spans="2:35" ht="13.2">
      <c r="B76" s="68">
        <f ca="1">IFERROR(__xludf.DUMMYFUNCTION("""COMPUTED_VALUE"""),45531.2794275231)</f>
        <v>45531.279427523099</v>
      </c>
      <c r="C76" s="36" t="str">
        <f ca="1">IFERROR(__xludf.DUMMYFUNCTION("""COMPUTED_VALUE"""),"Josefina")</f>
        <v>Josefina</v>
      </c>
      <c r="D76" s="36" t="str">
        <f ca="1">IFERROR(__xludf.DUMMYFUNCTION("""COMPUTED_VALUE"""),"Molinari")</f>
        <v>Molinari</v>
      </c>
      <c r="E76" s="36" t="str">
        <f ca="1">IFERROR(__xludf.DUMMYFUNCTION("""COMPUTED_VALUE"""),"CABA")</f>
        <v>CABA</v>
      </c>
      <c r="F76" s="6" t="str">
        <f ca="1">IFERROR(__xludf.DUMMYFUNCTION("""COMPUTED_VALUE"""),"ARG")</f>
        <v>ARG</v>
      </c>
      <c r="G76" s="6">
        <f ca="1">IFERROR(__xludf.DUMMYFUNCTION("""COMPUTED_VALUE"""),50156147)</f>
        <v>50156147</v>
      </c>
      <c r="H76" s="37">
        <f ca="1">IFERROR(__xludf.DUMMYFUNCTION("""COMPUTED_VALUE"""),40227)</f>
        <v>40227</v>
      </c>
      <c r="I76" s="38" t="str">
        <f ca="1">IFERROR(__xludf.DUMMYFUNCTION("""COMPUTED_VALUE"""),"15-6852-6245")</f>
        <v>15-6852-6245</v>
      </c>
      <c r="J76" s="38" t="str">
        <f ca="1">IFERROR(__xludf.DUMMYFUNCTION("""COMPUTED_VALUE"""),"15-6852-6235")</f>
        <v>15-6852-6235</v>
      </c>
      <c r="K76" s="38" t="str">
        <f ca="1">IFERROR(__xludf.DUMMYFUNCTION("""COMPUTED_VALUE"""),"molinaricv@gmail.com")</f>
        <v>molinaricv@gmail.com</v>
      </c>
      <c r="L76" s="38" t="str">
        <f ca="1">IFERROR(__xludf.DUMMYFUNCTION("""COMPUTED_VALUE"""),"Femenino")</f>
        <v>Femenino</v>
      </c>
      <c r="M76" s="38" t="str">
        <f ca="1">IFERROR(__xludf.DUMMYFUNCTION("""COMPUTED_VALUE"""),"CVB")</f>
        <v>CVB</v>
      </c>
      <c r="N76" s="38" t="str">
        <f ca="1">IFERROR(__xludf.DUMMYFUNCTION("""COMPUTED_VALUE"""),"Femenino")</f>
        <v>Femenino</v>
      </c>
      <c r="O76" s="38" t="str">
        <f ca="1">IFERROR(__xludf.DUMMYFUNCTION("""COMPUTED_VALUE"""),"OPTIMIST TIMONELES")</f>
        <v>OPTIMIST TIMONELES</v>
      </c>
      <c r="P76" s="38"/>
      <c r="Q76" s="6">
        <f ca="1">IFERROR(__xludf.DUMMYFUNCTION("""COMPUTED_VALUE"""),3991)</f>
        <v>3991</v>
      </c>
      <c r="R76" s="38"/>
      <c r="S76" s="38"/>
      <c r="T76" s="38"/>
      <c r="U76" s="38"/>
      <c r="V76" s="38"/>
      <c r="W76" s="38"/>
      <c r="X76" s="38"/>
      <c r="Y76" s="38"/>
      <c r="Z76" s="6" t="str">
        <f ca="1">IFERROR(__xludf.DUMMYFUNCTION("""COMPUTED_VALUE"""),"Si")</f>
        <v>Si</v>
      </c>
      <c r="AA76" s="6" t="str">
        <f ca="1">IFERROR(__xludf.DUMMYFUNCTION("""COMPUTED_VALUE"""),"Acepto")</f>
        <v>Acepto</v>
      </c>
      <c r="AB76" s="6" t="str">
        <f ca="1">IFERROR(__xludf.DUMMYFUNCTION("""COMPUTED_VALUE"""),"Terminado")</f>
        <v>Terminado</v>
      </c>
      <c r="AC76" s="6">
        <f ca="1">IFERROR(__xludf.DUMMYFUNCTION("""COMPUTED_VALUE"""),50000)</f>
        <v>50000</v>
      </c>
      <c r="AD76" s="6">
        <f ca="1">IFERROR(__xludf.DUMMYFUNCTION("""COMPUTED_VALUE"""),205107)</f>
        <v>205107</v>
      </c>
      <c r="AE76" s="38" t="str">
        <f ca="1">IFERROR(__xludf.DUMMYFUNCTION("""COMPUTED_VALUE"""),"TRF 30-08")</f>
        <v>TRF 30-08</v>
      </c>
      <c r="AF76" s="38"/>
      <c r="AG76" s="38"/>
      <c r="AH76" s="6"/>
      <c r="AI76" s="6"/>
    </row>
    <row r="77" spans="2:35" ht="13.2">
      <c r="B77" s="68">
        <f ca="1">IFERROR(__xludf.DUMMYFUNCTION("""COMPUTED_VALUE"""),45531.2803364004)</f>
        <v>45531.280336400399</v>
      </c>
      <c r="C77" s="36" t="str">
        <f ca="1">IFERROR(__xludf.DUMMYFUNCTION("""COMPUTED_VALUE"""),"Tomas")</f>
        <v>Tomas</v>
      </c>
      <c r="D77" s="36" t="str">
        <f ca="1">IFERROR(__xludf.DUMMYFUNCTION("""COMPUTED_VALUE"""),"Molinari")</f>
        <v>Molinari</v>
      </c>
      <c r="E77" s="36" t="str">
        <f ca="1">IFERROR(__xludf.DUMMYFUNCTION("""COMPUTED_VALUE"""),"CABA")</f>
        <v>CABA</v>
      </c>
      <c r="F77" s="6" t="str">
        <f ca="1">IFERROR(__xludf.DUMMYFUNCTION("""COMPUTED_VALUE"""),"ARG")</f>
        <v>ARG</v>
      </c>
      <c r="G77" s="6">
        <f ca="1">IFERROR(__xludf.DUMMYFUNCTION("""COMPUTED_VALUE"""),52440028)</f>
        <v>52440028</v>
      </c>
      <c r="H77" s="37">
        <f ca="1">IFERROR(__xludf.DUMMYFUNCTION("""COMPUTED_VALUE"""),41010)</f>
        <v>41010</v>
      </c>
      <c r="I77" s="38" t="str">
        <f ca="1">IFERROR(__xludf.DUMMYFUNCTION("""COMPUTED_VALUE"""),"15-6852-6245")</f>
        <v>15-6852-6245</v>
      </c>
      <c r="J77" s="38" t="str">
        <f ca="1">IFERROR(__xludf.DUMMYFUNCTION("""COMPUTED_VALUE"""),"15-6852-6235")</f>
        <v>15-6852-6235</v>
      </c>
      <c r="K77" s="38" t="str">
        <f ca="1">IFERROR(__xludf.DUMMYFUNCTION("""COMPUTED_VALUE"""),"molinaricv@gmail.com")</f>
        <v>molinaricv@gmail.com</v>
      </c>
      <c r="L77" s="38" t="str">
        <f ca="1">IFERROR(__xludf.DUMMYFUNCTION("""COMPUTED_VALUE"""),"Masculino")</f>
        <v>Masculino</v>
      </c>
      <c r="M77" s="38" t="str">
        <f ca="1">IFERROR(__xludf.DUMMYFUNCTION("""COMPUTED_VALUE"""),"CVB")</f>
        <v>CVB</v>
      </c>
      <c r="N77" s="38"/>
      <c r="O77" s="38" t="str">
        <f ca="1">IFERROR(__xludf.DUMMYFUNCTION("""COMPUTED_VALUE"""),"OPTIMIST TIMONELES")</f>
        <v>OPTIMIST TIMONELES</v>
      </c>
      <c r="P77" s="38"/>
      <c r="Q77" s="6">
        <f ca="1">IFERROR(__xludf.DUMMYFUNCTION("""COMPUTED_VALUE"""),4165)</f>
        <v>4165</v>
      </c>
      <c r="R77" s="38"/>
      <c r="S77" s="38"/>
      <c r="T77" s="38"/>
      <c r="U77" s="38"/>
      <c r="V77" s="38"/>
      <c r="W77" s="38"/>
      <c r="X77" s="38"/>
      <c r="Y77" s="38"/>
      <c r="Z77" s="6" t="str">
        <f ca="1">IFERROR(__xludf.DUMMYFUNCTION("""COMPUTED_VALUE"""),"Si")</f>
        <v>Si</v>
      </c>
      <c r="AA77" s="6" t="str">
        <f ca="1">IFERROR(__xludf.DUMMYFUNCTION("""COMPUTED_VALUE"""),"Acepto")</f>
        <v>Acepto</v>
      </c>
      <c r="AB77" s="6" t="str">
        <f ca="1">IFERROR(__xludf.DUMMYFUNCTION("""COMPUTED_VALUE"""),"Terminado")</f>
        <v>Terminado</v>
      </c>
      <c r="AC77" s="6">
        <f ca="1">IFERROR(__xludf.DUMMYFUNCTION("""COMPUTED_VALUE"""),50000)</f>
        <v>50000</v>
      </c>
      <c r="AD77" s="6">
        <f ca="1">IFERROR(__xludf.DUMMYFUNCTION("""COMPUTED_VALUE"""),205107)</f>
        <v>205107</v>
      </c>
      <c r="AE77" s="38" t="str">
        <f ca="1">IFERROR(__xludf.DUMMYFUNCTION("""COMPUTED_VALUE"""),"TRF 30-08")</f>
        <v>TRF 30-08</v>
      </c>
      <c r="AF77" s="38"/>
      <c r="AG77" s="38"/>
      <c r="AH77" s="6"/>
      <c r="AI77" s="6"/>
    </row>
    <row r="78" spans="2:35" ht="13.2">
      <c r="B78" s="68">
        <f ca="1">IFERROR(__xludf.DUMMYFUNCTION("""COMPUTED_VALUE"""),45536.5402672569)</f>
        <v>45536.540267256903</v>
      </c>
      <c r="C78" s="36" t="str">
        <f ca="1">IFERROR(__xludf.DUMMYFUNCTION("""COMPUTED_VALUE"""),"Enzo ")</f>
        <v xml:space="preserve">Enzo </v>
      </c>
      <c r="D78" s="36" t="str">
        <f ca="1">IFERROR(__xludf.DUMMYFUNCTION("""COMPUTED_VALUE"""),"Musumeci ")</f>
        <v xml:space="preserve">Musumeci </v>
      </c>
      <c r="E78" s="36" t="str">
        <f ca="1">IFERROR(__xludf.DUMMYFUNCTION("""COMPUTED_VALUE"""),"Soldini")</f>
        <v>Soldini</v>
      </c>
      <c r="F78" s="6" t="str">
        <f ca="1">IFERROR(__xludf.DUMMYFUNCTION("""COMPUTED_VALUE"""),"ARG")</f>
        <v>ARG</v>
      </c>
      <c r="G78" s="6">
        <f ca="1">IFERROR(__xludf.DUMMYFUNCTION("""COMPUTED_VALUE"""),51012774)</f>
        <v>51012774</v>
      </c>
      <c r="H78" s="37">
        <f ca="1">IFERROR(__xludf.DUMMYFUNCTION("""COMPUTED_VALUE"""),40586)</f>
        <v>40586</v>
      </c>
      <c r="I78" s="38">
        <f ca="1">IFERROR(__xludf.DUMMYFUNCTION("""COMPUTED_VALUE"""),3416198000)</f>
        <v>3416198000</v>
      </c>
      <c r="J78" s="38"/>
      <c r="K78" s="38" t="str">
        <f ca="1">IFERROR(__xludf.DUMMYFUNCTION("""COMPUTED_VALUE"""),"Melisaalvarez1979@gmail.com")</f>
        <v>Melisaalvarez1979@gmail.com</v>
      </c>
      <c r="L78" s="38" t="str">
        <f ca="1">IFERROR(__xludf.DUMMYFUNCTION("""COMPUTED_VALUE"""),"Masculino")</f>
        <v>Masculino</v>
      </c>
      <c r="M78" s="38" t="str">
        <f ca="1">IFERROR(__xludf.DUMMYFUNCTION("""COMPUTED_VALUE"""),"Crr")</f>
        <v>Crr</v>
      </c>
      <c r="N78" s="38" t="str">
        <f ca="1">IFERROR(__xludf.DUMMYFUNCTION("""COMPUTED_VALUE"""),"Interior (Optimist)")</f>
        <v>Interior (Optimist)</v>
      </c>
      <c r="O78" s="38" t="str">
        <f ca="1">IFERROR(__xludf.DUMMYFUNCTION("""COMPUTED_VALUE"""),"OPTIMIST TIMONELES")</f>
        <v>OPTIMIST TIMONELES</v>
      </c>
      <c r="P78" s="38"/>
      <c r="Q78" s="6">
        <f ca="1">IFERROR(__xludf.DUMMYFUNCTION("""COMPUTED_VALUE"""),4018)</f>
        <v>4018</v>
      </c>
      <c r="R78" s="38"/>
      <c r="S78" s="38"/>
      <c r="T78" s="38"/>
      <c r="U78" s="38"/>
      <c r="V78" s="38"/>
      <c r="W78" s="38"/>
      <c r="X78" s="38"/>
      <c r="Y78" s="38"/>
      <c r="Z78" s="6" t="str">
        <f ca="1">IFERROR(__xludf.DUMMYFUNCTION("""COMPUTED_VALUE"""),"No")</f>
        <v>No</v>
      </c>
      <c r="AA78" s="6" t="str">
        <f ca="1">IFERROR(__xludf.DUMMYFUNCTION("""COMPUTED_VALUE"""),"Acepto")</f>
        <v>Acepto</v>
      </c>
      <c r="AB78" s="6" t="str">
        <f ca="1">IFERROR(__xludf.DUMMYFUNCTION("""COMPUTED_VALUE"""),"Terminado")</f>
        <v>Terminado</v>
      </c>
      <c r="AC78" s="6">
        <f ca="1">IFERROR(__xludf.DUMMYFUNCTION("""COMPUTED_VALUE"""),42500)</f>
        <v>42500</v>
      </c>
      <c r="AD78" s="6">
        <f ca="1">IFERROR(__xludf.DUMMYFUNCTION("""COMPUTED_VALUE"""),205386)</f>
        <v>205386</v>
      </c>
      <c r="AE78" s="38" t="str">
        <f ca="1">IFERROR(__xludf.DUMMYFUNCTION("""COMPUTED_VALUE"""),"TRF 02-09")</f>
        <v>TRF 02-09</v>
      </c>
      <c r="AF78" s="38"/>
      <c r="AG78" s="38"/>
      <c r="AH78" s="6"/>
      <c r="AI78" s="6"/>
    </row>
    <row r="79" spans="2:35" ht="13.2">
      <c r="B79" s="68">
        <f ca="1">IFERROR(__xludf.DUMMYFUNCTION("""COMPUTED_VALUE"""),45538.8724060069)</f>
        <v>45538.8724060069</v>
      </c>
      <c r="C79" s="36" t="str">
        <f ca="1">IFERROR(__xludf.DUMMYFUNCTION("""COMPUTED_VALUE"""),"Ambar")</f>
        <v>Ambar</v>
      </c>
      <c r="D79" s="36" t="str">
        <f ca="1">IFERROR(__xludf.DUMMYFUNCTION("""COMPUTED_VALUE"""),"Muzzio")</f>
        <v>Muzzio</v>
      </c>
      <c r="E79" s="36" t="str">
        <f ca="1">IFERROR(__xludf.DUMMYFUNCTION("""COMPUTED_VALUE"""),"Beccar")</f>
        <v>Beccar</v>
      </c>
      <c r="F79" s="6" t="str">
        <f ca="1">IFERROR(__xludf.DUMMYFUNCTION("""COMPUTED_VALUE"""),"ARG")</f>
        <v>ARG</v>
      </c>
      <c r="G79" s="6">
        <f ca="1">IFERROR(__xludf.DUMMYFUNCTION("""COMPUTED_VALUE"""),52159528)</f>
        <v>52159528</v>
      </c>
      <c r="H79" s="37">
        <f ca="1">IFERROR(__xludf.DUMMYFUNCTION("""COMPUTED_VALUE"""),40948)</f>
        <v>40948</v>
      </c>
      <c r="I79" s="38">
        <f ca="1">IFERROR(__xludf.DUMMYFUNCTION("""COMPUTED_VALUE"""),1133240918)</f>
        <v>1133240918</v>
      </c>
      <c r="J79" s="38">
        <f ca="1">IFERROR(__xludf.DUMMYFUNCTION("""COMPUTED_VALUE"""),113324093)</f>
        <v>113324093</v>
      </c>
      <c r="K79" s="38" t="str">
        <f ca="1">IFERROR(__xludf.DUMMYFUNCTION("""COMPUTED_VALUE"""),"gustavo.muzzio@gmail.com")</f>
        <v>gustavo.muzzio@gmail.com</v>
      </c>
      <c r="L79" s="38" t="str">
        <f ca="1">IFERROR(__xludf.DUMMYFUNCTION("""COMPUTED_VALUE"""),"Femenino")</f>
        <v>Femenino</v>
      </c>
      <c r="M79" s="38" t="str">
        <f ca="1">IFERROR(__xludf.DUMMYFUNCTION("""COMPUTED_VALUE"""),"CPNLB")</f>
        <v>CPNLB</v>
      </c>
      <c r="N79" s="38" t="str">
        <f ca="1">IFERROR(__xludf.DUMMYFUNCTION("""COMPUTED_VALUE"""),"Femenino")</f>
        <v>Femenino</v>
      </c>
      <c r="O79" s="38" t="str">
        <f ca="1">IFERROR(__xludf.DUMMYFUNCTION("""COMPUTED_VALUE"""),"OPTIMIST TIMONELES")</f>
        <v>OPTIMIST TIMONELES</v>
      </c>
      <c r="P79" s="38"/>
      <c r="Q79" s="6" t="str">
        <f ca="1">IFERROR(__xludf.DUMMYFUNCTION("""COMPUTED_VALUE"""),"USA22851")</f>
        <v>USA22851</v>
      </c>
      <c r="R79" s="38"/>
      <c r="S79" s="38"/>
      <c r="T79" s="38"/>
      <c r="U79" s="38"/>
      <c r="V79" s="38"/>
      <c r="W79" s="38"/>
      <c r="X79" s="38"/>
      <c r="Y79" s="38" t="str">
        <f ca="1">IFERROR(__xludf.DUMMYFUNCTION("""COMPUTED_VALUE"""),"TV SALUD")</f>
        <v>TV SALUD</v>
      </c>
      <c r="Z79" s="6" t="str">
        <f ca="1">IFERROR(__xludf.DUMMYFUNCTION("""COMPUTED_VALUE"""),"Si")</f>
        <v>Si</v>
      </c>
      <c r="AA79" s="6" t="str">
        <f ca="1">IFERROR(__xludf.DUMMYFUNCTION("""COMPUTED_VALUE"""),"Acepto")</f>
        <v>Acepto</v>
      </c>
      <c r="AB79" s="6" t="str">
        <f ca="1">IFERROR(__xludf.DUMMYFUNCTION("""COMPUTED_VALUE"""),"Terminado")</f>
        <v>Terminado</v>
      </c>
      <c r="AC79" s="6">
        <f ca="1">IFERROR(__xludf.DUMMYFUNCTION("""COMPUTED_VALUE"""),50000)</f>
        <v>50000</v>
      </c>
      <c r="AD79" s="6">
        <f ca="1">IFERROR(__xludf.DUMMYFUNCTION("""COMPUTED_VALUE"""),205429)</f>
        <v>205429</v>
      </c>
      <c r="AE79" s="38" t="str">
        <f ca="1">IFERROR(__xludf.DUMMYFUNCTION("""COMPUTED_VALUE"""),"TRF 03-09")</f>
        <v>TRF 03-09</v>
      </c>
      <c r="AF79" s="38"/>
      <c r="AG79" s="38"/>
      <c r="AH79" s="6"/>
      <c r="AI79" s="6"/>
    </row>
    <row r="80" spans="2:35" ht="13.2">
      <c r="B80" s="68">
        <f ca="1">IFERROR(__xludf.DUMMYFUNCTION("""COMPUTED_VALUE"""),45535.5938040277)</f>
        <v>45535.593804027703</v>
      </c>
      <c r="C80" s="36" t="str">
        <f ca="1">IFERROR(__xludf.DUMMYFUNCTION("""COMPUTED_VALUE"""),"Santiago ")</f>
        <v xml:space="preserve">Santiago </v>
      </c>
      <c r="D80" s="36" t="str">
        <f ca="1">IFERROR(__xludf.DUMMYFUNCTION("""COMPUTED_VALUE"""),"Nieva Quinteros")</f>
        <v>Nieva Quinteros</v>
      </c>
      <c r="E80" s="36" t="str">
        <f ca="1">IFERROR(__xludf.DUMMYFUNCTION("""COMPUTED_VALUE"""),"Zarate")</f>
        <v>Zarate</v>
      </c>
      <c r="F80" s="6" t="str">
        <f ca="1">IFERROR(__xludf.DUMMYFUNCTION("""COMPUTED_VALUE"""),"ARG")</f>
        <v>ARG</v>
      </c>
      <c r="G80" s="6">
        <f ca="1">IFERROR(__xludf.DUMMYFUNCTION("""COMPUTED_VALUE"""),52099166)</f>
        <v>52099166</v>
      </c>
      <c r="H80" s="37">
        <f ca="1">IFERROR(__xludf.DUMMYFUNCTION("""COMPUTED_VALUE"""),40939)</f>
        <v>40939</v>
      </c>
      <c r="I80" s="38">
        <f ca="1">IFERROR(__xludf.DUMMYFUNCTION("""COMPUTED_VALUE"""),3515144974)</f>
        <v>3515144974</v>
      </c>
      <c r="J80" s="38">
        <f ca="1">IFERROR(__xludf.DUMMYFUNCTION("""COMPUTED_VALUE"""),3487538295)</f>
        <v>3487538295</v>
      </c>
      <c r="K80" s="38" t="str">
        <f ca="1">IFERROR(__xludf.DUMMYFUNCTION("""COMPUTED_VALUE"""),"Gustavonieva26@gmail.com")</f>
        <v>Gustavonieva26@gmail.com</v>
      </c>
      <c r="L80" s="38" t="str">
        <f ca="1">IFERROR(__xludf.DUMMYFUNCTION("""COMPUTED_VALUE"""),"Masculino")</f>
        <v>Masculino</v>
      </c>
      <c r="M80" s="38" t="str">
        <f ca="1">IFERROR(__xludf.DUMMYFUNCTION("""COMPUTED_VALUE"""),"CNZ")</f>
        <v>CNZ</v>
      </c>
      <c r="N80" s="38"/>
      <c r="O80" s="38" t="str">
        <f ca="1">IFERROR(__xludf.DUMMYFUNCTION("""COMPUTED_VALUE"""),"OPTIMIST TIMONELES")</f>
        <v>OPTIMIST TIMONELES</v>
      </c>
      <c r="P80" s="38"/>
      <c r="Q80" s="6">
        <f ca="1">IFERROR(__xludf.DUMMYFUNCTION("""COMPUTED_VALUE"""),3951)</f>
        <v>3951</v>
      </c>
      <c r="R80" s="38"/>
      <c r="S80" s="38"/>
      <c r="T80" s="38"/>
      <c r="U80" s="38"/>
      <c r="V80" s="38"/>
      <c r="W80" s="38"/>
      <c r="X80" s="38"/>
      <c r="Y80" s="38" t="str">
        <f ca="1">IFERROR(__xludf.DUMMYFUNCTION("""COMPUTED_VALUE"""),"Swis Medical")</f>
        <v>Swis Medical</v>
      </c>
      <c r="Z80" s="6" t="str">
        <f ca="1">IFERROR(__xludf.DUMMYFUNCTION("""COMPUTED_VALUE"""),"Si")</f>
        <v>Si</v>
      </c>
      <c r="AA80" s="6" t="str">
        <f ca="1">IFERROR(__xludf.DUMMYFUNCTION("""COMPUTED_VALUE"""),"Acepto")</f>
        <v>Acepto</v>
      </c>
      <c r="AB80" s="6" t="str">
        <f ca="1">IFERROR(__xludf.DUMMYFUNCTION("""COMPUTED_VALUE"""),"Terminado")</f>
        <v>Terminado</v>
      </c>
      <c r="AC80" s="6">
        <f ca="1">IFERROR(__xludf.DUMMYFUNCTION("""COMPUTED_VALUE"""),50000)</f>
        <v>50000</v>
      </c>
      <c r="AD80" s="6">
        <f ca="1">IFERROR(__xludf.DUMMYFUNCTION("""COMPUTED_VALUE"""),205163)</f>
        <v>205163</v>
      </c>
      <c r="AE80" s="38" t="str">
        <f ca="1">IFERROR(__xludf.DUMMYFUNCTION("""COMPUTED_VALUE"""),"TRF 31-08")</f>
        <v>TRF 31-08</v>
      </c>
      <c r="AF80" s="38"/>
      <c r="AG80" s="38"/>
      <c r="AH80" s="6"/>
      <c r="AI80" s="6"/>
    </row>
    <row r="81" spans="2:35" ht="13.2">
      <c r="B81" s="68">
        <f ca="1">IFERROR(__xludf.DUMMYFUNCTION("""COMPUTED_VALUE"""),45534.932602905)</f>
        <v>45534.932602904999</v>
      </c>
      <c r="C81" s="36" t="str">
        <f ca="1">IFERROR(__xludf.DUMMYFUNCTION("""COMPUTED_VALUE"""),"Carola")</f>
        <v>Carola</v>
      </c>
      <c r="D81" s="36" t="str">
        <f ca="1">IFERROR(__xludf.DUMMYFUNCTION("""COMPUTED_VALUE"""),"Orella")</f>
        <v>Orella</v>
      </c>
      <c r="E81" s="36" t="str">
        <f ca="1">IFERROR(__xludf.DUMMYFUNCTION("""COMPUTED_VALUE"""),"San Isidro")</f>
        <v>San Isidro</v>
      </c>
      <c r="F81" s="6" t="str">
        <f ca="1">IFERROR(__xludf.DUMMYFUNCTION("""COMPUTED_VALUE"""),"ARG")</f>
        <v>ARG</v>
      </c>
      <c r="G81" s="6">
        <f ca="1">IFERROR(__xludf.DUMMYFUNCTION("""COMPUTED_VALUE"""),50103590)</f>
        <v>50103590</v>
      </c>
      <c r="H81" s="37">
        <f ca="1">IFERROR(__xludf.DUMMYFUNCTION("""COMPUTED_VALUE"""),40247)</f>
        <v>40247</v>
      </c>
      <c r="I81" s="38">
        <f ca="1">IFERROR(__xludf.DUMMYFUNCTION("""COMPUTED_VALUE"""),1140285075)</f>
        <v>1140285075</v>
      </c>
      <c r="J81" s="38">
        <f ca="1">IFERROR(__xludf.DUMMYFUNCTION("""COMPUTED_VALUE"""),1140793918)</f>
        <v>1140793918</v>
      </c>
      <c r="K81" s="38" t="str">
        <f ca="1">IFERROR(__xludf.DUMMYFUNCTION("""COMPUTED_VALUE"""),"morellamail@gmail.com")</f>
        <v>morellamail@gmail.com</v>
      </c>
      <c r="L81" s="38" t="str">
        <f ca="1">IFERROR(__xludf.DUMMYFUNCTION("""COMPUTED_VALUE"""),"Femenino")</f>
        <v>Femenino</v>
      </c>
      <c r="M81" s="38" t="str">
        <f ca="1">IFERROR(__xludf.DUMMYFUNCTION("""COMPUTED_VALUE"""),"CNSI")</f>
        <v>CNSI</v>
      </c>
      <c r="N81" s="38" t="str">
        <f ca="1">IFERROR(__xludf.DUMMYFUNCTION("""COMPUTED_VALUE"""),"Femenino")</f>
        <v>Femenino</v>
      </c>
      <c r="O81" s="38" t="str">
        <f ca="1">IFERROR(__xludf.DUMMYFUNCTION("""COMPUTED_VALUE"""),"OPTIMIST TIMONELES")</f>
        <v>OPTIMIST TIMONELES</v>
      </c>
      <c r="P81" s="38"/>
      <c r="Q81" s="6">
        <f ca="1">IFERROR(__xludf.DUMMYFUNCTION("""COMPUTED_VALUE"""),3846)</f>
        <v>3846</v>
      </c>
      <c r="R81" s="38"/>
      <c r="S81" s="38"/>
      <c r="T81" s="38"/>
      <c r="U81" s="38"/>
      <c r="V81" s="38"/>
      <c r="W81" s="38"/>
      <c r="X81" s="38"/>
      <c r="Y81" s="38" t="str">
        <f ca="1">IFERROR(__xludf.DUMMYFUNCTION("""COMPUTED_VALUE"""),"OSDE 60-5956579-05")</f>
        <v>OSDE 60-5956579-05</v>
      </c>
      <c r="Z81" s="6" t="str">
        <f ca="1">IFERROR(__xludf.DUMMYFUNCTION("""COMPUTED_VALUE"""),"No")</f>
        <v>No</v>
      </c>
      <c r="AA81" s="6" t="str">
        <f ca="1">IFERROR(__xludf.DUMMYFUNCTION("""COMPUTED_VALUE"""),"Acepto")</f>
        <v>Acepto</v>
      </c>
      <c r="AB81" s="6" t="str">
        <f ca="1">IFERROR(__xludf.DUMMYFUNCTION("""COMPUTED_VALUE"""),"Terminado")</f>
        <v>Terminado</v>
      </c>
      <c r="AC81" s="6">
        <f ca="1">IFERROR(__xludf.DUMMYFUNCTION("""COMPUTED_VALUE"""),50000)</f>
        <v>50000</v>
      </c>
      <c r="AD81" s="6">
        <f ca="1">IFERROR(__xludf.DUMMYFUNCTION("""COMPUTED_VALUE"""),205118)</f>
        <v>205118</v>
      </c>
      <c r="AE81" s="38" t="str">
        <f ca="1">IFERROR(__xludf.DUMMYFUNCTION("""COMPUTED_VALUE"""),"Tarj.31-08")</f>
        <v>Tarj.31-08</v>
      </c>
      <c r="AF81" s="38"/>
      <c r="AG81" s="38"/>
      <c r="AH81" s="6"/>
      <c r="AI81" s="6"/>
    </row>
    <row r="82" spans="2:35" ht="13.2">
      <c r="B82" s="35">
        <f ca="1">IFERROR(__xludf.DUMMYFUNCTION("""COMPUTED_VALUE"""),45535.8808977546)</f>
        <v>45535.8808977546</v>
      </c>
      <c r="C82" s="36" t="str">
        <f ca="1">IFERROR(__xludf.DUMMYFUNCTION("""COMPUTED_VALUE"""),"Guido ")</f>
        <v xml:space="preserve">Guido </v>
      </c>
      <c r="D82" s="36" t="str">
        <f ca="1">IFERROR(__xludf.DUMMYFUNCTION("""COMPUTED_VALUE"""),"Pachiani ")</f>
        <v xml:space="preserve">Pachiani </v>
      </c>
      <c r="E82" s="36" t="str">
        <f ca="1">IFERROR(__xludf.DUMMYFUNCTION("""COMPUTED_VALUE"""),"Beccar")</f>
        <v>Beccar</v>
      </c>
      <c r="F82" s="6" t="str">
        <f ca="1">IFERROR(__xludf.DUMMYFUNCTION("""COMPUTED_VALUE"""),"ARG")</f>
        <v>ARG</v>
      </c>
      <c r="G82" s="6">
        <f ca="1">IFERROR(__xludf.DUMMYFUNCTION("""COMPUTED_VALUE"""),50305023)</f>
        <v>50305023</v>
      </c>
      <c r="H82" s="37">
        <f ca="1">IFERROR(__xludf.DUMMYFUNCTION("""COMPUTED_VALUE"""),40295)</f>
        <v>40295</v>
      </c>
      <c r="I82" s="38">
        <f ca="1">IFERROR(__xludf.DUMMYFUNCTION("""COMPUTED_VALUE"""),1158242389)</f>
        <v>1158242389</v>
      </c>
      <c r="J82" s="38">
        <f ca="1">IFERROR(__xludf.DUMMYFUNCTION("""COMPUTED_VALUE"""),40760868)</f>
        <v>40760868</v>
      </c>
      <c r="K82" s="38" t="str">
        <f ca="1">IFERROR(__xludf.DUMMYFUNCTION("""COMPUTED_VALUE"""),"mpachiani@gmail.com")</f>
        <v>mpachiani@gmail.com</v>
      </c>
      <c r="L82" s="38" t="str">
        <f ca="1">IFERROR(__xludf.DUMMYFUNCTION("""COMPUTED_VALUE"""),"Masculino")</f>
        <v>Masculino</v>
      </c>
      <c r="M82" s="38" t="str">
        <f ca="1">IFERROR(__xludf.DUMMYFUNCTION("""COMPUTED_VALUE"""),"CNGSM")</f>
        <v>CNGSM</v>
      </c>
      <c r="N82" s="38"/>
      <c r="O82" s="38" t="str">
        <f ca="1">IFERROR(__xludf.DUMMYFUNCTION("""COMPUTED_VALUE"""),"OPTIMIST TIMONELES")</f>
        <v>OPTIMIST TIMONELES</v>
      </c>
      <c r="P82" s="38"/>
      <c r="Q82" s="6" t="str">
        <f ca="1">IFERROR(__xludf.DUMMYFUNCTION("""COMPUTED_VALUE"""),"ARG 3835 ")</f>
        <v xml:space="preserve">ARG 3835 </v>
      </c>
      <c r="R82" s="38" t="str">
        <f ca="1">IFERROR(__xludf.DUMMYFUNCTION("""COMPUTED_VALUE"""),"Manopla turbo")</f>
        <v>Manopla turbo</v>
      </c>
      <c r="S82" s="38"/>
      <c r="T82" s="38"/>
      <c r="U82" s="38"/>
      <c r="V82" s="38"/>
      <c r="W82" s="38"/>
      <c r="X82" s="38"/>
      <c r="Y82" s="38" t="str">
        <f ca="1">IFERROR(__xludf.DUMMYFUNCTION("""COMPUTED_VALUE"""),"Hospital Italiano 460630")</f>
        <v>Hospital Italiano 460630</v>
      </c>
      <c r="Z82" s="6" t="str">
        <f ca="1">IFERROR(__xludf.DUMMYFUNCTION("""COMPUTED_VALUE"""),"Si")</f>
        <v>Si</v>
      </c>
      <c r="AA82" s="6" t="str">
        <f ca="1">IFERROR(__xludf.DUMMYFUNCTION("""COMPUTED_VALUE"""),"Acepto")</f>
        <v>Acepto</v>
      </c>
      <c r="AB82" s="6" t="str">
        <f ca="1">IFERROR(__xludf.DUMMYFUNCTION("""COMPUTED_VALUE"""),"Terminado")</f>
        <v>Terminado</v>
      </c>
      <c r="AC82" s="6">
        <f ca="1">IFERROR(__xludf.DUMMYFUNCTION("""COMPUTED_VALUE"""),50000)</f>
        <v>50000</v>
      </c>
      <c r="AD82" s="6">
        <f ca="1">IFERROR(__xludf.DUMMYFUNCTION("""COMPUTED_VALUE"""),205472)</f>
        <v>205472</v>
      </c>
      <c r="AE82" s="38" t="str">
        <f ca="1">IFERROR(__xludf.DUMMYFUNCTION("""COMPUTED_VALUE"""),"TRF 04-09")</f>
        <v>TRF 04-09</v>
      </c>
      <c r="AF82" s="38"/>
      <c r="AG82" s="38"/>
      <c r="AH82" s="6"/>
      <c r="AI82" s="6"/>
    </row>
    <row r="83" spans="2:35" ht="13.2">
      <c r="B83" s="35">
        <f ca="1">IFERROR(__xludf.DUMMYFUNCTION("""COMPUTED_VALUE"""),45534.8977501504)</f>
        <v>45534.897750150398</v>
      </c>
      <c r="C83" s="36" t="str">
        <f ca="1">IFERROR(__xludf.DUMMYFUNCTION("""COMPUTED_VALUE"""),"Nacho")</f>
        <v>Nacho</v>
      </c>
      <c r="D83" s="36" t="str">
        <f ca="1">IFERROR(__xludf.DUMMYFUNCTION("""COMPUTED_VALUE"""),"Padilla")</f>
        <v>Padilla</v>
      </c>
      <c r="E83" s="36" t="str">
        <f ca="1">IFERROR(__xludf.DUMMYFUNCTION("""COMPUTED_VALUE"""),"San Isidro")</f>
        <v>San Isidro</v>
      </c>
      <c r="F83" s="6" t="str">
        <f ca="1">IFERROR(__xludf.DUMMYFUNCTION("""COMPUTED_VALUE"""),"ARG")</f>
        <v>ARG</v>
      </c>
      <c r="G83" s="6">
        <f ca="1">IFERROR(__xludf.DUMMYFUNCTION("""COMPUTED_VALUE"""),50158944)</f>
        <v>50158944</v>
      </c>
      <c r="H83" s="37">
        <f ca="1">IFERROR(__xludf.DUMMYFUNCTION("""COMPUTED_VALUE"""),40278)</f>
        <v>40278</v>
      </c>
      <c r="I83" s="38">
        <f ca="1">IFERROR(__xludf.DUMMYFUNCTION("""COMPUTED_VALUE"""),1162446486)</f>
        <v>1162446486</v>
      </c>
      <c r="J83" s="38">
        <f ca="1">IFERROR(__xludf.DUMMYFUNCTION("""COMPUTED_VALUE"""),1130070219)</f>
        <v>1130070219</v>
      </c>
      <c r="K83" s="38" t="str">
        <f ca="1">IFERROR(__xludf.DUMMYFUNCTION("""COMPUTED_VALUE"""),"javierignaciopadilla@gmail.com")</f>
        <v>javierignaciopadilla@gmail.com</v>
      </c>
      <c r="L83" s="38" t="str">
        <f ca="1">IFERROR(__xludf.DUMMYFUNCTION("""COMPUTED_VALUE"""),"Masculino")</f>
        <v>Masculino</v>
      </c>
      <c r="M83" s="38" t="str">
        <f ca="1">IFERROR(__xludf.DUMMYFUNCTION("""COMPUTED_VALUE"""),"CNSI")</f>
        <v>CNSI</v>
      </c>
      <c r="N83" s="38"/>
      <c r="O83" s="38" t="str">
        <f ca="1">IFERROR(__xludf.DUMMYFUNCTION("""COMPUTED_VALUE"""),"OPTIMIST TIMONELES")</f>
        <v>OPTIMIST TIMONELES</v>
      </c>
      <c r="P83" s="38"/>
      <c r="Q83" s="6">
        <f ca="1">IFERROR(__xludf.DUMMYFUNCTION("""COMPUTED_VALUE"""),4111)</f>
        <v>4111</v>
      </c>
      <c r="R83" s="38"/>
      <c r="S83" s="38"/>
      <c r="T83" s="38"/>
      <c r="U83" s="38"/>
      <c r="V83" s="38"/>
      <c r="W83" s="38"/>
      <c r="X83" s="38"/>
      <c r="Y83" s="38">
        <f ca="1">IFERROR(__xludf.DUMMYFUNCTION("""COMPUTED_VALUE"""),61728138503)</f>
        <v>61728138503</v>
      </c>
      <c r="Z83" s="6" t="str">
        <f ca="1">IFERROR(__xludf.DUMMYFUNCTION("""COMPUTED_VALUE"""),"No")</f>
        <v>No</v>
      </c>
      <c r="AA83" s="6" t="str">
        <f ca="1">IFERROR(__xludf.DUMMYFUNCTION("""COMPUTED_VALUE"""),"Acepto")</f>
        <v>Acepto</v>
      </c>
      <c r="AB83" s="6" t="str">
        <f ca="1">IFERROR(__xludf.DUMMYFUNCTION("""COMPUTED_VALUE"""),"Terminado")</f>
        <v>Terminado</v>
      </c>
      <c r="AC83" s="6">
        <f ca="1">IFERROR(__xludf.DUMMYFUNCTION("""COMPUTED_VALUE"""),50000)</f>
        <v>50000</v>
      </c>
      <c r="AD83" s="6">
        <f ca="1">IFERROR(__xludf.DUMMYFUNCTION("""COMPUTED_VALUE"""),205135)</f>
        <v>205135</v>
      </c>
      <c r="AE83" s="38" t="str">
        <f ca="1">IFERROR(__xludf.DUMMYFUNCTION("""COMPUTED_VALUE"""),"TRF 30-08")</f>
        <v>TRF 30-08</v>
      </c>
      <c r="AF83" s="38"/>
      <c r="AG83" s="38"/>
      <c r="AH83" s="6"/>
      <c r="AI83" s="6"/>
    </row>
    <row r="84" spans="2:35" ht="13.2">
      <c r="B84" s="35">
        <f ca="1">IFERROR(__xludf.DUMMYFUNCTION("""COMPUTED_VALUE"""),45537.5410207407)</f>
        <v>45537.541020740697</v>
      </c>
      <c r="C84" s="36" t="str">
        <f ca="1">IFERROR(__xludf.DUMMYFUNCTION("""COMPUTED_VALUE"""),"Ine")</f>
        <v>Ine</v>
      </c>
      <c r="D84" s="36" t="str">
        <f ca="1">IFERROR(__xludf.DUMMYFUNCTION("""COMPUTED_VALUE"""),"Panasci")</f>
        <v>Panasci</v>
      </c>
      <c r="E84" s="36" t="str">
        <f ca="1">IFERROR(__xludf.DUMMYFUNCTION("""COMPUTED_VALUE"""),"caba")</f>
        <v>caba</v>
      </c>
      <c r="F84" s="6" t="str">
        <f ca="1">IFERROR(__xludf.DUMMYFUNCTION("""COMPUTED_VALUE"""),"ARG")</f>
        <v>ARG</v>
      </c>
      <c r="G84" s="6">
        <f ca="1">IFERROR(__xludf.DUMMYFUNCTION("""COMPUTED_VALUE"""),50030333)</f>
        <v>50030333</v>
      </c>
      <c r="H84" s="37">
        <f ca="1">IFERROR(__xludf.DUMMYFUNCTION("""COMPUTED_VALUE"""),40192)</f>
        <v>40192</v>
      </c>
      <c r="I84" s="38">
        <f ca="1">IFERROR(__xludf.DUMMYFUNCTION("""COMPUTED_VALUE"""),1162296144)</f>
        <v>1162296144</v>
      </c>
      <c r="J84" s="38"/>
      <c r="K84" s="38" t="str">
        <f ca="1">IFERROR(__xludf.DUMMYFUNCTION("""COMPUTED_VALUE"""),"cristinadubra@gmail.com")</f>
        <v>cristinadubra@gmail.com</v>
      </c>
      <c r="L84" s="38" t="str">
        <f ca="1">IFERROR(__xludf.DUMMYFUNCTION("""COMPUTED_VALUE"""),"Femenino")</f>
        <v>Femenino</v>
      </c>
      <c r="M84" s="38" t="str">
        <f ca="1">IFERROR(__xludf.DUMMYFUNCTION("""COMPUTED_VALUE"""),"CUBA")</f>
        <v>CUBA</v>
      </c>
      <c r="N84" s="38" t="str">
        <f ca="1">IFERROR(__xludf.DUMMYFUNCTION("""COMPUTED_VALUE"""),"Femenino")</f>
        <v>Femenino</v>
      </c>
      <c r="O84" s="38" t="str">
        <f ca="1">IFERROR(__xludf.DUMMYFUNCTION("""COMPUTED_VALUE"""),"OPTIMIST TIMONELES")</f>
        <v>OPTIMIST TIMONELES</v>
      </c>
      <c r="P84" s="38"/>
      <c r="Q84" s="6">
        <f ca="1">IFERROR(__xludf.DUMMYFUNCTION("""COMPUTED_VALUE"""),4069)</f>
        <v>4069</v>
      </c>
      <c r="R84" s="38"/>
      <c r="S84" s="38"/>
      <c r="T84" s="38"/>
      <c r="U84" s="38"/>
      <c r="V84" s="38"/>
      <c r="W84" s="38"/>
      <c r="X84" s="38"/>
      <c r="Y84" s="38" t="str">
        <f ca="1">IFERROR(__xludf.DUMMYFUNCTION("""COMPUTED_VALUE"""),"0447732 03 1028")</f>
        <v>0447732 03 1028</v>
      </c>
      <c r="Z84" s="6" t="str">
        <f ca="1">IFERROR(__xludf.DUMMYFUNCTION("""COMPUTED_VALUE"""),"No")</f>
        <v>No</v>
      </c>
      <c r="AA84" s="6" t="str">
        <f ca="1">IFERROR(__xludf.DUMMYFUNCTION("""COMPUTED_VALUE"""),"Acepto")</f>
        <v>Acepto</v>
      </c>
      <c r="AB84" s="6" t="str">
        <f ca="1">IFERROR(__xludf.DUMMYFUNCTION("""COMPUTED_VALUE"""),"Terminado")</f>
        <v>Terminado</v>
      </c>
      <c r="AC84" s="6">
        <f ca="1">IFERROR(__xludf.DUMMYFUNCTION("""COMPUTED_VALUE"""),50000)</f>
        <v>50000</v>
      </c>
      <c r="AD84" s="6">
        <f ca="1">IFERROR(__xludf.DUMMYFUNCTION("""COMPUTED_VALUE"""),205532)</f>
        <v>205532</v>
      </c>
      <c r="AE84" s="38" t="str">
        <f ca="1">IFERROR(__xludf.DUMMYFUNCTION("""COMPUTED_VALUE"""),"TRF 06-09")</f>
        <v>TRF 06-09</v>
      </c>
      <c r="AF84" s="38"/>
      <c r="AG84" s="38"/>
      <c r="AH84" s="6"/>
      <c r="AI84" s="6"/>
    </row>
    <row r="85" spans="2:35" ht="13.2">
      <c r="B85" s="35">
        <f ca="1">IFERROR(__xludf.DUMMYFUNCTION("""COMPUTED_VALUE"""),45537.5420750231)</f>
        <v>45537.542075023099</v>
      </c>
      <c r="C85" s="36" t="str">
        <f ca="1">IFERROR(__xludf.DUMMYFUNCTION("""COMPUTED_VALUE"""),"Nacho")</f>
        <v>Nacho</v>
      </c>
      <c r="D85" s="36" t="str">
        <f ca="1">IFERROR(__xludf.DUMMYFUNCTION("""COMPUTED_VALUE"""),"Panasci")</f>
        <v>Panasci</v>
      </c>
      <c r="E85" s="36" t="str">
        <f ca="1">IFERROR(__xludf.DUMMYFUNCTION("""COMPUTED_VALUE"""),"caba")</f>
        <v>caba</v>
      </c>
      <c r="F85" s="6" t="str">
        <f ca="1">IFERROR(__xludf.DUMMYFUNCTION("""COMPUTED_VALUE"""),"ARG")</f>
        <v>ARG</v>
      </c>
      <c r="G85" s="6">
        <f ca="1">IFERROR(__xludf.DUMMYFUNCTION("""COMPUTED_VALUE"""),52448420)</f>
        <v>52448420</v>
      </c>
      <c r="H85" s="37">
        <f ca="1">IFERROR(__xludf.DUMMYFUNCTION("""COMPUTED_VALUE"""),41022)</f>
        <v>41022</v>
      </c>
      <c r="I85" s="38">
        <f ca="1">IFERROR(__xludf.DUMMYFUNCTION("""COMPUTED_VALUE"""),1162296144)</f>
        <v>1162296144</v>
      </c>
      <c r="J85" s="38">
        <f ca="1">IFERROR(__xludf.DUMMYFUNCTION("""COMPUTED_VALUE"""),1162292995)</f>
        <v>1162292995</v>
      </c>
      <c r="K85" s="38" t="str">
        <f ca="1">IFERROR(__xludf.DUMMYFUNCTION("""COMPUTED_VALUE"""),"cristinadubra@gmail.com")</f>
        <v>cristinadubra@gmail.com</v>
      </c>
      <c r="L85" s="38" t="str">
        <f ca="1">IFERROR(__xludf.DUMMYFUNCTION("""COMPUTED_VALUE"""),"Femenino")</f>
        <v>Femenino</v>
      </c>
      <c r="M85" s="38" t="str">
        <f ca="1">IFERROR(__xludf.DUMMYFUNCTION("""COMPUTED_VALUE"""),"CUBA")</f>
        <v>CUBA</v>
      </c>
      <c r="N85" s="38"/>
      <c r="O85" s="38" t="str">
        <f ca="1">IFERROR(__xludf.DUMMYFUNCTION("""COMPUTED_VALUE"""),"OPTIMIST TIMONELES")</f>
        <v>OPTIMIST TIMONELES</v>
      </c>
      <c r="P85" s="38"/>
      <c r="Q85" s="6">
        <f ca="1">IFERROR(__xludf.DUMMYFUNCTION("""COMPUTED_VALUE"""),4136)</f>
        <v>4136</v>
      </c>
      <c r="R85" s="38"/>
      <c r="S85" s="38"/>
      <c r="T85" s="38"/>
      <c r="U85" s="38"/>
      <c r="V85" s="38"/>
      <c r="W85" s="38"/>
      <c r="X85" s="38"/>
      <c r="Y85" s="38"/>
      <c r="Z85" s="6" t="str">
        <f ca="1">IFERROR(__xludf.DUMMYFUNCTION("""COMPUTED_VALUE"""),"No")</f>
        <v>No</v>
      </c>
      <c r="AA85" s="6" t="str">
        <f ca="1">IFERROR(__xludf.DUMMYFUNCTION("""COMPUTED_VALUE"""),"Acepto")</f>
        <v>Acepto</v>
      </c>
      <c r="AB85" s="6" t="str">
        <f ca="1">IFERROR(__xludf.DUMMYFUNCTION("""COMPUTED_VALUE"""),"Terminado")</f>
        <v>Terminado</v>
      </c>
      <c r="AC85" s="6">
        <f ca="1">IFERROR(__xludf.DUMMYFUNCTION("""COMPUTED_VALUE"""),50000)</f>
        <v>50000</v>
      </c>
      <c r="AD85" s="6">
        <f ca="1">IFERROR(__xludf.DUMMYFUNCTION("""COMPUTED_VALUE"""),205532)</f>
        <v>205532</v>
      </c>
      <c r="AE85" s="38" t="str">
        <f ca="1">IFERROR(__xludf.DUMMYFUNCTION("""COMPUTED_VALUE"""),"TRF 06-09")</f>
        <v>TRF 06-09</v>
      </c>
      <c r="AF85" s="38"/>
      <c r="AG85" s="38"/>
      <c r="AH85" s="6"/>
      <c r="AI85" s="6"/>
    </row>
    <row r="86" spans="2:35" ht="13.2">
      <c r="B86" s="35">
        <f ca="1">IFERROR(__xludf.DUMMYFUNCTION("""COMPUTED_VALUE"""),45535.5530904051)</f>
        <v>45535.553090405097</v>
      </c>
      <c r="C86" s="36" t="str">
        <f ca="1">IFERROR(__xludf.DUMMYFUNCTION("""COMPUTED_VALUE"""),"Sebastian")</f>
        <v>Sebastian</v>
      </c>
      <c r="D86" s="36" t="str">
        <f ca="1">IFERROR(__xludf.DUMMYFUNCTION("""COMPUTED_VALUE"""),"Parrella")</f>
        <v>Parrella</v>
      </c>
      <c r="E86" s="36" t="str">
        <f ca="1">IFERROR(__xludf.DUMMYFUNCTION("""COMPUTED_VALUE"""),"Buenos Aires")</f>
        <v>Buenos Aires</v>
      </c>
      <c r="F86" s="6" t="str">
        <f ca="1">IFERROR(__xludf.DUMMYFUNCTION("""COMPUTED_VALUE"""),"ARG")</f>
        <v>ARG</v>
      </c>
      <c r="G86" s="6">
        <f ca="1">IFERROR(__xludf.DUMMYFUNCTION("""COMPUTED_VALUE"""),49926159)</f>
        <v>49926159</v>
      </c>
      <c r="H86" s="37">
        <f ca="1">IFERROR(__xludf.DUMMYFUNCTION("""COMPUTED_VALUE"""),40162)</f>
        <v>40162</v>
      </c>
      <c r="I86" s="38" t="str">
        <f ca="1">IFERROR(__xludf.DUMMYFUNCTION("""COMPUTED_VALUE"""),"+54 9 11 3811-4637")</f>
        <v>+54 9 11 3811-4637</v>
      </c>
      <c r="J86" s="38" t="str">
        <f ca="1">IFERROR(__xludf.DUMMYFUNCTION("""COMPUTED_VALUE"""),"+54 9 11 3811-4637")</f>
        <v>+54 9 11 3811-4637</v>
      </c>
      <c r="K86" s="38" t="str">
        <f ca="1">IFERROR(__xludf.DUMMYFUNCTION("""COMPUTED_VALUE"""),"sebastian.parrella@gmail.com")</f>
        <v>sebastian.parrella@gmail.com</v>
      </c>
      <c r="L86" s="38" t="str">
        <f ca="1">IFERROR(__xludf.DUMMYFUNCTION("""COMPUTED_VALUE"""),"Masculino")</f>
        <v>Masculino</v>
      </c>
      <c r="M86" s="38" t="str">
        <f ca="1">IFERROR(__xludf.DUMMYFUNCTION("""COMPUTED_VALUE"""),"YCCN")</f>
        <v>YCCN</v>
      </c>
      <c r="N86" s="38"/>
      <c r="O86" s="38" t="str">
        <f ca="1">IFERROR(__xludf.DUMMYFUNCTION("""COMPUTED_VALUE"""),"OPTIMIST TIMONELES")</f>
        <v>OPTIMIST TIMONELES</v>
      </c>
      <c r="P86" s="38"/>
      <c r="Q86" s="6">
        <f ca="1">IFERROR(__xludf.DUMMYFUNCTION("""COMPUTED_VALUE"""),3490)</f>
        <v>3490</v>
      </c>
      <c r="R86" s="38"/>
      <c r="S86" s="38"/>
      <c r="T86" s="38"/>
      <c r="U86" s="38"/>
      <c r="V86" s="38"/>
      <c r="W86" s="38"/>
      <c r="X86" s="38"/>
      <c r="Y86" s="38" t="str">
        <f ca="1">IFERROR(__xludf.DUMMYFUNCTION("""COMPUTED_VALUE"""),"Osde")</f>
        <v>Osde</v>
      </c>
      <c r="Z86" s="6" t="str">
        <f ca="1">IFERROR(__xludf.DUMMYFUNCTION("""COMPUTED_VALUE"""),"No")</f>
        <v>No</v>
      </c>
      <c r="AA86" s="6" t="str">
        <f ca="1">IFERROR(__xludf.DUMMYFUNCTION("""COMPUTED_VALUE"""),"Acepto")</f>
        <v>Acepto</v>
      </c>
      <c r="AB86" s="6" t="str">
        <f ca="1">IFERROR(__xludf.DUMMYFUNCTION("""COMPUTED_VALUE"""),"Terminado")</f>
        <v>Terminado</v>
      </c>
      <c r="AC86" s="6">
        <f ca="1">IFERROR(__xludf.DUMMYFUNCTION("""COMPUTED_VALUE"""),50000)</f>
        <v>50000</v>
      </c>
      <c r="AD86" s="6">
        <f ca="1">IFERROR(__xludf.DUMMYFUNCTION("""COMPUTED_VALUE"""),205154)</f>
        <v>205154</v>
      </c>
      <c r="AE86" s="38" t="str">
        <f ca="1">IFERROR(__xludf.DUMMYFUNCTION("""COMPUTED_VALUE"""),"TRF 31-08")</f>
        <v>TRF 31-08</v>
      </c>
      <c r="AF86" s="38"/>
      <c r="AG86" s="38"/>
      <c r="AH86" s="6"/>
      <c r="AI86" s="6"/>
    </row>
    <row r="87" spans="2:35" ht="13.2">
      <c r="B87" s="35">
        <f ca="1">IFERROR(__xludf.DUMMYFUNCTION("""COMPUTED_VALUE"""),45538.827486412)</f>
        <v>45538.827486412003</v>
      </c>
      <c r="C87" s="36" t="str">
        <f ca="1">IFERROR(__xludf.DUMMYFUNCTION("""COMPUTED_VALUE"""),"Bautista ")</f>
        <v xml:space="preserve">Bautista </v>
      </c>
      <c r="D87" s="36" t="str">
        <f ca="1">IFERROR(__xludf.DUMMYFUNCTION("""COMPUTED_VALUE"""),"PEREIRO")</f>
        <v>PEREIRO</v>
      </c>
      <c r="E87" s="36" t="str">
        <f ca="1">IFERROR(__xludf.DUMMYFUNCTION("""COMPUTED_VALUE"""),"Caba")</f>
        <v>Caba</v>
      </c>
      <c r="F87" s="6" t="str">
        <f ca="1">IFERROR(__xludf.DUMMYFUNCTION("""COMPUTED_VALUE"""),"ARG")</f>
        <v>ARG</v>
      </c>
      <c r="G87" s="6">
        <f ca="1">IFERROR(__xludf.DUMMYFUNCTION("""COMPUTED_VALUE"""),51588663)</f>
        <v>51588663</v>
      </c>
      <c r="H87" s="37">
        <f ca="1">IFERROR(__xludf.DUMMYFUNCTION("""COMPUTED_VALUE"""),40893)</f>
        <v>40893</v>
      </c>
      <c r="I87" s="38">
        <f ca="1">IFERROR(__xludf.DUMMYFUNCTION("""COMPUTED_VALUE"""),1126052540)</f>
        <v>1126052540</v>
      </c>
      <c r="J87" s="38">
        <f ca="1">IFERROR(__xludf.DUMMYFUNCTION("""COMPUTED_VALUE"""),1126052540)</f>
        <v>1126052540</v>
      </c>
      <c r="K87" s="38" t="str">
        <f ca="1">IFERROR(__xludf.DUMMYFUNCTION("""COMPUTED_VALUE"""),"doloresgm@gmail.com")</f>
        <v>doloresgm@gmail.com</v>
      </c>
      <c r="L87" s="38" t="str">
        <f ca="1">IFERROR(__xludf.DUMMYFUNCTION("""COMPUTED_VALUE"""),"Masculino")</f>
        <v>Masculino</v>
      </c>
      <c r="M87" s="38" t="str">
        <f ca="1">IFERROR(__xludf.DUMMYFUNCTION("""COMPUTED_VALUE"""),"Cuba")</f>
        <v>Cuba</v>
      </c>
      <c r="N87" s="38"/>
      <c r="O87" s="38" t="str">
        <f ca="1">IFERROR(__xludf.DUMMYFUNCTION("""COMPUTED_VALUE"""),"OPTIMIST TIMONELES")</f>
        <v>OPTIMIST TIMONELES</v>
      </c>
      <c r="P87" s="38"/>
      <c r="Q87" s="6">
        <f ca="1">IFERROR(__xludf.DUMMYFUNCTION("""COMPUTED_VALUE"""),3757)</f>
        <v>3757</v>
      </c>
      <c r="R87" s="38"/>
      <c r="S87" s="38"/>
      <c r="T87" s="38"/>
      <c r="U87" s="38"/>
      <c r="V87" s="38"/>
      <c r="W87" s="38"/>
      <c r="X87" s="38"/>
      <c r="Y87" s="38" t="str">
        <f ca="1">IFERROR(__xludf.DUMMYFUNCTION("""COMPUTED_VALUE"""),"Osde")</f>
        <v>Osde</v>
      </c>
      <c r="Z87" s="6" t="str">
        <f ca="1">IFERROR(__xludf.DUMMYFUNCTION("""COMPUTED_VALUE"""),"No")</f>
        <v>No</v>
      </c>
      <c r="AA87" s="6" t="str">
        <f ca="1">IFERROR(__xludf.DUMMYFUNCTION("""COMPUTED_VALUE"""),"Acepto")</f>
        <v>Acepto</v>
      </c>
      <c r="AB87" s="6" t="str">
        <f ca="1">IFERROR(__xludf.DUMMYFUNCTION("""COMPUTED_VALUE"""),"Terminado")</f>
        <v>Terminado</v>
      </c>
      <c r="AC87" s="6">
        <f ca="1">IFERROR(__xludf.DUMMYFUNCTION("""COMPUTED_VALUE"""),50000)</f>
        <v>50000</v>
      </c>
      <c r="AD87" s="6">
        <f ca="1">IFERROR(__xludf.DUMMYFUNCTION("""COMPUTED_VALUE"""),205422)</f>
        <v>205422</v>
      </c>
      <c r="AE87" s="38" t="str">
        <f ca="1">IFERROR(__xludf.DUMMYFUNCTION("""COMPUTED_VALUE"""),"TRF 03-09")</f>
        <v>TRF 03-09</v>
      </c>
      <c r="AF87" s="38"/>
      <c r="AG87" s="38"/>
      <c r="AH87" s="6"/>
      <c r="AI87" s="6"/>
    </row>
    <row r="88" spans="2:35" ht="13.2">
      <c r="B88" s="35">
        <f ca="1">IFERROR(__xludf.DUMMYFUNCTION("""COMPUTED_VALUE"""),45535.5509412499)</f>
        <v>45535.550941249901</v>
      </c>
      <c r="C88" s="36" t="str">
        <f ca="1">IFERROR(__xludf.DUMMYFUNCTION("""COMPUTED_VALUE"""),"Juan Cruz")</f>
        <v>Juan Cruz</v>
      </c>
      <c r="D88" s="36" t="str">
        <f ca="1">IFERROR(__xludf.DUMMYFUNCTION("""COMPUTED_VALUE"""),"Perrotta")</f>
        <v>Perrotta</v>
      </c>
      <c r="E88" s="36" t="str">
        <f ca="1">IFERROR(__xludf.DUMMYFUNCTION("""COMPUTED_VALUE"""),"Buenos Aires")</f>
        <v>Buenos Aires</v>
      </c>
      <c r="F88" s="6" t="str">
        <f ca="1">IFERROR(__xludf.DUMMYFUNCTION("""COMPUTED_VALUE"""),"ARG")</f>
        <v>ARG</v>
      </c>
      <c r="G88" s="6">
        <f ca="1">IFERROR(__xludf.DUMMYFUNCTION("""COMPUTED_VALUE"""),50801005)</f>
        <v>50801005</v>
      </c>
      <c r="H88" s="37">
        <f ca="1">IFERROR(__xludf.DUMMYFUNCTION("""COMPUTED_VALUE"""),40518)</f>
        <v>40518</v>
      </c>
      <c r="I88" s="38">
        <f ca="1">IFERROR(__xludf.DUMMYFUNCTION("""COMPUTED_VALUE"""),1165019030)</f>
        <v>1165019030</v>
      </c>
      <c r="J88" s="38">
        <f ca="1">IFERROR(__xludf.DUMMYFUNCTION("""COMPUTED_VALUE"""),1165019030)</f>
        <v>1165019030</v>
      </c>
      <c r="K88" s="38" t="str">
        <f ca="1">IFERROR(__xludf.DUMMYFUNCTION("""COMPUTED_VALUE"""),"Paulacutini@gmail.comp")</f>
        <v>Paulacutini@gmail.comp</v>
      </c>
      <c r="L88" s="38" t="str">
        <f ca="1">IFERROR(__xludf.DUMMYFUNCTION("""COMPUTED_VALUE"""),"Masculino")</f>
        <v>Masculino</v>
      </c>
      <c r="M88" s="38" t="str">
        <f ca="1">IFERROR(__xludf.DUMMYFUNCTION("""COMPUTED_VALUE"""),"CNAS")</f>
        <v>CNAS</v>
      </c>
      <c r="N88" s="38"/>
      <c r="O88" s="38" t="str">
        <f ca="1">IFERROR(__xludf.DUMMYFUNCTION("""COMPUTED_VALUE"""),"OPTIMIST TIMONELES")</f>
        <v>OPTIMIST TIMONELES</v>
      </c>
      <c r="P88" s="38"/>
      <c r="Q88" s="6">
        <f ca="1">IFERROR(__xludf.DUMMYFUNCTION("""COMPUTED_VALUE"""),3619)</f>
        <v>3619</v>
      </c>
      <c r="R88" s="38"/>
      <c r="S88" s="38"/>
      <c r="T88" s="38"/>
      <c r="U88" s="38"/>
      <c r="V88" s="38"/>
      <c r="W88" s="38"/>
      <c r="X88" s="38"/>
      <c r="Y88" s="38">
        <f ca="1">IFERROR(__xludf.DUMMYFUNCTION("""COMPUTED_VALUE"""),60688819404)</f>
        <v>60688819404</v>
      </c>
      <c r="Z88" s="6" t="str">
        <f ca="1">IFERROR(__xludf.DUMMYFUNCTION("""COMPUTED_VALUE"""),"Si")</f>
        <v>Si</v>
      </c>
      <c r="AA88" s="6" t="str">
        <f ca="1">IFERROR(__xludf.DUMMYFUNCTION("""COMPUTED_VALUE"""),"Acepto")</f>
        <v>Acepto</v>
      </c>
      <c r="AB88" s="6" t="str">
        <f ca="1">IFERROR(__xludf.DUMMYFUNCTION("""COMPUTED_VALUE"""),"Terminado")</f>
        <v>Terminado</v>
      </c>
      <c r="AC88" s="6">
        <f ca="1">IFERROR(__xludf.DUMMYFUNCTION("""COMPUTED_VALUE"""),60000)</f>
        <v>60000</v>
      </c>
      <c r="AD88" s="6">
        <f ca="1">IFERROR(__xludf.DUMMYFUNCTION("""COMPUTED_VALUE"""),205155)</f>
        <v>205155</v>
      </c>
      <c r="AE88" s="38" t="str">
        <f ca="1">IFERROR(__xludf.DUMMYFUNCTION("""COMPUTED_VALUE"""),"TRF 31-08")</f>
        <v>TRF 31-08</v>
      </c>
      <c r="AF88" s="38"/>
      <c r="AG88" s="38"/>
      <c r="AH88" s="6"/>
      <c r="AI88" s="6"/>
    </row>
    <row r="89" spans="2:35" ht="13.2">
      <c r="B89" s="35">
        <f ca="1">IFERROR(__xludf.DUMMYFUNCTION("""COMPUTED_VALUE"""),45535.5105350925)</f>
        <v>45535.510535092501</v>
      </c>
      <c r="C89" s="36" t="str">
        <f ca="1">IFERROR(__xludf.DUMMYFUNCTION("""COMPUTED_VALUE"""),"Donato")</f>
        <v>Donato</v>
      </c>
      <c r="D89" s="36" t="str">
        <f ca="1">IFERROR(__xludf.DUMMYFUNCTION("""COMPUTED_VALUE"""),"Pichetti")</f>
        <v>Pichetti</v>
      </c>
      <c r="E89" s="36" t="str">
        <f ca="1">IFERROR(__xludf.DUMMYFUNCTION("""COMPUTED_VALUE"""),"Junin")</f>
        <v>Junin</v>
      </c>
      <c r="F89" s="6" t="str">
        <f ca="1">IFERROR(__xludf.DUMMYFUNCTION("""COMPUTED_VALUE"""),"ARG")</f>
        <v>ARG</v>
      </c>
      <c r="G89" s="6">
        <f ca="1">IFERROR(__xludf.DUMMYFUNCTION("""COMPUTED_VALUE"""),53218075)</f>
        <v>53218075</v>
      </c>
      <c r="H89" s="37">
        <f ca="1">IFERROR(__xludf.DUMMYFUNCTION("""COMPUTED_VALUE"""),41495)</f>
        <v>41495</v>
      </c>
      <c r="I89" s="38">
        <f ca="1">IFERROR(__xludf.DUMMYFUNCTION("""COMPUTED_VALUE"""),2364692280)</f>
        <v>2364692280</v>
      </c>
      <c r="J89" s="38">
        <f ca="1">IFERROR(__xludf.DUMMYFUNCTION("""COMPUTED_VALUE"""),2474677979)</f>
        <v>2474677979</v>
      </c>
      <c r="K89" s="38" t="str">
        <f ca="1">IFERROR(__xludf.DUMMYFUNCTION("""COMPUTED_VALUE"""),"ana.inesc@hotmail.com")</f>
        <v>ana.inesc@hotmail.com</v>
      </c>
      <c r="L89" s="38" t="str">
        <f ca="1">IFERROR(__xludf.DUMMYFUNCTION("""COMPUTED_VALUE"""),"Masculino")</f>
        <v>Masculino</v>
      </c>
      <c r="M89" s="38" t="str">
        <f ca="1">IFERROR(__xludf.DUMMYFUNCTION("""COMPUTED_VALUE"""),"CNSP")</f>
        <v>CNSP</v>
      </c>
      <c r="N89" s="38" t="str">
        <f ca="1">IFERROR(__xludf.DUMMYFUNCTION("""COMPUTED_VALUE"""),"Interior (Optimist)")</f>
        <v>Interior (Optimist)</v>
      </c>
      <c r="O89" s="38" t="str">
        <f ca="1">IFERROR(__xludf.DUMMYFUNCTION("""COMPUTED_VALUE"""),"OPTIMIST TIMONELES")</f>
        <v>OPTIMIST TIMONELES</v>
      </c>
      <c r="P89" s="38"/>
      <c r="Q89" s="6">
        <f ca="1">IFERROR(__xludf.DUMMYFUNCTION("""COMPUTED_VALUE"""),4042)</f>
        <v>4042</v>
      </c>
      <c r="R89" s="38"/>
      <c r="S89" s="38"/>
      <c r="T89" s="38"/>
      <c r="U89" s="38"/>
      <c r="V89" s="38"/>
      <c r="W89" s="38"/>
      <c r="X89" s="38"/>
      <c r="Y89" s="38" t="str">
        <f ca="1">IFERROR(__xludf.DUMMYFUNCTION("""COMPUTED_VALUE"""),"OSDE ")</f>
        <v xml:space="preserve">OSDE </v>
      </c>
      <c r="Z89" s="6" t="str">
        <f ca="1">IFERROR(__xludf.DUMMYFUNCTION("""COMPUTED_VALUE"""),"Si")</f>
        <v>Si</v>
      </c>
      <c r="AA89" s="6" t="str">
        <f ca="1">IFERROR(__xludf.DUMMYFUNCTION("""COMPUTED_VALUE"""),"Acepto")</f>
        <v>Acepto</v>
      </c>
      <c r="AB89" s="6" t="str">
        <f ca="1">IFERROR(__xludf.DUMMYFUNCTION("""COMPUTED_VALUE"""),"Terminado")</f>
        <v>Terminado</v>
      </c>
      <c r="AC89" s="6">
        <f ca="1">IFERROR(__xludf.DUMMYFUNCTION("""COMPUTED_VALUE"""),42500)</f>
        <v>42500</v>
      </c>
      <c r="AD89" s="6">
        <f ca="1">IFERROR(__xludf.DUMMYFUNCTION("""COMPUTED_VALUE"""),205382)</f>
        <v>205382</v>
      </c>
      <c r="AE89" s="38" t="str">
        <f ca="1">IFERROR(__xludf.DUMMYFUNCTION("""COMPUTED_VALUE"""),"TRF 02-09")</f>
        <v>TRF 02-09</v>
      </c>
      <c r="AF89" s="38"/>
      <c r="AG89" s="38"/>
      <c r="AH89" s="6"/>
      <c r="AI89" s="6"/>
    </row>
    <row r="90" spans="2:35" ht="13.2">
      <c r="B90" s="35">
        <f ca="1">IFERROR(__xludf.DUMMYFUNCTION("""COMPUTED_VALUE"""),45535.5803847685)</f>
        <v>45535.580384768502</v>
      </c>
      <c r="C90" s="36" t="str">
        <f ca="1">IFERROR(__xludf.DUMMYFUNCTION("""COMPUTED_VALUE"""),"Gino")</f>
        <v>Gino</v>
      </c>
      <c r="D90" s="36" t="str">
        <f ca="1">IFERROR(__xludf.DUMMYFUNCTION("""COMPUTED_VALUE"""),"Pichetti")</f>
        <v>Pichetti</v>
      </c>
      <c r="E90" s="36" t="str">
        <f ca="1">IFERROR(__xludf.DUMMYFUNCTION("""COMPUTED_VALUE"""),"Junín ")</f>
        <v xml:space="preserve">Junín </v>
      </c>
      <c r="F90" s="6" t="str">
        <f ca="1">IFERROR(__xludf.DUMMYFUNCTION("""COMPUTED_VALUE"""),"ARG")</f>
        <v>ARG</v>
      </c>
      <c r="G90" s="6">
        <f ca="1">IFERROR(__xludf.DUMMYFUNCTION("""COMPUTED_VALUE"""),50668849)</f>
        <v>50668849</v>
      </c>
      <c r="H90" s="37">
        <f ca="1">IFERROR(__xludf.DUMMYFUNCTION("""COMPUTED_VALUE"""),40546)</f>
        <v>40546</v>
      </c>
      <c r="I90" s="38">
        <f ca="1">IFERROR(__xludf.DUMMYFUNCTION("""COMPUTED_VALUE"""),2364692280)</f>
        <v>2364692280</v>
      </c>
      <c r="J90" s="38">
        <f ca="1">IFERROR(__xludf.DUMMYFUNCTION("""COMPUTED_VALUE"""),2474677979)</f>
        <v>2474677979</v>
      </c>
      <c r="K90" s="38" t="str">
        <f ca="1">IFERROR(__xludf.DUMMYFUNCTION("""COMPUTED_VALUE"""),"ana.inesc@hotmail.com ")</f>
        <v xml:space="preserve">ana.inesc@hotmail.com </v>
      </c>
      <c r="L90" s="38" t="str">
        <f ca="1">IFERROR(__xludf.DUMMYFUNCTION("""COMPUTED_VALUE"""),"Masculino")</f>
        <v>Masculino</v>
      </c>
      <c r="M90" s="38" t="str">
        <f ca="1">IFERROR(__xludf.DUMMYFUNCTION("""COMPUTED_VALUE"""),"CNSP")</f>
        <v>CNSP</v>
      </c>
      <c r="N90" s="38" t="str">
        <f ca="1">IFERROR(__xludf.DUMMYFUNCTION("""COMPUTED_VALUE"""),"Interior (Optimist)")</f>
        <v>Interior (Optimist)</v>
      </c>
      <c r="O90" s="38" t="str">
        <f ca="1">IFERROR(__xludf.DUMMYFUNCTION("""COMPUTED_VALUE"""),"OPTIMIST TIMONELES")</f>
        <v>OPTIMIST TIMONELES</v>
      </c>
      <c r="P90" s="38"/>
      <c r="Q90" s="6">
        <f ca="1">IFERROR(__xludf.DUMMYFUNCTION("""COMPUTED_VALUE"""),4052)</f>
        <v>4052</v>
      </c>
      <c r="R90" s="38"/>
      <c r="S90" s="38"/>
      <c r="T90" s="38"/>
      <c r="U90" s="38"/>
      <c r="V90" s="38"/>
      <c r="W90" s="38"/>
      <c r="X90" s="38"/>
      <c r="Y90" s="38" t="str">
        <f ca="1">IFERROR(__xludf.DUMMYFUNCTION("""COMPUTED_VALUE"""),"OSDE")</f>
        <v>OSDE</v>
      </c>
      <c r="Z90" s="6" t="str">
        <f ca="1">IFERROR(__xludf.DUMMYFUNCTION("""COMPUTED_VALUE"""),"Si")</f>
        <v>Si</v>
      </c>
      <c r="AA90" s="6" t="str">
        <f ca="1">IFERROR(__xludf.DUMMYFUNCTION("""COMPUTED_VALUE"""),"Acepto")</f>
        <v>Acepto</v>
      </c>
      <c r="AB90" s="6" t="str">
        <f ca="1">IFERROR(__xludf.DUMMYFUNCTION("""COMPUTED_VALUE"""),"Terminado")</f>
        <v>Terminado</v>
      </c>
      <c r="AC90" s="6">
        <f ca="1">IFERROR(__xludf.DUMMYFUNCTION("""COMPUTED_VALUE"""),42500)</f>
        <v>42500</v>
      </c>
      <c r="AD90" s="6">
        <f ca="1">IFERROR(__xludf.DUMMYFUNCTION("""COMPUTED_VALUE"""),205381)</f>
        <v>205381</v>
      </c>
      <c r="AE90" s="38" t="str">
        <f ca="1">IFERROR(__xludf.DUMMYFUNCTION("""COMPUTED_VALUE"""),"TRF 02-09")</f>
        <v>TRF 02-09</v>
      </c>
      <c r="AF90" s="38"/>
      <c r="AG90" s="38"/>
      <c r="AH90" s="6"/>
      <c r="AI90" s="6"/>
    </row>
    <row r="91" spans="2:35" ht="13.2">
      <c r="B91" s="35">
        <f ca="1">IFERROR(__xludf.DUMMYFUNCTION("""COMPUTED_VALUE"""),45534.7861977546)</f>
        <v>45534.786197754598</v>
      </c>
      <c r="C91" s="36" t="str">
        <f ca="1">IFERROR(__xludf.DUMMYFUNCTION("""COMPUTED_VALUE"""),"Dante")</f>
        <v>Dante</v>
      </c>
      <c r="D91" s="36" t="str">
        <f ca="1">IFERROR(__xludf.DUMMYFUNCTION("""COMPUTED_VALUE"""),"Pierson")</f>
        <v>Pierson</v>
      </c>
      <c r="E91" s="36" t="str">
        <f ca="1">IFERROR(__xludf.DUMMYFUNCTION("""COMPUTED_VALUE"""),"Rosario")</f>
        <v>Rosario</v>
      </c>
      <c r="F91" s="6" t="str">
        <f ca="1">IFERROR(__xludf.DUMMYFUNCTION("""COMPUTED_VALUE"""),"ARG")</f>
        <v>ARG</v>
      </c>
      <c r="G91" s="6">
        <f ca="1">IFERROR(__xludf.DUMMYFUNCTION("""COMPUTED_VALUE"""),50241942)</f>
        <v>50241942</v>
      </c>
      <c r="H91" s="37">
        <f ca="1">IFERROR(__xludf.DUMMYFUNCTION("""COMPUTED_VALUE"""),40273)</f>
        <v>40273</v>
      </c>
      <c r="I91" s="38">
        <f ca="1">IFERROR(__xludf.DUMMYFUNCTION("""COMPUTED_VALUE"""),3416987798)</f>
        <v>3416987798</v>
      </c>
      <c r="J91" s="38">
        <f ca="1">IFERROR(__xludf.DUMMYFUNCTION("""COMPUTED_VALUE"""),3416987797)</f>
        <v>3416987797</v>
      </c>
      <c r="K91" s="38" t="str">
        <f ca="1">IFERROR(__xludf.DUMMYFUNCTION("""COMPUTED_VALUE"""),"valeritacerra@gmail.com")</f>
        <v>valeritacerra@gmail.com</v>
      </c>
      <c r="L91" s="38" t="str">
        <f ca="1">IFERROR(__xludf.DUMMYFUNCTION("""COMPUTED_VALUE"""),"Masculino")</f>
        <v>Masculino</v>
      </c>
      <c r="M91" s="38" t="str">
        <f ca="1">IFERROR(__xludf.DUMMYFUNCTION("""COMPUTED_VALUE"""),"CRR")</f>
        <v>CRR</v>
      </c>
      <c r="N91" s="38" t="str">
        <f ca="1">IFERROR(__xludf.DUMMYFUNCTION("""COMPUTED_VALUE"""),"Interior (Optimist)")</f>
        <v>Interior (Optimist)</v>
      </c>
      <c r="O91" s="38" t="str">
        <f ca="1">IFERROR(__xludf.DUMMYFUNCTION("""COMPUTED_VALUE"""),"OPTIMIST TIMONELES")</f>
        <v>OPTIMIST TIMONELES</v>
      </c>
      <c r="P91" s="38"/>
      <c r="Q91" s="6">
        <f ca="1">IFERROR(__xludf.DUMMYFUNCTION("""COMPUTED_VALUE"""),3999)</f>
        <v>3999</v>
      </c>
      <c r="R91" s="38"/>
      <c r="S91" s="38"/>
      <c r="T91" s="38"/>
      <c r="U91" s="38"/>
      <c r="V91" s="38"/>
      <c r="W91" s="38"/>
      <c r="X91" s="38"/>
      <c r="Y91" s="38" t="str">
        <f ca="1">IFERROR(__xludf.DUMMYFUNCTION("""COMPUTED_VALUE"""),"OSUNR 0026538900C")</f>
        <v>OSUNR 0026538900C</v>
      </c>
      <c r="Z91" s="6" t="str">
        <f ca="1">IFERROR(__xludf.DUMMYFUNCTION("""COMPUTED_VALUE"""),"No")</f>
        <v>No</v>
      </c>
      <c r="AA91" s="6" t="str">
        <f ca="1">IFERROR(__xludf.DUMMYFUNCTION("""COMPUTED_VALUE"""),"Acepto")</f>
        <v>Acepto</v>
      </c>
      <c r="AB91" s="6" t="str">
        <f ca="1">IFERROR(__xludf.DUMMYFUNCTION("""COMPUTED_VALUE"""),"Terminado")</f>
        <v>Terminado</v>
      </c>
      <c r="AC91" s="6">
        <f ca="1">IFERROR(__xludf.DUMMYFUNCTION("""COMPUTED_VALUE"""),42500)</f>
        <v>42500</v>
      </c>
      <c r="AD91" s="6">
        <f ca="1">IFERROR(__xludf.DUMMYFUNCTION("""COMPUTED_VALUE"""),205132)</f>
        <v>205132</v>
      </c>
      <c r="AE91" s="38" t="str">
        <f ca="1">IFERROR(__xludf.DUMMYFUNCTION("""COMPUTED_VALUE"""),"TRF 30-08")</f>
        <v>TRF 30-08</v>
      </c>
      <c r="AF91" s="38"/>
      <c r="AG91" s="38"/>
      <c r="AH91" s="6"/>
      <c r="AI91" s="6"/>
    </row>
    <row r="92" spans="2:35" ht="13.2">
      <c r="B92" s="35">
        <f ca="1">IFERROR(__xludf.DUMMYFUNCTION("""COMPUTED_VALUE"""),45534.5033787152)</f>
        <v>45534.503378715199</v>
      </c>
      <c r="C92" s="36" t="str">
        <f ca="1">IFERROR(__xludf.DUMMYFUNCTION("""COMPUTED_VALUE"""),"Lucio ")</f>
        <v xml:space="preserve">Lucio </v>
      </c>
      <c r="D92" s="36" t="str">
        <f ca="1">IFERROR(__xludf.DUMMYFUNCTION("""COMPUTED_VALUE"""),"Pinedo")</f>
        <v>Pinedo</v>
      </c>
      <c r="E92" s="36" t="str">
        <f ca="1">IFERROR(__xludf.DUMMYFUNCTION("""COMPUTED_VALUE"""),"La Plata ")</f>
        <v xml:space="preserve">La Plata </v>
      </c>
      <c r="F92" s="6" t="str">
        <f ca="1">IFERROR(__xludf.DUMMYFUNCTION("""COMPUTED_VALUE"""),"ARG")</f>
        <v>ARG</v>
      </c>
      <c r="G92" s="6">
        <f ca="1">IFERROR(__xludf.DUMMYFUNCTION("""COMPUTED_VALUE"""),49932072)</f>
        <v>49932072</v>
      </c>
      <c r="H92" s="37">
        <f ca="1">IFERROR(__xludf.DUMMYFUNCTION("""COMPUTED_VALUE"""),40129)</f>
        <v>40129</v>
      </c>
      <c r="I92" s="38" t="str">
        <f ca="1">IFERROR(__xludf.DUMMYFUNCTION("""COMPUTED_VALUE"""),"221 542 6584")</f>
        <v>221 542 6584</v>
      </c>
      <c r="J92" s="38" t="str">
        <f ca="1">IFERROR(__xludf.DUMMYFUNCTION("""COMPUTED_VALUE"""),"221 640 2039")</f>
        <v>221 640 2039</v>
      </c>
      <c r="K92" s="38" t="str">
        <f ca="1">IFERROR(__xludf.DUMMYFUNCTION("""COMPUTED_VALUE"""),"luciopinedo09@gmail.com")</f>
        <v>luciopinedo09@gmail.com</v>
      </c>
      <c r="L92" s="38" t="str">
        <f ca="1">IFERROR(__xludf.DUMMYFUNCTION("""COMPUTED_VALUE"""),"Masculino")</f>
        <v>Masculino</v>
      </c>
      <c r="M92" s="38" t="str">
        <f ca="1">IFERROR(__xludf.DUMMYFUNCTION("""COMPUTED_VALUE"""),"CRLP")</f>
        <v>CRLP</v>
      </c>
      <c r="N92" s="38"/>
      <c r="O92" s="38" t="str">
        <f ca="1">IFERROR(__xludf.DUMMYFUNCTION("""COMPUTED_VALUE"""),"OPTIMIST TIMONELES")</f>
        <v>OPTIMIST TIMONELES</v>
      </c>
      <c r="P92" s="38"/>
      <c r="Q92" s="6">
        <f ca="1">IFERROR(__xludf.DUMMYFUNCTION("""COMPUTED_VALUE"""),3581)</f>
        <v>3581</v>
      </c>
      <c r="R92" s="38"/>
      <c r="S92" s="38"/>
      <c r="T92" s="38"/>
      <c r="U92" s="38"/>
      <c r="V92" s="38"/>
      <c r="W92" s="38"/>
      <c r="X92" s="38"/>
      <c r="Y92" s="38" t="str">
        <f ca="1">IFERROR(__xludf.DUMMYFUNCTION("""COMPUTED_VALUE"""),"IOMA/ K248929169/03")</f>
        <v>IOMA/ K248929169/03</v>
      </c>
      <c r="Z92" s="6" t="str">
        <f ca="1">IFERROR(__xludf.DUMMYFUNCTION("""COMPUTED_VALUE"""),"Si")</f>
        <v>Si</v>
      </c>
      <c r="AA92" s="6" t="str">
        <f ca="1">IFERROR(__xludf.DUMMYFUNCTION("""COMPUTED_VALUE"""),"Acepto")</f>
        <v>Acepto</v>
      </c>
      <c r="AB92" s="6" t="str">
        <f ca="1">IFERROR(__xludf.DUMMYFUNCTION("""COMPUTED_VALUE"""),"Terminado")</f>
        <v>Terminado</v>
      </c>
      <c r="AC92" s="6">
        <f ca="1">IFERROR(__xludf.DUMMYFUNCTION("""COMPUTED_VALUE"""),50000)</f>
        <v>50000</v>
      </c>
      <c r="AD92" s="6">
        <f ca="1">IFERROR(__xludf.DUMMYFUNCTION("""COMPUTED_VALUE"""),205104)</f>
        <v>205104</v>
      </c>
      <c r="AE92" s="38" t="str">
        <f ca="1">IFERROR(__xludf.DUMMYFUNCTION("""COMPUTED_VALUE"""),"TRF 30-08")</f>
        <v>TRF 30-08</v>
      </c>
      <c r="AF92" s="38"/>
      <c r="AG92" s="38"/>
      <c r="AH92" s="6"/>
      <c r="AI92" s="6"/>
    </row>
    <row r="93" spans="2:35" ht="13.2">
      <c r="B93" s="35">
        <f ca="1">IFERROR(__xludf.DUMMYFUNCTION("""COMPUTED_VALUE"""),45534.399523206)</f>
        <v>45534.399523205997</v>
      </c>
      <c r="C93" s="36" t="str">
        <f ca="1">IFERROR(__xludf.DUMMYFUNCTION("""COMPUTED_VALUE"""),"Lautaro")</f>
        <v>Lautaro</v>
      </c>
      <c r="D93" s="36" t="str">
        <f ca="1">IFERROR(__xludf.DUMMYFUNCTION("""COMPUTED_VALUE"""),"Pinedo Chiappa")</f>
        <v>Pinedo Chiappa</v>
      </c>
      <c r="E93" s="36" t="str">
        <f ca="1">IFERROR(__xludf.DUMMYFUNCTION("""COMPUTED_VALUE"""),"La Plata")</f>
        <v>La Plata</v>
      </c>
      <c r="F93" s="6" t="str">
        <f ca="1">IFERROR(__xludf.DUMMYFUNCTION("""COMPUTED_VALUE"""),"ARG")</f>
        <v>ARG</v>
      </c>
      <c r="G93" s="6">
        <f ca="1">IFERROR(__xludf.DUMMYFUNCTION("""COMPUTED_VALUE"""),51261261)</f>
        <v>51261261</v>
      </c>
      <c r="H93" s="37">
        <f ca="1">IFERROR(__xludf.DUMMYFUNCTION("""COMPUTED_VALUE"""),38961)</f>
        <v>38961</v>
      </c>
      <c r="I93" s="38" t="str">
        <f ca="1">IFERROR(__xludf.DUMMYFUNCTION("""COMPUTED_VALUE"""),"221 4196396")</f>
        <v>221 4196396</v>
      </c>
      <c r="J93" s="38" t="str">
        <f ca="1">IFERROR(__xludf.DUMMYFUNCTION("""COMPUTED_VALUE"""),"221 4196396")</f>
        <v>221 4196396</v>
      </c>
      <c r="K93" s="38" t="str">
        <f ca="1">IFERROR(__xludf.DUMMYFUNCTION("""COMPUTED_VALUE"""),"agustinpinedo@gmail.com")</f>
        <v>agustinpinedo@gmail.com</v>
      </c>
      <c r="L93" s="38" t="str">
        <f ca="1">IFERROR(__xludf.DUMMYFUNCTION("""COMPUTED_VALUE"""),"Masculino")</f>
        <v>Masculino</v>
      </c>
      <c r="M93" s="38" t="str">
        <f ca="1">IFERROR(__xludf.DUMMYFUNCTION("""COMPUTED_VALUE"""),"CRLP")</f>
        <v>CRLP</v>
      </c>
      <c r="N93" s="38" t="str">
        <f ca="1">IFERROR(__xludf.DUMMYFUNCTION("""COMPUTED_VALUE"""),"Optimist Timoneles")</f>
        <v>Optimist Timoneles</v>
      </c>
      <c r="O93" s="38" t="str">
        <f ca="1">IFERROR(__xludf.DUMMYFUNCTION("""COMPUTED_VALUE"""),"OPTIMIST TIMONELES")</f>
        <v>OPTIMIST TIMONELES</v>
      </c>
      <c r="P93" s="38"/>
      <c r="Q93" s="6">
        <f ca="1">IFERROR(__xludf.DUMMYFUNCTION("""COMPUTED_VALUE"""),3070)</f>
        <v>3070</v>
      </c>
      <c r="R93" s="38"/>
      <c r="S93" s="38"/>
      <c r="T93" s="38"/>
      <c r="U93" s="38"/>
      <c r="V93" s="38"/>
      <c r="W93" s="38"/>
      <c r="X93" s="38"/>
      <c r="Y93" s="38" t="str">
        <f ca="1">IFERROR(__xludf.DUMMYFUNCTION("""COMPUTED_VALUE"""),"IOMA 2228512572703")</f>
        <v>IOMA 2228512572703</v>
      </c>
      <c r="Z93" s="6" t="str">
        <f ca="1">IFERROR(__xludf.DUMMYFUNCTION("""COMPUTED_VALUE"""),"Si")</f>
        <v>Si</v>
      </c>
      <c r="AA93" s="6" t="str">
        <f ca="1">IFERROR(__xludf.DUMMYFUNCTION("""COMPUTED_VALUE"""),"Acepto")</f>
        <v>Acepto</v>
      </c>
      <c r="AB93" s="6" t="str">
        <f ca="1">IFERROR(__xludf.DUMMYFUNCTION("""COMPUTED_VALUE"""),"Terminado")</f>
        <v>Terminado</v>
      </c>
      <c r="AC93" s="6">
        <f ca="1">IFERROR(__xludf.DUMMYFUNCTION("""COMPUTED_VALUE"""),50000)</f>
        <v>50000</v>
      </c>
      <c r="AD93" s="6">
        <f ca="1">IFERROR(__xludf.DUMMYFUNCTION("""COMPUTED_VALUE"""),205087)</f>
        <v>205087</v>
      </c>
      <c r="AE93" s="38" t="str">
        <f ca="1">IFERROR(__xludf.DUMMYFUNCTION("""COMPUTED_VALUE"""),"TRF 30-08")</f>
        <v>TRF 30-08</v>
      </c>
      <c r="AF93" s="38"/>
      <c r="AG93" s="38"/>
      <c r="AH93" s="6"/>
      <c r="AI93" s="6"/>
    </row>
    <row r="94" spans="2:35" ht="13.2">
      <c r="B94" s="35">
        <f ca="1">IFERROR(__xludf.DUMMYFUNCTION("""COMPUTED_VALUE"""),45536.8279283912)</f>
        <v>45536.827928391198</v>
      </c>
      <c r="C94" s="36" t="str">
        <f ca="1">IFERROR(__xludf.DUMMYFUNCTION("""COMPUTED_VALUE"""),"Santiago")</f>
        <v>Santiago</v>
      </c>
      <c r="D94" s="36" t="str">
        <f ca="1">IFERROR(__xludf.DUMMYFUNCTION("""COMPUTED_VALUE"""),"Poggio")</f>
        <v>Poggio</v>
      </c>
      <c r="E94" s="36" t="str">
        <f ca="1">IFERROR(__xludf.DUMMYFUNCTION("""COMPUTED_VALUE"""),"Buenos Aires")</f>
        <v>Buenos Aires</v>
      </c>
      <c r="F94" s="6" t="str">
        <f ca="1">IFERROR(__xludf.DUMMYFUNCTION("""COMPUTED_VALUE"""),"ARG")</f>
        <v>ARG</v>
      </c>
      <c r="G94" s="6">
        <f ca="1">IFERROR(__xludf.DUMMYFUNCTION("""COMPUTED_VALUE"""),52790163)</f>
        <v>52790163</v>
      </c>
      <c r="H94" s="37">
        <f ca="1">IFERROR(__xludf.DUMMYFUNCTION("""COMPUTED_VALUE"""),41184)</f>
        <v>41184</v>
      </c>
      <c r="I94" s="38" t="str">
        <f ca="1">IFERROR(__xludf.DUMMYFUNCTION("""COMPUTED_VALUE"""),"01130754065")</f>
        <v>01130754065</v>
      </c>
      <c r="J94" s="38" t="str">
        <f ca="1">IFERROR(__xludf.DUMMYFUNCTION("""COMPUTED_VALUE"""),"01130754065")</f>
        <v>01130754065</v>
      </c>
      <c r="K94" s="38" t="str">
        <f ca="1">IFERROR(__xludf.DUMMYFUNCTION("""COMPUTED_VALUE"""),"maximop@hotmail.com")</f>
        <v>maximop@hotmail.com</v>
      </c>
      <c r="L94" s="38" t="str">
        <f ca="1">IFERROR(__xludf.DUMMYFUNCTION("""COMPUTED_VALUE"""),"Masculino")</f>
        <v>Masculino</v>
      </c>
      <c r="M94" s="38" t="str">
        <f ca="1">IFERROR(__xludf.DUMMYFUNCTION("""COMPUTED_VALUE"""),"CUBA")</f>
        <v>CUBA</v>
      </c>
      <c r="N94" s="38" t="str">
        <f ca="1">IFERROR(__xludf.DUMMYFUNCTION("""COMPUTED_VALUE"""),"OPTIMIST TIMONEL (Sub12)")</f>
        <v>OPTIMIST TIMONEL (Sub12)</v>
      </c>
      <c r="O94" s="38" t="str">
        <f ca="1">IFERROR(__xludf.DUMMYFUNCTION("""COMPUTED_VALUE"""),"OPTIMIST TIMONELES")</f>
        <v>OPTIMIST TIMONELES</v>
      </c>
      <c r="P94" s="38"/>
      <c r="Q94" s="6" t="str">
        <f ca="1">IFERROR(__xludf.DUMMYFUNCTION("""COMPUTED_VALUE"""),"ARG3765")</f>
        <v>ARG3765</v>
      </c>
      <c r="R94" s="38"/>
      <c r="S94" s="38"/>
      <c r="T94" s="38"/>
      <c r="U94" s="38"/>
      <c r="V94" s="38"/>
      <c r="W94" s="38"/>
      <c r="X94" s="38"/>
      <c r="Y94" s="38" t="str">
        <f ca="1">IFERROR(__xludf.DUMMYFUNCTION("""COMPUTED_VALUE"""),"OSDE 210 / 60 723328 1 06")</f>
        <v>OSDE 210 / 60 723328 1 06</v>
      </c>
      <c r="Z94" s="6" t="str">
        <f ca="1">IFERROR(__xludf.DUMMYFUNCTION("""COMPUTED_VALUE"""),"No")</f>
        <v>No</v>
      </c>
      <c r="AA94" s="6" t="str">
        <f ca="1">IFERROR(__xludf.DUMMYFUNCTION("""COMPUTED_VALUE"""),"Acepto")</f>
        <v>Acepto</v>
      </c>
      <c r="AB94" s="6" t="str">
        <f ca="1">IFERROR(__xludf.DUMMYFUNCTION("""COMPUTED_VALUE"""),"Terminado")</f>
        <v>Terminado</v>
      </c>
      <c r="AC94" s="6">
        <f ca="1">IFERROR(__xludf.DUMMYFUNCTION("""COMPUTED_VALUE"""),50000)</f>
        <v>50000</v>
      </c>
      <c r="AD94" s="6">
        <f ca="1">IFERROR(__xludf.DUMMYFUNCTION("""COMPUTED_VALUE"""),205455)</f>
        <v>205455</v>
      </c>
      <c r="AE94" s="38" t="str">
        <f ca="1">IFERROR(__xludf.DUMMYFUNCTION("""COMPUTED_VALUE"""),"TRF 04-09")</f>
        <v>TRF 04-09</v>
      </c>
      <c r="AF94" s="38"/>
      <c r="AG94" s="38"/>
      <c r="AH94" s="6"/>
      <c r="AI94" s="6"/>
    </row>
    <row r="95" spans="2:35" ht="13.2">
      <c r="B95" s="35">
        <f ca="1">IFERROR(__xludf.DUMMYFUNCTION("""COMPUTED_VALUE"""),45535.8609242708)</f>
        <v>45535.860924270797</v>
      </c>
      <c r="C95" s="36" t="str">
        <f ca="1">IFERROR(__xludf.DUMMYFUNCTION("""COMPUTED_VALUE"""),"Ana Maria")</f>
        <v>Ana Maria</v>
      </c>
      <c r="D95" s="36" t="str">
        <f ca="1">IFERROR(__xludf.DUMMYFUNCTION("""COMPUTED_VALUE"""),"Prota")</f>
        <v>Prota</v>
      </c>
      <c r="E95" s="36" t="str">
        <f ca="1">IFERROR(__xludf.DUMMYFUNCTION("""COMPUTED_VALUE"""),"Montevideo")</f>
        <v>Montevideo</v>
      </c>
      <c r="F95" s="6" t="str">
        <f ca="1">IFERROR(__xludf.DUMMYFUNCTION("""COMPUTED_VALUE"""),"URU")</f>
        <v>URU</v>
      </c>
      <c r="G95" s="6">
        <f ca="1">IFERROR(__xludf.DUMMYFUNCTION("""COMPUTED_VALUE"""),62194679)</f>
        <v>62194679</v>
      </c>
      <c r="H95" s="37">
        <f ca="1">IFERROR(__xludf.DUMMYFUNCTION("""COMPUTED_VALUE"""),40651)</f>
        <v>40651</v>
      </c>
      <c r="I95" s="38" t="str">
        <f ca="1">IFERROR(__xludf.DUMMYFUNCTION("""COMPUTED_VALUE"""),"+59893444307")</f>
        <v>+59893444307</v>
      </c>
      <c r="J95" s="38" t="str">
        <f ca="1">IFERROR(__xludf.DUMMYFUNCTION("""COMPUTED_VALUE"""),"+59893444307")</f>
        <v>+59893444307</v>
      </c>
      <c r="K95" s="38" t="str">
        <f ca="1">IFERROR(__xludf.DUMMYFUNCTION("""COMPUTED_VALUE"""),"santiagoprota@gmail.com")</f>
        <v>santiagoprota@gmail.com</v>
      </c>
      <c r="L95" s="38" t="str">
        <f ca="1">IFERROR(__xludf.DUMMYFUNCTION("""COMPUTED_VALUE"""),"Femenino")</f>
        <v>Femenino</v>
      </c>
      <c r="M95" s="38" t="str">
        <f ca="1">IFERROR(__xludf.DUMMYFUNCTION("""COMPUTED_VALUE"""),"NYC")</f>
        <v>NYC</v>
      </c>
      <c r="N95" s="38" t="str">
        <f ca="1">IFERROR(__xludf.DUMMYFUNCTION("""COMPUTED_VALUE"""),"Femenino")</f>
        <v>Femenino</v>
      </c>
      <c r="O95" s="38" t="str">
        <f ca="1">IFERROR(__xludf.DUMMYFUNCTION("""COMPUTED_VALUE"""),"OPTIMIST TIMONELES")</f>
        <v>OPTIMIST TIMONELES</v>
      </c>
      <c r="P95" s="38"/>
      <c r="Q95" s="6">
        <f ca="1">IFERROR(__xludf.DUMMYFUNCTION("""COMPUTED_VALUE"""),578)</f>
        <v>578</v>
      </c>
      <c r="R95" s="38" t="str">
        <f ca="1">IFERROR(__xludf.DUMMYFUNCTION("""COMPUTED_VALUE"""),"s/n")</f>
        <v>s/n</v>
      </c>
      <c r="S95" s="38"/>
      <c r="T95" s="38"/>
      <c r="U95" s="38"/>
      <c r="V95" s="38"/>
      <c r="W95" s="38"/>
      <c r="X95" s="38"/>
      <c r="Y95" s="38" t="str">
        <f ca="1">IFERROR(__xludf.DUMMYFUNCTION("""COMPUTED_VALUE"""),"Blue Crooss y Swiss Medical")</f>
        <v>Blue Crooss y Swiss Medical</v>
      </c>
      <c r="Z95" s="6" t="str">
        <f ca="1">IFERROR(__xludf.DUMMYFUNCTION("""COMPUTED_VALUE"""),"Si")</f>
        <v>Si</v>
      </c>
      <c r="AA95" s="6" t="str">
        <f ca="1">IFERROR(__xludf.DUMMYFUNCTION("""COMPUTED_VALUE"""),"Acepto")</f>
        <v>Acepto</v>
      </c>
      <c r="AB95" s="6" t="str">
        <f ca="1">IFERROR(__xludf.DUMMYFUNCTION("""COMPUTED_VALUE"""),"Terminado")</f>
        <v>Terminado</v>
      </c>
      <c r="AC95" s="6">
        <f ca="1">IFERROR(__xludf.DUMMYFUNCTION("""COMPUTED_VALUE"""),42500)</f>
        <v>42500</v>
      </c>
      <c r="AD95" s="6">
        <f ca="1">IFERROR(__xludf.DUMMYFUNCTION("""COMPUTED_VALUE"""),205391)</f>
        <v>205391</v>
      </c>
      <c r="AE95" s="38" t="str">
        <f ca="1">IFERROR(__xludf.DUMMYFUNCTION("""COMPUTED_VALUE"""),"TRF 02-09")</f>
        <v>TRF 02-09</v>
      </c>
      <c r="AF95" s="38"/>
      <c r="AG95" s="38"/>
      <c r="AH95" s="6"/>
      <c r="AI95" s="6"/>
    </row>
    <row r="96" spans="2:35" ht="13.2">
      <c r="B96" s="35">
        <f ca="1">IFERROR(__xludf.DUMMYFUNCTION("""COMPUTED_VALUE"""),45533.6729291203)</f>
        <v>45533.672929120301</v>
      </c>
      <c r="C96" s="36" t="str">
        <f ca="1">IFERROR(__xludf.DUMMYFUNCTION("""COMPUTED_VALUE"""),"Ciro Valentin ")</f>
        <v xml:space="preserve">Ciro Valentin </v>
      </c>
      <c r="D96" s="36" t="str">
        <f ca="1">IFERROR(__xludf.DUMMYFUNCTION("""COMPUTED_VALUE"""),"Quevedo ")</f>
        <v xml:space="preserve">Quevedo </v>
      </c>
      <c r="E96" s="36" t="str">
        <f ca="1">IFERROR(__xludf.DUMMYFUNCTION("""COMPUTED_VALUE"""),"Puerto Madryn ")</f>
        <v xml:space="preserve">Puerto Madryn </v>
      </c>
      <c r="F96" s="6" t="str">
        <f ca="1">IFERROR(__xludf.DUMMYFUNCTION("""COMPUTED_VALUE"""),"ARG")</f>
        <v>ARG</v>
      </c>
      <c r="G96" s="6">
        <f ca="1">IFERROR(__xludf.DUMMYFUNCTION("""COMPUTED_VALUE"""),52650181)</f>
        <v>52650181</v>
      </c>
      <c r="H96" s="37">
        <f ca="1">IFERROR(__xludf.DUMMYFUNCTION("""COMPUTED_VALUE"""),41216)</f>
        <v>41216</v>
      </c>
      <c r="I96" s="38" t="str">
        <f ca="1">IFERROR(__xludf.DUMMYFUNCTION("""COMPUTED_VALUE"""),"+5492804387512")</f>
        <v>+5492804387512</v>
      </c>
      <c r="J96" s="38" t="str">
        <f ca="1">IFERROR(__xludf.DUMMYFUNCTION("""COMPUTED_VALUE"""),"+5491158301838")</f>
        <v>+5491158301838</v>
      </c>
      <c r="K96" s="38" t="str">
        <f ca="1">IFERROR(__xludf.DUMMYFUNCTION("""COMPUTED_VALUE"""),"Daniepascu@gmail.com")</f>
        <v>Daniepascu@gmail.com</v>
      </c>
      <c r="L96" s="38" t="str">
        <f ca="1">IFERROR(__xludf.DUMMYFUNCTION("""COMPUTED_VALUE"""),"Masculino")</f>
        <v>Masculino</v>
      </c>
      <c r="M96" s="38" t="str">
        <f ca="1">IFERROR(__xludf.DUMMYFUNCTION("""COMPUTED_VALUE"""),"CNAS")</f>
        <v>CNAS</v>
      </c>
      <c r="N96" s="38" t="str">
        <f ca="1">IFERROR(__xludf.DUMMYFUNCTION("""COMPUTED_VALUE"""),"Interior (Optimist)")</f>
        <v>Interior (Optimist)</v>
      </c>
      <c r="O96" s="38" t="str">
        <f ca="1">IFERROR(__xludf.DUMMYFUNCTION("""COMPUTED_VALUE"""),"OPTIMIST TIMONELES")</f>
        <v>OPTIMIST TIMONELES</v>
      </c>
      <c r="P96" s="38"/>
      <c r="Q96" s="6">
        <f ca="1">IFERROR(__xludf.DUMMYFUNCTION("""COMPUTED_VALUE"""),4046)</f>
        <v>4046</v>
      </c>
      <c r="R96" s="38"/>
      <c r="S96" s="38"/>
      <c r="T96" s="38"/>
      <c r="U96" s="38"/>
      <c r="V96" s="38"/>
      <c r="W96" s="38"/>
      <c r="X96" s="38"/>
      <c r="Y96" s="38" t="str">
        <f ca="1">IFERROR(__xludf.DUMMYFUNCTION("""COMPUTED_VALUE"""),"IOSFA 058678-3/07")</f>
        <v>IOSFA 058678-3/07</v>
      </c>
      <c r="Z96" s="6" t="str">
        <f ca="1">IFERROR(__xludf.DUMMYFUNCTION("""COMPUTED_VALUE"""),"Si")</f>
        <v>Si</v>
      </c>
      <c r="AA96" s="6" t="str">
        <f ca="1">IFERROR(__xludf.DUMMYFUNCTION("""COMPUTED_VALUE"""),"Acepto")</f>
        <v>Acepto</v>
      </c>
      <c r="AB96" s="6" t="str">
        <f ca="1">IFERROR(__xludf.DUMMYFUNCTION("""COMPUTED_VALUE"""),"Terminado")</f>
        <v>Terminado</v>
      </c>
      <c r="AC96" s="6">
        <f ca="1">IFERROR(__xludf.DUMMYFUNCTION("""COMPUTED_VALUE"""),60000)</f>
        <v>60000</v>
      </c>
      <c r="AD96" s="6">
        <f ca="1">IFERROR(__xludf.DUMMYFUNCTION("""COMPUTED_VALUE"""),205080)</f>
        <v>205080</v>
      </c>
      <c r="AE96" s="38" t="str">
        <f ca="1">IFERROR(__xludf.DUMMYFUNCTION("""COMPUTED_VALUE"""),"TRF 29-08")</f>
        <v>TRF 29-08</v>
      </c>
      <c r="AF96" s="38"/>
      <c r="AG96" s="38"/>
      <c r="AH96" s="6"/>
      <c r="AI96" s="6"/>
    </row>
    <row r="97" spans="2:35" ht="13.2">
      <c r="B97" s="35">
        <f ca="1">IFERROR(__xludf.DUMMYFUNCTION("""COMPUTED_VALUE"""),45539.687652118)</f>
        <v>45539.687652118002</v>
      </c>
      <c r="C97" s="36" t="str">
        <f ca="1">IFERROR(__xludf.DUMMYFUNCTION("""COMPUTED_VALUE"""),"Nina ")</f>
        <v xml:space="preserve">Nina </v>
      </c>
      <c r="D97" s="36" t="str">
        <f ca="1">IFERROR(__xludf.DUMMYFUNCTION("""COMPUTED_VALUE"""),"Raineri Taverna")</f>
        <v>Raineri Taverna</v>
      </c>
      <c r="E97" s="36" t="str">
        <f ca="1">IFERROR(__xludf.DUMMYFUNCTION("""COMPUTED_VALUE"""),"Rosario")</f>
        <v>Rosario</v>
      </c>
      <c r="F97" s="6" t="str">
        <f ca="1">IFERROR(__xludf.DUMMYFUNCTION("""COMPUTED_VALUE"""),"ARG")</f>
        <v>ARG</v>
      </c>
      <c r="G97" s="6">
        <f ca="1">IFERROR(__xludf.DUMMYFUNCTION("""COMPUTED_VALUE"""),53185733)</f>
        <v>53185733</v>
      </c>
      <c r="H97" s="37">
        <f ca="1">IFERROR(__xludf.DUMMYFUNCTION("""COMPUTED_VALUE"""),41335)</f>
        <v>41335</v>
      </c>
      <c r="I97" s="38">
        <f ca="1">IFERROR(__xludf.DUMMYFUNCTION("""COMPUTED_VALUE"""),3415632090)</f>
        <v>3415632090</v>
      </c>
      <c r="J97" s="38">
        <f ca="1">IFERROR(__xludf.DUMMYFUNCTION("""COMPUTED_VALUE"""),3415632090)</f>
        <v>3415632090</v>
      </c>
      <c r="K97" s="38" t="str">
        <f ca="1">IFERROR(__xludf.DUMMYFUNCTION("""COMPUTED_VALUE"""),"andtaverna@gmail.com")</f>
        <v>andtaverna@gmail.com</v>
      </c>
      <c r="L97" s="38" t="str">
        <f ca="1">IFERROR(__xludf.DUMMYFUNCTION("""COMPUTED_VALUE"""),"Femenino")</f>
        <v>Femenino</v>
      </c>
      <c r="M97" s="38" t="str">
        <f ca="1">IFERROR(__xludf.DUMMYFUNCTION("""COMPUTED_VALUE"""),"CVR ")</f>
        <v xml:space="preserve">CVR </v>
      </c>
      <c r="N97" s="38" t="str">
        <f ca="1">IFERROR(__xludf.DUMMYFUNCTION("""COMPUTED_VALUE"""),"Femenino, Interior (Optimist)")</f>
        <v>Femenino, Interior (Optimist)</v>
      </c>
      <c r="O97" s="38" t="str">
        <f ca="1">IFERROR(__xludf.DUMMYFUNCTION("""COMPUTED_VALUE"""),"OPTIMIST TIMONELES")</f>
        <v>OPTIMIST TIMONELES</v>
      </c>
      <c r="P97" s="38">
        <f ca="1">IFERROR(__xludf.DUMMYFUNCTION("""COMPUTED_VALUE"""),169574)</f>
        <v>169574</v>
      </c>
      <c r="Q97" s="6">
        <f ca="1">IFERROR(__xludf.DUMMYFUNCTION("""COMPUTED_VALUE"""),3938)</f>
        <v>3938</v>
      </c>
      <c r="R97" s="38"/>
      <c r="S97" s="38"/>
      <c r="T97" s="38"/>
      <c r="U97" s="38"/>
      <c r="V97" s="38"/>
      <c r="W97" s="38"/>
      <c r="X97" s="38"/>
      <c r="Y97" s="38" t="str">
        <f ca="1">IFERROR(__xludf.DUMMYFUNCTION("""COMPUTED_VALUE"""),"Swiss medical")</f>
        <v>Swiss medical</v>
      </c>
      <c r="Z97" s="6" t="str">
        <f ca="1">IFERROR(__xludf.DUMMYFUNCTION("""COMPUTED_VALUE"""),"Si")</f>
        <v>Si</v>
      </c>
      <c r="AA97" s="6" t="str">
        <f ca="1">IFERROR(__xludf.DUMMYFUNCTION("""COMPUTED_VALUE"""),"Acepto")</f>
        <v>Acepto</v>
      </c>
      <c r="AB97" s="6" t="str">
        <f ca="1">IFERROR(__xludf.DUMMYFUNCTION("""COMPUTED_VALUE"""),"Terminado")</f>
        <v>Terminado</v>
      </c>
      <c r="AC97" s="6">
        <f ca="1">IFERROR(__xludf.DUMMYFUNCTION("""COMPUTED_VALUE"""),60000)</f>
        <v>60000</v>
      </c>
      <c r="AD97" s="6">
        <f ca="1">IFERROR(__xludf.DUMMYFUNCTION("""COMPUTED_VALUE"""),205397)</f>
        <v>205397</v>
      </c>
      <c r="AE97" s="38" t="str">
        <f ca="1">IFERROR(__xludf.DUMMYFUNCTION("""COMPUTED_VALUE"""),"TRF 02-09")</f>
        <v>TRF 02-09</v>
      </c>
      <c r="AF97" s="38"/>
      <c r="AG97" s="38"/>
      <c r="AH97" s="6"/>
      <c r="AI97" s="6"/>
    </row>
    <row r="98" spans="2:35" ht="13.2">
      <c r="B98" s="35">
        <f ca="1">IFERROR(__xludf.DUMMYFUNCTION("""COMPUTED_VALUE"""),45534.6453983101)</f>
        <v>45534.645398310102</v>
      </c>
      <c r="C98" s="36" t="str">
        <f ca="1">IFERROR(__xludf.DUMMYFUNCTION("""COMPUTED_VALUE"""),"Judesson")</f>
        <v>Judesson</v>
      </c>
      <c r="D98" s="36" t="str">
        <f ca="1">IFERROR(__xludf.DUMMYFUNCTION("""COMPUTED_VALUE"""),"Ramos")</f>
        <v>Ramos</v>
      </c>
      <c r="E98" s="36" t="str">
        <f ca="1">IFERROR(__xludf.DUMMYFUNCTION("""COMPUTED_VALUE"""),"Buenos Aires ")</f>
        <v xml:space="preserve">Buenos Aires </v>
      </c>
      <c r="F98" s="6" t="str">
        <f ca="1">IFERROR(__xludf.DUMMYFUNCTION("""COMPUTED_VALUE"""),"ARG")</f>
        <v>ARG</v>
      </c>
      <c r="G98" s="6">
        <f ca="1">IFERROR(__xludf.DUMMYFUNCTION("""COMPUTED_VALUE"""),51704116)</f>
        <v>51704116</v>
      </c>
      <c r="H98" s="37">
        <f ca="1">IFERROR(__xludf.DUMMYFUNCTION("""COMPUTED_VALUE"""),39858)</f>
        <v>39858</v>
      </c>
      <c r="I98" s="38">
        <f ca="1">IFERROR(__xludf.DUMMYFUNCTION("""COMPUTED_VALUE"""),1136841241)</f>
        <v>1136841241</v>
      </c>
      <c r="J98" s="38">
        <f ca="1">IFERROR(__xludf.DUMMYFUNCTION("""COMPUTED_VALUE"""),1121889991)</f>
        <v>1121889991</v>
      </c>
      <c r="K98" s="38" t="str">
        <f ca="1">IFERROR(__xludf.DUMMYFUNCTION("""COMPUTED_VALUE"""),"jfranciscoramos@hotmail.com")</f>
        <v>jfranciscoramos@hotmail.com</v>
      </c>
      <c r="L98" s="38" t="str">
        <f ca="1">IFERROR(__xludf.DUMMYFUNCTION("""COMPUTED_VALUE"""),"Masculino")</f>
        <v>Masculino</v>
      </c>
      <c r="M98" s="38" t="str">
        <f ca="1">IFERROR(__xludf.DUMMYFUNCTION("""COMPUTED_VALUE"""),"Yccn")</f>
        <v>Yccn</v>
      </c>
      <c r="N98" s="38"/>
      <c r="O98" s="38" t="str">
        <f ca="1">IFERROR(__xludf.DUMMYFUNCTION("""COMPUTED_VALUE"""),"OPTIMIST TIMONELES")</f>
        <v>OPTIMIST TIMONELES</v>
      </c>
      <c r="P98" s="38"/>
      <c r="Q98" s="6">
        <f ca="1">IFERROR(__xludf.DUMMYFUNCTION("""COMPUTED_VALUE"""),3776)</f>
        <v>3776</v>
      </c>
      <c r="R98" s="38"/>
      <c r="S98" s="38"/>
      <c r="T98" s="38"/>
      <c r="U98" s="38"/>
      <c r="V98" s="38"/>
      <c r="W98" s="38"/>
      <c r="X98" s="38"/>
      <c r="Y98" s="38" t="str">
        <f ca="1">IFERROR(__xludf.DUMMYFUNCTION("""COMPUTED_VALUE"""),"Osde/61004637205")</f>
        <v>Osde/61004637205</v>
      </c>
      <c r="Z98" s="6" t="str">
        <f ca="1">IFERROR(__xludf.DUMMYFUNCTION("""COMPUTED_VALUE"""),"Si")</f>
        <v>Si</v>
      </c>
      <c r="AA98" s="6" t="str">
        <f ca="1">IFERROR(__xludf.DUMMYFUNCTION("""COMPUTED_VALUE"""),"Acepto")</f>
        <v>Acepto</v>
      </c>
      <c r="AB98" s="6" t="str">
        <f ca="1">IFERROR(__xludf.DUMMYFUNCTION("""COMPUTED_VALUE"""),"Terminado")</f>
        <v>Terminado</v>
      </c>
      <c r="AC98" s="6">
        <f ca="1">IFERROR(__xludf.DUMMYFUNCTION("""COMPUTED_VALUE"""),60000)</f>
        <v>60000</v>
      </c>
      <c r="AD98" s="6">
        <f ca="1">IFERROR(__xludf.DUMMYFUNCTION("""COMPUTED_VALUE"""),205099)</f>
        <v>205099</v>
      </c>
      <c r="AE98" s="38" t="str">
        <f ca="1">IFERROR(__xludf.DUMMYFUNCTION("""COMPUTED_VALUE"""),"TRF 30-08")</f>
        <v>TRF 30-08</v>
      </c>
      <c r="AF98" s="38"/>
      <c r="AG98" s="38"/>
      <c r="AH98" s="6"/>
      <c r="AI98" s="6"/>
    </row>
    <row r="99" spans="2:35" ht="13.2">
      <c r="B99" s="35">
        <f ca="1">IFERROR(__xludf.DUMMYFUNCTION("""COMPUTED_VALUE"""),45540.3935360995)</f>
        <v>45540.393536099502</v>
      </c>
      <c r="C99" s="36" t="str">
        <f ca="1">IFERROR(__xludf.DUMMYFUNCTION("""COMPUTED_VALUE"""),"Jean Lucca")</f>
        <v>Jean Lucca</v>
      </c>
      <c r="D99" s="36" t="str">
        <f ca="1">IFERROR(__xludf.DUMMYFUNCTION("""COMPUTED_VALUE"""),"Reis Demartin")</f>
        <v>Reis Demartin</v>
      </c>
      <c r="E99" s="36" t="str">
        <f ca="1">IFERROR(__xludf.DUMMYFUNCTION("""COMPUTED_VALUE"""),"Martínez")</f>
        <v>Martínez</v>
      </c>
      <c r="F99" s="6" t="str">
        <f ca="1">IFERROR(__xludf.DUMMYFUNCTION("""COMPUTED_VALUE"""),"ARG")</f>
        <v>ARG</v>
      </c>
      <c r="G99" s="6">
        <f ca="1">IFERROR(__xludf.DUMMYFUNCTION("""COMPUTED_VALUE"""),50610292)</f>
        <v>50610292</v>
      </c>
      <c r="H99" s="37">
        <f ca="1">IFERROR(__xludf.DUMMYFUNCTION("""COMPUTED_VALUE"""),40551)</f>
        <v>40551</v>
      </c>
      <c r="I99" s="38">
        <f ca="1">IFERROR(__xludf.DUMMYFUNCTION("""COMPUTED_VALUE"""),1131876969)</f>
        <v>1131876969</v>
      </c>
      <c r="J99" s="38">
        <f ca="1">IFERROR(__xludf.DUMMYFUNCTION("""COMPUTED_VALUE"""),1131876969)</f>
        <v>1131876969</v>
      </c>
      <c r="K99" s="38" t="str">
        <f ca="1">IFERROR(__xludf.DUMMYFUNCTION("""COMPUTED_VALUE"""),"rafaeldemartin@gmail.com")</f>
        <v>rafaeldemartin@gmail.com</v>
      </c>
      <c r="L99" s="38" t="str">
        <f ca="1">IFERROR(__xludf.DUMMYFUNCTION("""COMPUTED_VALUE"""),"Masculino")</f>
        <v>Masculino</v>
      </c>
      <c r="M99" s="38" t="str">
        <f ca="1">IFERROR(__xludf.DUMMYFUNCTION("""COMPUTED_VALUE"""),"CVB")</f>
        <v>CVB</v>
      </c>
      <c r="N99" s="38"/>
      <c r="O99" s="38" t="str">
        <f ca="1">IFERROR(__xludf.DUMMYFUNCTION("""COMPUTED_VALUE"""),"OPTIMIST TIMONELES")</f>
        <v>OPTIMIST TIMONELES</v>
      </c>
      <c r="P99" s="38"/>
      <c r="Q99" s="6">
        <f ca="1">IFERROR(__xludf.DUMMYFUNCTION("""COMPUTED_VALUE"""),3627)</f>
        <v>3627</v>
      </c>
      <c r="R99" s="38"/>
      <c r="S99" s="38"/>
      <c r="T99" s="38"/>
      <c r="U99" s="38"/>
      <c r="V99" s="38"/>
      <c r="W99" s="38"/>
      <c r="X99" s="38"/>
      <c r="Y99" s="38">
        <f ca="1">IFERROR(__xludf.DUMMYFUNCTION("""COMPUTED_VALUE"""),60841875604)</f>
        <v>60841875604</v>
      </c>
      <c r="Z99" s="6" t="str">
        <f ca="1">IFERROR(__xludf.DUMMYFUNCTION("""COMPUTED_VALUE"""),"Si")</f>
        <v>Si</v>
      </c>
      <c r="AA99" s="6" t="str">
        <f ca="1">IFERROR(__xludf.DUMMYFUNCTION("""COMPUTED_VALUE"""),"Acepto")</f>
        <v>Acepto</v>
      </c>
      <c r="AB99" s="6" t="str">
        <f ca="1">IFERROR(__xludf.DUMMYFUNCTION("""COMPUTED_VALUE"""),"Terminado")</f>
        <v>Terminado</v>
      </c>
      <c r="AC99" s="6">
        <f ca="1">IFERROR(__xludf.DUMMYFUNCTION("""COMPUTED_VALUE"""),50000)</f>
        <v>50000</v>
      </c>
      <c r="AD99" s="6">
        <f ca="1">IFERROR(__xludf.DUMMYFUNCTION("""COMPUTED_VALUE"""),205480)</f>
        <v>205480</v>
      </c>
      <c r="AE99" s="38" t="str">
        <f ca="1">IFERROR(__xludf.DUMMYFUNCTION("""COMPUTED_VALUE"""),"TRF 05-09")</f>
        <v>TRF 05-09</v>
      </c>
      <c r="AF99" s="38"/>
      <c r="AG99" s="38"/>
      <c r="AH99" s="6"/>
      <c r="AI99" s="6"/>
    </row>
    <row r="100" spans="2:35" ht="13.2">
      <c r="B100" s="35">
        <f ca="1">IFERROR(__xludf.DUMMYFUNCTION("""COMPUTED_VALUE"""),45535.7114864467)</f>
        <v>45535.7114864467</v>
      </c>
      <c r="C100" s="36" t="str">
        <f ca="1">IFERROR(__xludf.DUMMYFUNCTION("""COMPUTED_VALUE"""),"Juan Cruz")</f>
        <v>Juan Cruz</v>
      </c>
      <c r="D100" s="36" t="str">
        <f ca="1">IFERROR(__xludf.DUMMYFUNCTION("""COMPUTED_VALUE"""),"Ricciardi")</f>
        <v>Ricciardi</v>
      </c>
      <c r="E100" s="36" t="str">
        <f ca="1">IFERROR(__xludf.DUMMYFUNCTION("""COMPUTED_VALUE"""),"Puerto Madryn")</f>
        <v>Puerto Madryn</v>
      </c>
      <c r="F100" s="38" t="str">
        <f ca="1">IFERROR(__xludf.DUMMYFUNCTION("""COMPUTED_VALUE"""),"ARG")</f>
        <v>ARG</v>
      </c>
      <c r="G100" s="6">
        <f ca="1">IFERROR(__xludf.DUMMYFUNCTION("""COMPUTED_VALUE"""),52650256)</f>
        <v>52650256</v>
      </c>
      <c r="H100" s="37">
        <f ca="1">IFERROR(__xludf.DUMMYFUNCTION("""COMPUTED_VALUE"""),41269)</f>
        <v>41269</v>
      </c>
      <c r="I100" s="38">
        <f ca="1">IFERROR(__xludf.DUMMYFUNCTION("""COMPUTED_VALUE"""),2804669491)</f>
        <v>2804669491</v>
      </c>
      <c r="J100" s="38">
        <f ca="1">IFERROR(__xludf.DUMMYFUNCTION("""COMPUTED_VALUE"""),2804602408)</f>
        <v>2804602408</v>
      </c>
      <c r="K100" s="38" t="str">
        <f ca="1">IFERROR(__xludf.DUMMYFUNCTION("""COMPUTED_VALUE"""),"marcosricciardi.patagonia@gmail.com")</f>
        <v>marcosricciardi.patagonia@gmail.com</v>
      </c>
      <c r="L100" s="38" t="str">
        <f ca="1">IFERROR(__xludf.DUMMYFUNCTION("""COMPUTED_VALUE"""),"Masculino")</f>
        <v>Masculino</v>
      </c>
      <c r="M100" s="38" t="str">
        <f ca="1">IFERROR(__xludf.DUMMYFUNCTION("""COMPUTED_VALUE"""),"CNAS")</f>
        <v>CNAS</v>
      </c>
      <c r="N100" s="38" t="str">
        <f ca="1">IFERROR(__xludf.DUMMYFUNCTION("""COMPUTED_VALUE"""),"Interior (Optimist)")</f>
        <v>Interior (Optimist)</v>
      </c>
      <c r="O100" s="38" t="str">
        <f ca="1">IFERROR(__xludf.DUMMYFUNCTION("""COMPUTED_VALUE"""),"OPTIMIST TIMONELES")</f>
        <v>OPTIMIST TIMONELES</v>
      </c>
      <c r="P100" s="38"/>
      <c r="Q100" s="6">
        <f ca="1">IFERROR(__xludf.DUMMYFUNCTION("""COMPUTED_VALUE"""),4059)</f>
        <v>4059</v>
      </c>
      <c r="R100" s="38" t="str">
        <f ca="1">IFERROR(__xludf.DUMMYFUNCTION("""COMPUTED_VALUE"""),"Poroto")</f>
        <v>Poroto</v>
      </c>
      <c r="S100" s="38"/>
      <c r="T100" s="38"/>
      <c r="U100" s="38"/>
      <c r="V100" s="38"/>
      <c r="W100" s="38"/>
      <c r="X100" s="38"/>
      <c r="Y100" s="38" t="str">
        <f ca="1">IFERROR(__xludf.DUMMYFUNCTION("""COMPUTED_VALUE"""),"OSDE 61072813902")</f>
        <v>OSDE 61072813902</v>
      </c>
      <c r="Z100" s="6" t="str">
        <f ca="1">IFERROR(__xludf.DUMMYFUNCTION("""COMPUTED_VALUE"""),"Si")</f>
        <v>Si</v>
      </c>
      <c r="AA100" s="6" t="str">
        <f ca="1">IFERROR(__xludf.DUMMYFUNCTION("""COMPUTED_VALUE"""),"Acepto")</f>
        <v>Acepto</v>
      </c>
      <c r="AB100" s="6" t="str">
        <f ca="1">IFERROR(__xludf.DUMMYFUNCTION("""COMPUTED_VALUE"""),"Terminado")</f>
        <v>Terminado</v>
      </c>
      <c r="AC100" s="6">
        <f ca="1">IFERROR(__xludf.DUMMYFUNCTION("""COMPUTED_VALUE"""),42500)</f>
        <v>42500</v>
      </c>
      <c r="AD100" s="6">
        <f ca="1">IFERROR(__xludf.DUMMYFUNCTION("""COMPUTED_VALUE"""),205369)</f>
        <v>205369</v>
      </c>
      <c r="AE100" s="38" t="str">
        <f ca="1">IFERROR(__xludf.DUMMYFUNCTION("""COMPUTED_VALUE"""),"TRF 02-09")</f>
        <v>TRF 02-09</v>
      </c>
      <c r="AF100" s="38"/>
      <c r="AG100" s="38"/>
      <c r="AH100" s="6"/>
      <c r="AI100" s="6"/>
    </row>
    <row r="101" spans="2:35" ht="13.2">
      <c r="B101" s="69">
        <f ca="1">IFERROR(__xludf.DUMMYFUNCTION("""COMPUTED_VALUE"""),45535.6139611226)</f>
        <v>45535.613961122603</v>
      </c>
      <c r="C101" s="36" t="str">
        <f ca="1">IFERROR(__xludf.DUMMYFUNCTION("""COMPUTED_VALUE"""),"Lucia")</f>
        <v>Lucia</v>
      </c>
      <c r="D101" s="36" t="str">
        <f ca="1">IFERROR(__xludf.DUMMYFUNCTION("""COMPUTED_VALUE"""),"Santoro Calvi ")</f>
        <v xml:space="preserve">Santoro Calvi </v>
      </c>
      <c r="E101" s="36" t="str">
        <f ca="1">IFERROR(__xludf.DUMMYFUNCTION("""COMPUTED_VALUE"""),"Zarate ")</f>
        <v xml:space="preserve">Zarate </v>
      </c>
      <c r="F101" s="36" t="str">
        <f ca="1">IFERROR(__xludf.DUMMYFUNCTION("""COMPUTED_VALUE"""),"ARG")</f>
        <v>ARG</v>
      </c>
      <c r="G101" s="36">
        <f ca="1">IFERROR(__xludf.DUMMYFUNCTION("""COMPUTED_VALUE"""),50487891)</f>
        <v>50487891</v>
      </c>
      <c r="H101" s="70">
        <f ca="1">IFERROR(__xludf.DUMMYFUNCTION("""COMPUTED_VALUE"""),40500)</f>
        <v>40500</v>
      </c>
      <c r="I101" s="36">
        <f ca="1">IFERROR(__xludf.DUMMYFUNCTION("""COMPUTED_VALUE"""),3487509311)</f>
        <v>3487509311</v>
      </c>
      <c r="J101" s="36">
        <f ca="1">IFERROR(__xludf.DUMMYFUNCTION("""COMPUTED_VALUE"""),3497622019)</f>
        <v>3497622019</v>
      </c>
      <c r="K101" s="36" t="str">
        <f ca="1">IFERROR(__xludf.DUMMYFUNCTION("""COMPUTED_VALUE"""),"jpablosantoro@gmail.com")</f>
        <v>jpablosantoro@gmail.com</v>
      </c>
      <c r="L101" s="36" t="str">
        <f ca="1">IFERROR(__xludf.DUMMYFUNCTION("""COMPUTED_VALUE"""),"Femenino")</f>
        <v>Femenino</v>
      </c>
      <c r="M101" s="36" t="str">
        <f ca="1">IFERROR(__xludf.DUMMYFUNCTION("""COMPUTED_VALUE"""),"CNZ")</f>
        <v>CNZ</v>
      </c>
      <c r="N101" s="36" t="str">
        <f ca="1">IFERROR(__xludf.DUMMYFUNCTION("""COMPUTED_VALUE"""),"Femenino, Interior (Optimist)")</f>
        <v>Femenino, Interior (Optimist)</v>
      </c>
      <c r="O101" s="36" t="str">
        <f ca="1">IFERROR(__xludf.DUMMYFUNCTION("""COMPUTED_VALUE"""),"OPTIMIST TIMONELES")</f>
        <v>OPTIMIST TIMONELES</v>
      </c>
      <c r="P101" s="36"/>
      <c r="Q101" s="6">
        <f ca="1">IFERROR(__xludf.DUMMYFUNCTION("""COMPUTED_VALUE"""),3826)</f>
        <v>3826</v>
      </c>
      <c r="R101" s="38"/>
      <c r="S101" s="38"/>
      <c r="T101" s="38"/>
      <c r="U101" s="38"/>
      <c r="V101" s="38"/>
      <c r="W101" s="38"/>
      <c r="X101" s="38"/>
      <c r="Y101" s="38" t="str">
        <f ca="1">IFERROR(__xludf.DUMMYFUNCTION("""COMPUTED_VALUE"""),"OSDE")</f>
        <v>OSDE</v>
      </c>
      <c r="Z101" s="6" t="str">
        <f ca="1">IFERROR(__xludf.DUMMYFUNCTION("""COMPUTED_VALUE"""),"Si")</f>
        <v>Si</v>
      </c>
      <c r="AA101" s="6" t="str">
        <f ca="1">IFERROR(__xludf.DUMMYFUNCTION("""COMPUTED_VALUE"""),"Acepto")</f>
        <v>Acepto</v>
      </c>
      <c r="AB101" s="6" t="str">
        <f ca="1">IFERROR(__xludf.DUMMYFUNCTION("""COMPUTED_VALUE"""),"Terminado")</f>
        <v>Terminado</v>
      </c>
      <c r="AC101" s="6">
        <f ca="1">IFERROR(__xludf.DUMMYFUNCTION("""COMPUTED_VALUE"""),50000)</f>
        <v>50000</v>
      </c>
      <c r="AD101" s="6">
        <f ca="1">IFERROR(__xludf.DUMMYFUNCTION("""COMPUTED_VALUE"""),205165)</f>
        <v>205165</v>
      </c>
      <c r="AE101" s="38" t="str">
        <f ca="1">IFERROR(__xludf.DUMMYFUNCTION("""COMPUTED_VALUE"""),"TRF 31-08")</f>
        <v>TRF 31-08</v>
      </c>
      <c r="AF101" s="38"/>
      <c r="AG101" s="38"/>
      <c r="AH101" s="6"/>
      <c r="AI101" s="6"/>
    </row>
    <row r="102" spans="2:35" ht="13.2">
      <c r="B102" s="69">
        <f ca="1">IFERROR(__xludf.DUMMYFUNCTION("""COMPUTED_VALUE"""),45535.5726220023)</f>
        <v>45535.572622002299</v>
      </c>
      <c r="C102" s="36" t="str">
        <f ca="1">IFERROR(__xludf.DUMMYFUNCTION("""COMPUTED_VALUE"""),"Matias")</f>
        <v>Matias</v>
      </c>
      <c r="D102" s="36" t="str">
        <f ca="1">IFERROR(__xludf.DUMMYFUNCTION("""COMPUTED_VALUE"""),"Sapia")</f>
        <v>Sapia</v>
      </c>
      <c r="E102" s="36" t="str">
        <f ca="1">IFERROR(__xludf.DUMMYFUNCTION("""COMPUTED_VALUE"""),"Buenos Aires")</f>
        <v>Buenos Aires</v>
      </c>
      <c r="F102" s="36" t="str">
        <f ca="1">IFERROR(__xludf.DUMMYFUNCTION("""COMPUTED_VALUE"""),"ARG")</f>
        <v>ARG</v>
      </c>
      <c r="G102" s="36">
        <f ca="1">IFERROR(__xludf.DUMMYFUNCTION("""COMPUTED_VALUE"""),50032653)</f>
        <v>50032653</v>
      </c>
      <c r="H102" s="70">
        <f ca="1">IFERROR(__xludf.DUMMYFUNCTION("""COMPUTED_VALUE"""),40254)</f>
        <v>40254</v>
      </c>
      <c r="I102" s="36">
        <f ca="1">IFERROR(__xludf.DUMMYFUNCTION("""COMPUTED_VALUE"""),1154662255)</f>
        <v>1154662255</v>
      </c>
      <c r="J102" s="36">
        <f ca="1">IFERROR(__xludf.DUMMYFUNCTION("""COMPUTED_VALUE"""),1160374897)</f>
        <v>1160374897</v>
      </c>
      <c r="K102" s="36" t="str">
        <f ca="1">IFERROR(__xludf.DUMMYFUNCTION("""COMPUTED_VALUE"""),"Matiasimagina@gmail.com")</f>
        <v>Matiasimagina@gmail.com</v>
      </c>
      <c r="L102" s="36" t="str">
        <f ca="1">IFERROR(__xludf.DUMMYFUNCTION("""COMPUTED_VALUE"""),"Masculino")</f>
        <v>Masculino</v>
      </c>
      <c r="M102" s="36" t="str">
        <f ca="1">IFERROR(__xludf.DUMMYFUNCTION("""COMPUTED_VALUE"""),"CNGSM")</f>
        <v>CNGSM</v>
      </c>
      <c r="N102" s="36" t="str">
        <f ca="1">IFERROR(__xludf.DUMMYFUNCTION("""COMPUTED_VALUE"""),"Interior (Optimist)")</f>
        <v>Interior (Optimist)</v>
      </c>
      <c r="O102" s="36" t="str">
        <f ca="1">IFERROR(__xludf.DUMMYFUNCTION("""COMPUTED_VALUE"""),"OPTIMIST TIMONELES")</f>
        <v>OPTIMIST TIMONELES</v>
      </c>
      <c r="P102" s="36"/>
      <c r="Q102" s="6">
        <f ca="1">IFERROR(__xludf.DUMMYFUNCTION("""COMPUTED_VALUE"""),3539)</f>
        <v>3539</v>
      </c>
      <c r="R102" s="38" t="str">
        <f ca="1">IFERROR(__xludf.DUMMYFUNCTION("""COMPUTED_VALUE"""),"Milito 22")</f>
        <v>Milito 22</v>
      </c>
      <c r="S102" s="38" t="str">
        <f ca="1">IFERROR(__xludf.DUMMYFUNCTION("""COMPUTED_VALUE"""),"Matías Sapia")</f>
        <v>Matías Sapia</v>
      </c>
      <c r="T102" s="38"/>
      <c r="U102" s="38"/>
      <c r="V102" s="38"/>
      <c r="W102" s="38"/>
      <c r="X102" s="38"/>
      <c r="Y102" s="38">
        <f ca="1">IFERROR(__xludf.DUMMYFUNCTION("""COMPUTED_VALUE"""),377448)</f>
        <v>377448</v>
      </c>
      <c r="Z102" s="6" t="str">
        <f ca="1">IFERROR(__xludf.DUMMYFUNCTION("""COMPUTED_VALUE"""),"No")</f>
        <v>No</v>
      </c>
      <c r="AA102" s="6" t="str">
        <f ca="1">IFERROR(__xludf.DUMMYFUNCTION("""COMPUTED_VALUE"""),"Acepto")</f>
        <v>Acepto</v>
      </c>
      <c r="AB102" s="6" t="str">
        <f ca="1">IFERROR(__xludf.DUMMYFUNCTION("""COMPUTED_VALUE"""),"Repetido")</f>
        <v>Repetido</v>
      </c>
      <c r="AC102" s="6"/>
      <c r="AD102" s="6"/>
      <c r="AE102" s="38"/>
      <c r="AF102" s="38"/>
      <c r="AG102" s="38"/>
      <c r="AH102" s="6"/>
      <c r="AI102" s="6"/>
    </row>
    <row r="103" spans="2:35" ht="13.2">
      <c r="B103" s="69">
        <f ca="1">IFERROR(__xludf.DUMMYFUNCTION("""COMPUTED_VALUE"""),45535.5762434606)</f>
        <v>45535.5762434606</v>
      </c>
      <c r="C103" s="36" t="str">
        <f ca="1">IFERROR(__xludf.DUMMYFUNCTION("""COMPUTED_VALUE"""),"Matias")</f>
        <v>Matias</v>
      </c>
      <c r="D103" s="36" t="str">
        <f ca="1">IFERROR(__xludf.DUMMYFUNCTION("""COMPUTED_VALUE"""),"Sapia")</f>
        <v>Sapia</v>
      </c>
      <c r="E103" s="36" t="str">
        <f ca="1">IFERROR(__xludf.DUMMYFUNCTION("""COMPUTED_VALUE"""),"Buenos Aires ")</f>
        <v xml:space="preserve">Buenos Aires </v>
      </c>
      <c r="F103" s="36" t="str">
        <f ca="1">IFERROR(__xludf.DUMMYFUNCTION("""COMPUTED_VALUE"""),"ARG")</f>
        <v>ARG</v>
      </c>
      <c r="G103" s="36">
        <f ca="1">IFERROR(__xludf.DUMMYFUNCTION("""COMPUTED_VALUE"""),50032653)</f>
        <v>50032653</v>
      </c>
      <c r="H103" s="70">
        <f ca="1">IFERROR(__xludf.DUMMYFUNCTION("""COMPUTED_VALUE"""),40254)</f>
        <v>40254</v>
      </c>
      <c r="I103" s="36">
        <f ca="1">IFERROR(__xludf.DUMMYFUNCTION("""COMPUTED_VALUE"""),1154662255)</f>
        <v>1154662255</v>
      </c>
      <c r="J103" s="36">
        <f ca="1">IFERROR(__xludf.DUMMYFUNCTION("""COMPUTED_VALUE"""),1160374897)</f>
        <v>1160374897</v>
      </c>
      <c r="K103" s="36" t="str">
        <f ca="1">IFERROR(__xludf.DUMMYFUNCTION("""COMPUTED_VALUE"""),"Matiasimagina@gmail.com")</f>
        <v>Matiasimagina@gmail.com</v>
      </c>
      <c r="L103" s="36" t="str">
        <f ca="1">IFERROR(__xludf.DUMMYFUNCTION("""COMPUTED_VALUE"""),"Masculino")</f>
        <v>Masculino</v>
      </c>
      <c r="M103" s="36" t="str">
        <f ca="1">IFERROR(__xludf.DUMMYFUNCTION("""COMPUTED_VALUE"""),"CNGSM")</f>
        <v>CNGSM</v>
      </c>
      <c r="N103" s="36" t="str">
        <f ca="1">IFERROR(__xludf.DUMMYFUNCTION("""COMPUTED_VALUE"""),"Interior (Optimist)")</f>
        <v>Interior (Optimist)</v>
      </c>
      <c r="O103" s="36" t="str">
        <f ca="1">IFERROR(__xludf.DUMMYFUNCTION("""COMPUTED_VALUE"""),"OPTIMIST TIMONELES")</f>
        <v>OPTIMIST TIMONELES</v>
      </c>
      <c r="P103" s="36"/>
      <c r="Q103" s="6">
        <f ca="1">IFERROR(__xludf.DUMMYFUNCTION("""COMPUTED_VALUE"""),3539)</f>
        <v>3539</v>
      </c>
      <c r="R103" s="38" t="str">
        <f ca="1">IFERROR(__xludf.DUMMYFUNCTION("""COMPUTED_VALUE"""),"Milito 22")</f>
        <v>Milito 22</v>
      </c>
      <c r="S103" s="38" t="str">
        <f ca="1">IFERROR(__xludf.DUMMYFUNCTION("""COMPUTED_VALUE"""),"Matías Sapia")</f>
        <v>Matías Sapia</v>
      </c>
      <c r="T103" s="38"/>
      <c r="U103" s="38"/>
      <c r="V103" s="38"/>
      <c r="W103" s="38"/>
      <c r="X103" s="38"/>
      <c r="Y103" s="38"/>
      <c r="Z103" s="6" t="str">
        <f ca="1">IFERROR(__xludf.DUMMYFUNCTION("""COMPUTED_VALUE"""),"No")</f>
        <v>No</v>
      </c>
      <c r="AA103" s="6" t="str">
        <f ca="1">IFERROR(__xludf.DUMMYFUNCTION("""COMPUTED_VALUE"""),"Acepto")</f>
        <v>Acepto</v>
      </c>
      <c r="AB103" s="6" t="str">
        <f ca="1">IFERROR(__xludf.DUMMYFUNCTION("""COMPUTED_VALUE"""),"Pendiente")</f>
        <v>Pendiente</v>
      </c>
      <c r="AC103" s="6"/>
      <c r="AD103" s="6"/>
      <c r="AE103" s="38"/>
      <c r="AF103" s="38"/>
      <c r="AG103" s="38"/>
      <c r="AH103" s="6"/>
      <c r="AI103" s="6"/>
    </row>
    <row r="104" spans="2:35" ht="13.2">
      <c r="B104" s="69">
        <f ca="1">IFERROR(__xludf.DUMMYFUNCTION("""COMPUTED_VALUE"""),45534.8265059143)</f>
        <v>45534.826505914301</v>
      </c>
      <c r="C104" s="36" t="str">
        <f ca="1">IFERROR(__xludf.DUMMYFUNCTION("""COMPUTED_VALUE"""),"Santiago ")</f>
        <v xml:space="preserve">Santiago </v>
      </c>
      <c r="D104" s="36" t="str">
        <f ca="1">IFERROR(__xludf.DUMMYFUNCTION("""COMPUTED_VALUE"""),"Saraví ")</f>
        <v xml:space="preserve">Saraví </v>
      </c>
      <c r="E104" s="36" t="str">
        <f ca="1">IFERROR(__xludf.DUMMYFUNCTION("""COMPUTED_VALUE"""),"La Plata ")</f>
        <v xml:space="preserve">La Plata </v>
      </c>
      <c r="F104" s="36" t="str">
        <f ca="1">IFERROR(__xludf.DUMMYFUNCTION("""COMPUTED_VALUE"""),"ARG")</f>
        <v>ARG</v>
      </c>
      <c r="G104" s="36">
        <f ca="1">IFERROR(__xludf.DUMMYFUNCTION("""COMPUTED_VALUE"""),50098931)</f>
        <v>50098931</v>
      </c>
      <c r="H104" s="70">
        <f ca="1">IFERROR(__xludf.DUMMYFUNCTION("""COMPUTED_VALUE"""),40221)</f>
        <v>40221</v>
      </c>
      <c r="I104" s="36">
        <f ca="1">IFERROR(__xludf.DUMMYFUNCTION("""COMPUTED_VALUE"""),2215584734)</f>
        <v>2215584734</v>
      </c>
      <c r="J104" s="36">
        <f ca="1">IFERROR(__xludf.DUMMYFUNCTION("""COMPUTED_VALUE"""),2215584734)</f>
        <v>2215584734</v>
      </c>
      <c r="K104" s="36" t="str">
        <f ca="1">IFERROR(__xludf.DUMMYFUNCTION("""COMPUTED_VALUE"""),"pauladargenio@hotmail.com")</f>
        <v>pauladargenio@hotmail.com</v>
      </c>
      <c r="L104" s="36" t="str">
        <f ca="1">IFERROR(__xludf.DUMMYFUNCTION("""COMPUTED_VALUE"""),"Masculino")</f>
        <v>Masculino</v>
      </c>
      <c r="M104" s="36" t="str">
        <f ca="1">IFERROR(__xludf.DUMMYFUNCTION("""COMPUTED_VALUE"""),"CRLP")</f>
        <v>CRLP</v>
      </c>
      <c r="N104" s="36" t="str">
        <f ca="1">IFERROR(__xludf.DUMMYFUNCTION("""COMPUTED_VALUE"""),"Interior (Optimist)")</f>
        <v>Interior (Optimist)</v>
      </c>
      <c r="O104" s="36" t="str">
        <f ca="1">IFERROR(__xludf.DUMMYFUNCTION("""COMPUTED_VALUE"""),"OPTIMIST TIMONELES")</f>
        <v>OPTIMIST TIMONELES</v>
      </c>
      <c r="P104" s="36"/>
      <c r="Q104" s="6">
        <f ca="1">IFERROR(__xludf.DUMMYFUNCTION("""COMPUTED_VALUE"""),3591)</f>
        <v>3591</v>
      </c>
      <c r="R104" s="38"/>
      <c r="S104" s="38"/>
      <c r="T104" s="38"/>
      <c r="U104" s="38"/>
      <c r="V104" s="38"/>
      <c r="W104" s="38"/>
      <c r="X104" s="38"/>
      <c r="Y104" s="38" t="str">
        <f ca="1">IFERROR(__xludf.DUMMYFUNCTION("""COMPUTED_VALUE"""),"IOMA / K251906063/02")</f>
        <v>IOMA / K251906063/02</v>
      </c>
      <c r="Z104" s="6" t="str">
        <f ca="1">IFERROR(__xludf.DUMMYFUNCTION("""COMPUTED_VALUE"""),"Si")</f>
        <v>Si</v>
      </c>
      <c r="AA104" s="6" t="str">
        <f ca="1">IFERROR(__xludf.DUMMYFUNCTION("""COMPUTED_VALUE"""),"Acepto")</f>
        <v>Acepto</v>
      </c>
      <c r="AB104" s="6" t="str">
        <f ca="1">IFERROR(__xludf.DUMMYFUNCTION("""COMPUTED_VALUE"""),"Terminado")</f>
        <v>Terminado</v>
      </c>
      <c r="AC104" s="6">
        <f ca="1">IFERROR(__xludf.DUMMYFUNCTION("""COMPUTED_VALUE"""),50000)</f>
        <v>50000</v>
      </c>
      <c r="AD104" s="6">
        <f ca="1">IFERROR(__xludf.DUMMYFUNCTION("""COMPUTED_VALUE"""),205162)</f>
        <v>205162</v>
      </c>
      <c r="AE104" s="38" t="str">
        <f ca="1">IFERROR(__xludf.DUMMYFUNCTION("""COMPUTED_VALUE"""),"TRF 31/08")</f>
        <v>TRF 31/08</v>
      </c>
      <c r="AF104" s="38"/>
      <c r="AG104" s="38"/>
      <c r="AH104" s="6"/>
      <c r="AI104" s="6"/>
    </row>
    <row r="105" spans="2:35" ht="13.2">
      <c r="B105" s="69">
        <f ca="1">IFERROR(__xludf.DUMMYFUNCTION("""COMPUTED_VALUE"""),45535.3905644791)</f>
        <v>45535.390564479101</v>
      </c>
      <c r="C105" s="36" t="str">
        <f ca="1">IFERROR(__xludf.DUMMYFUNCTION("""COMPUTED_VALUE"""),"Felipe ")</f>
        <v xml:space="preserve">Felipe </v>
      </c>
      <c r="D105" s="36" t="str">
        <f ca="1">IFERROR(__xludf.DUMMYFUNCTION("""COMPUTED_VALUE"""),"Serrano")</f>
        <v>Serrano</v>
      </c>
      <c r="E105" s="36" t="str">
        <f ca="1">IFERROR(__xludf.DUMMYFUNCTION("""COMPUTED_VALUE"""),"Rosario")</f>
        <v>Rosario</v>
      </c>
      <c r="F105" s="36" t="str">
        <f ca="1">IFERROR(__xludf.DUMMYFUNCTION("""COMPUTED_VALUE"""),"ARG")</f>
        <v>ARG</v>
      </c>
      <c r="G105" s="36">
        <f ca="1">IFERROR(__xludf.DUMMYFUNCTION("""COMPUTED_VALUE"""),49635810)</f>
        <v>49635810</v>
      </c>
      <c r="H105" s="70">
        <f ca="1">IFERROR(__xludf.DUMMYFUNCTION("""COMPUTED_VALUE"""),39983)</f>
        <v>39983</v>
      </c>
      <c r="I105" s="36">
        <f ca="1">IFERROR(__xludf.DUMMYFUNCTION("""COMPUTED_VALUE"""),3415894151)</f>
        <v>3415894151</v>
      </c>
      <c r="J105" s="36">
        <f ca="1">IFERROR(__xludf.DUMMYFUNCTION("""COMPUTED_VALUE"""),3415851480)</f>
        <v>3415851480</v>
      </c>
      <c r="K105" s="36" t="str">
        <f ca="1">IFERROR(__xludf.DUMMYFUNCTION("""COMPUTED_VALUE"""),"danielapeccia@hotmail.com")</f>
        <v>danielapeccia@hotmail.com</v>
      </c>
      <c r="L105" s="36" t="str">
        <f ca="1">IFERROR(__xludf.DUMMYFUNCTION("""COMPUTED_VALUE"""),"Masculino")</f>
        <v>Masculino</v>
      </c>
      <c r="M105" s="36" t="str">
        <f ca="1">IFERROR(__xludf.DUMMYFUNCTION("""COMPUTED_VALUE"""),"YCO")</f>
        <v>YCO</v>
      </c>
      <c r="N105" s="36" t="str">
        <f ca="1">IFERROR(__xludf.DUMMYFUNCTION("""COMPUTED_VALUE"""),"Interior (Optimist)")</f>
        <v>Interior (Optimist)</v>
      </c>
      <c r="O105" s="36" t="str">
        <f ca="1">IFERROR(__xludf.DUMMYFUNCTION("""COMPUTED_VALUE"""),"OPTIMIST TIMONELES")</f>
        <v>OPTIMIST TIMONELES</v>
      </c>
      <c r="P105" s="36"/>
      <c r="Q105" s="6">
        <f ca="1">IFERROR(__xludf.DUMMYFUNCTION("""COMPUTED_VALUE"""),3987)</f>
        <v>3987</v>
      </c>
      <c r="R105" s="38"/>
      <c r="S105" s="38"/>
      <c r="T105" s="38"/>
      <c r="U105" s="38"/>
      <c r="V105" s="38"/>
      <c r="W105" s="38"/>
      <c r="X105" s="38"/>
      <c r="Y105" s="38" t="str">
        <f ca="1">IFERROR(__xludf.DUMMYFUNCTION("""COMPUTED_VALUE"""),"AVALIAN Nº 27022625")</f>
        <v>AVALIAN Nº 27022625</v>
      </c>
      <c r="Z105" s="6" t="str">
        <f ca="1">IFERROR(__xludf.DUMMYFUNCTION("""COMPUTED_VALUE"""),"Si")</f>
        <v>Si</v>
      </c>
      <c r="AA105" s="6" t="str">
        <f ca="1">IFERROR(__xludf.DUMMYFUNCTION("""COMPUTED_VALUE"""),"Acepto")</f>
        <v>Acepto</v>
      </c>
      <c r="AB105" s="6" t="str">
        <f ca="1">IFERROR(__xludf.DUMMYFUNCTION("""COMPUTED_VALUE"""),"Terminado")</f>
        <v>Terminado</v>
      </c>
      <c r="AC105" s="6">
        <f ca="1">IFERROR(__xludf.DUMMYFUNCTION("""COMPUTED_VALUE"""),50000)</f>
        <v>50000</v>
      </c>
      <c r="AD105" s="6">
        <f ca="1">IFERROR(__xludf.DUMMYFUNCTION("""COMPUTED_VALUE"""),205108)</f>
        <v>205108</v>
      </c>
      <c r="AE105" s="38" t="str">
        <f ca="1">IFERROR(__xludf.DUMMYFUNCTION("""COMPUTED_VALUE"""),"Tarj 31-08")</f>
        <v>Tarj 31-08</v>
      </c>
      <c r="AF105" s="38"/>
      <c r="AG105" s="38"/>
      <c r="AH105" s="6"/>
      <c r="AI105" s="6"/>
    </row>
    <row r="106" spans="2:35" ht="13.2">
      <c r="B106" s="69">
        <f ca="1">IFERROR(__xludf.DUMMYFUNCTION("""COMPUTED_VALUE"""),45531.4516445254)</f>
        <v>45531.451644525398</v>
      </c>
      <c r="C106" s="36" t="str">
        <f ca="1">IFERROR(__xludf.DUMMYFUNCTION("""COMPUTED_VALUE"""),"MÁXIMO SEBASTIÁN ")</f>
        <v xml:space="preserve">MÁXIMO SEBASTIÁN </v>
      </c>
      <c r="D106" s="36" t="str">
        <f ca="1">IFERROR(__xludf.DUMMYFUNCTION("""COMPUTED_VALUE"""),"TEJADA IBAÑEZ ")</f>
        <v xml:space="preserve">TEJADA IBAÑEZ </v>
      </c>
      <c r="E106" s="36" t="str">
        <f ca="1">IFERROR(__xludf.DUMMYFUNCTION("""COMPUTED_VALUE"""),"Berazategui ")</f>
        <v xml:space="preserve">Berazategui </v>
      </c>
      <c r="F106" s="36" t="str">
        <f ca="1">IFERROR(__xludf.DUMMYFUNCTION("""COMPUTED_VALUE"""),"ARG")</f>
        <v>ARG</v>
      </c>
      <c r="G106" s="36">
        <f ca="1">IFERROR(__xludf.DUMMYFUNCTION("""COMPUTED_VALUE"""),50740287)</f>
        <v>50740287</v>
      </c>
      <c r="H106" s="70">
        <f ca="1">IFERROR(__xludf.DUMMYFUNCTION("""COMPUTED_VALUE"""),40487)</f>
        <v>40487</v>
      </c>
      <c r="I106" s="36">
        <f ca="1">IFERROR(__xludf.DUMMYFUNCTION("""COMPUTED_VALUE"""),2215036037)</f>
        <v>2215036037</v>
      </c>
      <c r="J106" s="36" t="str">
        <f ca="1">IFERROR(__xludf.DUMMYFUNCTION("""COMPUTED_VALUE"""),"2215036037/ 2215700125")</f>
        <v>2215036037/ 2215700125</v>
      </c>
      <c r="K106" s="36" t="str">
        <f ca="1">IFERROR(__xludf.DUMMYFUNCTION("""COMPUTED_VALUE"""),"tifamilia@gmail.com")</f>
        <v>tifamilia@gmail.com</v>
      </c>
      <c r="L106" s="36" t="str">
        <f ca="1">IFERROR(__xludf.DUMMYFUNCTION("""COMPUTED_VALUE"""),"Masculino")</f>
        <v>Masculino</v>
      </c>
      <c r="M106" s="36" t="str">
        <f ca="1">IFERROR(__xludf.DUMMYFUNCTION("""COMPUTED_VALUE"""),"CNAs")</f>
        <v>CNAs</v>
      </c>
      <c r="N106" s="36" t="str">
        <f ca="1">IFERROR(__xludf.DUMMYFUNCTION("""COMPUTED_VALUE"""),"Interior (Optimist)")</f>
        <v>Interior (Optimist)</v>
      </c>
      <c r="O106" s="36" t="str">
        <f ca="1">IFERROR(__xludf.DUMMYFUNCTION("""COMPUTED_VALUE"""),"OPTIMIST TIMONELES")</f>
        <v>OPTIMIST TIMONELES</v>
      </c>
      <c r="P106" s="36"/>
      <c r="Q106" s="6">
        <f ca="1">IFERROR(__xludf.DUMMYFUNCTION("""COMPUTED_VALUE"""),4109)</f>
        <v>4109</v>
      </c>
      <c r="R106" s="38" t="str">
        <f ca="1">IFERROR(__xludf.DUMMYFUNCTION("""COMPUTED_VALUE"""),"OMIX")</f>
        <v>OMIX</v>
      </c>
      <c r="S106" s="38"/>
      <c r="T106" s="38"/>
      <c r="U106" s="38"/>
      <c r="V106" s="38"/>
      <c r="W106" s="38"/>
      <c r="X106" s="38"/>
      <c r="Y106" s="38" t="str">
        <f ca="1">IFERROR(__xludf.DUMMYFUNCTION("""COMPUTED_VALUE"""),"OSDE Plan 310 N° 25210998106")</f>
        <v>OSDE Plan 310 N° 25210998106</v>
      </c>
      <c r="Z106" s="6" t="str">
        <f ca="1">IFERROR(__xludf.DUMMYFUNCTION("""COMPUTED_VALUE"""),"Si")</f>
        <v>Si</v>
      </c>
      <c r="AA106" s="6" t="str">
        <f ca="1">IFERROR(__xludf.DUMMYFUNCTION("""COMPUTED_VALUE"""),"Acepto")</f>
        <v>Acepto</v>
      </c>
      <c r="AB106" s="6" t="str">
        <f ca="1">IFERROR(__xludf.DUMMYFUNCTION("""COMPUTED_VALUE"""),"Pendiente")</f>
        <v>Pendiente</v>
      </c>
      <c r="AC106" s="6"/>
      <c r="AD106" s="6"/>
      <c r="AE106" s="38"/>
      <c r="AF106" s="38"/>
      <c r="AG106" s="38"/>
      <c r="AH106" s="6"/>
      <c r="AI106" s="6"/>
    </row>
    <row r="107" spans="2:35" ht="13.2">
      <c r="B107" s="69">
        <f ca="1">IFERROR(__xludf.DUMMYFUNCTION("""COMPUTED_VALUE"""),45537.4998603356)</f>
        <v>45537.4998603356</v>
      </c>
      <c r="C107" s="36" t="str">
        <f ca="1">IFERROR(__xludf.DUMMYFUNCTION("""COMPUTED_VALUE"""),"Delfina")</f>
        <v>Delfina</v>
      </c>
      <c r="D107" s="36" t="str">
        <f ca="1">IFERROR(__xludf.DUMMYFUNCTION("""COMPUTED_VALUE"""),"Tesone")</f>
        <v>Tesone</v>
      </c>
      <c r="E107" s="36" t="str">
        <f ca="1">IFERROR(__xludf.DUMMYFUNCTION("""COMPUTED_VALUE"""),"Buenos Aires")</f>
        <v>Buenos Aires</v>
      </c>
      <c r="F107" s="36" t="str">
        <f ca="1">IFERROR(__xludf.DUMMYFUNCTION("""COMPUTED_VALUE"""),"ARG")</f>
        <v>ARG</v>
      </c>
      <c r="G107" s="36">
        <f ca="1">IFERROR(__xludf.DUMMYFUNCTION("""COMPUTED_VALUE"""),51125913)</f>
        <v>51125913</v>
      </c>
      <c r="H107" s="70">
        <f ca="1">IFERROR(__xludf.DUMMYFUNCTION("""COMPUTED_VALUE"""),40680)</f>
        <v>40680</v>
      </c>
      <c r="I107" s="36">
        <f ca="1">IFERROR(__xludf.DUMMYFUNCTION("""COMPUTED_VALUE"""),1164486728)</f>
        <v>1164486728</v>
      </c>
      <c r="J107" s="36">
        <f ca="1">IFERROR(__xludf.DUMMYFUNCTION("""COMPUTED_VALUE"""),1164486728)</f>
        <v>1164486728</v>
      </c>
      <c r="K107" s="36" t="str">
        <f ca="1">IFERROR(__xludf.DUMMYFUNCTION("""COMPUTED_VALUE"""),"altesone@hotmail.com")</f>
        <v>altesone@hotmail.com</v>
      </c>
      <c r="L107" s="36" t="str">
        <f ca="1">IFERROR(__xludf.DUMMYFUNCTION("""COMPUTED_VALUE"""),"Femenino")</f>
        <v>Femenino</v>
      </c>
      <c r="M107" s="36" t="str">
        <f ca="1">IFERROR(__xludf.DUMMYFUNCTION("""COMPUTED_VALUE"""),"CUBA")</f>
        <v>CUBA</v>
      </c>
      <c r="N107" s="36" t="str">
        <f ca="1">IFERROR(__xludf.DUMMYFUNCTION("""COMPUTED_VALUE"""),"Femenino, Interior (Optimist)")</f>
        <v>Femenino, Interior (Optimist)</v>
      </c>
      <c r="O107" s="36" t="str">
        <f ca="1">IFERROR(__xludf.DUMMYFUNCTION("""COMPUTED_VALUE"""),"OPTIMIST TIMONELES")</f>
        <v>OPTIMIST TIMONELES</v>
      </c>
      <c r="P107" s="36"/>
      <c r="Q107" s="6">
        <f ca="1">IFERROR(__xludf.DUMMYFUNCTION("""COMPUTED_VALUE"""),3796)</f>
        <v>3796</v>
      </c>
      <c r="R107" s="38"/>
      <c r="S107" s="38" t="str">
        <f ca="1">IFERROR(__xludf.DUMMYFUNCTION("""COMPUTED_VALUE"""),"Delfina Tesone")</f>
        <v>Delfina Tesone</v>
      </c>
      <c r="T107" s="38"/>
      <c r="U107" s="38"/>
      <c r="V107" s="38"/>
      <c r="W107" s="38"/>
      <c r="X107" s="38"/>
      <c r="Y107" s="38" t="str">
        <f ca="1">IFERROR(__xludf.DUMMYFUNCTION("""COMPUTED_VALUE"""),"osde 61164745002")</f>
        <v>osde 61164745002</v>
      </c>
      <c r="Z107" s="6" t="str">
        <f ca="1">IFERROR(__xludf.DUMMYFUNCTION("""COMPUTED_VALUE"""),"No")</f>
        <v>No</v>
      </c>
      <c r="AA107" s="6" t="str">
        <f ca="1">IFERROR(__xludf.DUMMYFUNCTION("""COMPUTED_VALUE"""),"Acepto")</f>
        <v>Acepto</v>
      </c>
      <c r="AB107" s="6" t="str">
        <f ca="1">IFERROR(__xludf.DUMMYFUNCTION("""COMPUTED_VALUE"""),"Terminado")</f>
        <v>Terminado</v>
      </c>
      <c r="AC107" s="6">
        <f ca="1">IFERROR(__xludf.DUMMYFUNCTION("""COMPUTED_VALUE"""),50000)</f>
        <v>50000</v>
      </c>
      <c r="AD107" s="6">
        <f ca="1">IFERROR(__xludf.DUMMYFUNCTION("""COMPUTED_VALUE"""),205404)</f>
        <v>205404</v>
      </c>
      <c r="AE107" s="38" t="str">
        <f ca="1">IFERROR(__xludf.DUMMYFUNCTION("""COMPUTED_VALUE"""),"TRF 02-09")</f>
        <v>TRF 02-09</v>
      </c>
      <c r="AF107" s="38"/>
      <c r="AG107" s="38"/>
      <c r="AH107" s="6"/>
      <c r="AI107" s="6"/>
    </row>
    <row r="108" spans="2:35" ht="13.2">
      <c r="B108" s="69">
        <f ca="1">IFERROR(__xludf.DUMMYFUNCTION("""COMPUTED_VALUE"""),45535.6450401736)</f>
        <v>45535.6450401736</v>
      </c>
      <c r="C108" s="36" t="str">
        <f ca="1">IFERROR(__xludf.DUMMYFUNCTION("""COMPUTED_VALUE"""),"Isabel")</f>
        <v>Isabel</v>
      </c>
      <c r="D108" s="36" t="str">
        <f ca="1">IFERROR(__xludf.DUMMYFUNCTION("""COMPUTED_VALUE"""),"Travería ")</f>
        <v xml:space="preserve">Travería </v>
      </c>
      <c r="E108" s="36" t="str">
        <f ca="1">IFERROR(__xludf.DUMMYFUNCTION("""COMPUTED_VALUE"""),"La Plata")</f>
        <v>La Plata</v>
      </c>
      <c r="F108" s="36" t="str">
        <f ca="1">IFERROR(__xludf.DUMMYFUNCTION("""COMPUTED_VALUE"""),"ARG")</f>
        <v>ARG</v>
      </c>
      <c r="G108" s="36">
        <f ca="1">IFERROR(__xludf.DUMMYFUNCTION("""COMPUTED_VALUE"""),50901006)</f>
        <v>50901006</v>
      </c>
      <c r="H108" s="70">
        <f ca="1">IFERROR(__xludf.DUMMYFUNCTION("""COMPUTED_VALUE"""),40588)</f>
        <v>40588</v>
      </c>
      <c r="I108" s="36">
        <f ca="1">IFERROR(__xludf.DUMMYFUNCTION("""COMPUTED_VALUE"""),2215638412)</f>
        <v>2215638412</v>
      </c>
      <c r="J108" s="36">
        <f ca="1">IFERROR(__xludf.DUMMYFUNCTION("""COMPUTED_VALUE"""),2215906619)</f>
        <v>2215906619</v>
      </c>
      <c r="K108" s="36" t="str">
        <f ca="1">IFERROR(__xludf.DUMMYFUNCTION("""COMPUTED_VALUE"""),"lauramadueno@gmail.com")</f>
        <v>lauramadueno@gmail.com</v>
      </c>
      <c r="L108" s="36" t="str">
        <f ca="1">IFERROR(__xludf.DUMMYFUNCTION("""COMPUTED_VALUE"""),"Femenino")</f>
        <v>Femenino</v>
      </c>
      <c r="M108" s="36" t="str">
        <f ca="1">IFERROR(__xludf.DUMMYFUNCTION("""COMPUTED_VALUE"""),"CRLP")</f>
        <v>CRLP</v>
      </c>
      <c r="N108" s="36" t="str">
        <f ca="1">IFERROR(__xludf.DUMMYFUNCTION("""COMPUTED_VALUE"""),"Femenino")</f>
        <v>Femenino</v>
      </c>
      <c r="O108" s="36" t="str">
        <f ca="1">IFERROR(__xludf.DUMMYFUNCTION("""COMPUTED_VALUE"""),"OPTIMIST TIMONELES")</f>
        <v>OPTIMIST TIMONELES</v>
      </c>
      <c r="P108" s="36"/>
      <c r="Q108" s="6">
        <f ca="1">IFERROR(__xludf.DUMMYFUNCTION("""COMPUTED_VALUE"""),2991)</f>
        <v>2991</v>
      </c>
      <c r="R108" s="38"/>
      <c r="S108" s="38" t="str">
        <f ca="1">IFERROR(__xludf.DUMMYFUNCTION("""COMPUTED_VALUE"""),"Isabel Travería ")</f>
        <v xml:space="preserve">Isabel Travería </v>
      </c>
      <c r="T108" s="38"/>
      <c r="U108" s="38"/>
      <c r="V108" s="38"/>
      <c r="W108" s="38"/>
      <c r="X108" s="38"/>
      <c r="Y108" s="38"/>
      <c r="Z108" s="6" t="str">
        <f ca="1">IFERROR(__xludf.DUMMYFUNCTION("""COMPUTED_VALUE"""),"Si")</f>
        <v>Si</v>
      </c>
      <c r="AA108" s="6" t="str">
        <f ca="1">IFERROR(__xludf.DUMMYFUNCTION("""COMPUTED_VALUE"""),"Acepto")</f>
        <v>Acepto</v>
      </c>
      <c r="AB108" s="6" t="str">
        <f ca="1">IFERROR(__xludf.DUMMYFUNCTION("""COMPUTED_VALUE"""),"Terminado")</f>
        <v>Terminado</v>
      </c>
      <c r="AC108" s="6">
        <f ca="1">IFERROR(__xludf.DUMMYFUNCTION("""COMPUTED_VALUE"""),50000)</f>
        <v>50000</v>
      </c>
      <c r="AD108" s="6">
        <f ca="1">IFERROR(__xludf.DUMMYFUNCTION("""COMPUTED_VALUE"""),205359)</f>
        <v>205359</v>
      </c>
      <c r="AE108" s="38" t="str">
        <f ca="1">IFERROR(__xludf.DUMMYFUNCTION("""COMPUTED_VALUE"""),"TRF 31-08")</f>
        <v>TRF 31-08</v>
      </c>
      <c r="AF108" s="38"/>
      <c r="AG108" s="38"/>
      <c r="AH108" s="6"/>
      <c r="AI108" s="6"/>
    </row>
    <row r="109" spans="2:35" ht="13.2">
      <c r="B109" s="69">
        <f ca="1">IFERROR(__xludf.DUMMYFUNCTION("""COMPUTED_VALUE"""),45535.6489390625)</f>
        <v>45535.648939062499</v>
      </c>
      <c r="C109" s="36" t="str">
        <f ca="1">IFERROR(__xludf.DUMMYFUNCTION("""COMPUTED_VALUE"""),"JUANITA")</f>
        <v>JUANITA</v>
      </c>
      <c r="D109" s="36" t="str">
        <f ca="1">IFERROR(__xludf.DUMMYFUNCTION("""COMPUTED_VALUE"""),"ULLUA CAPRE")</f>
        <v>ULLUA CAPRE</v>
      </c>
      <c r="E109" s="36" t="str">
        <f ca="1">IFERROR(__xludf.DUMMYFUNCTION("""COMPUTED_VALUE"""),"SAN PEDRO")</f>
        <v>SAN PEDRO</v>
      </c>
      <c r="F109" s="36" t="str">
        <f ca="1">IFERROR(__xludf.DUMMYFUNCTION("""COMPUTED_VALUE"""),"ARG")</f>
        <v>ARG</v>
      </c>
      <c r="G109" s="36">
        <f ca="1">IFERROR(__xludf.DUMMYFUNCTION("""COMPUTED_VALUE"""),50390387)</f>
        <v>50390387</v>
      </c>
      <c r="H109" s="70">
        <f ca="1">IFERROR(__xludf.DUMMYFUNCTION("""COMPUTED_VALUE"""),40386)</f>
        <v>40386</v>
      </c>
      <c r="I109" s="36">
        <f ca="1">IFERROR(__xludf.DUMMYFUNCTION("""COMPUTED_VALUE"""),3329505972)</f>
        <v>3329505972</v>
      </c>
      <c r="J109" s="36">
        <f ca="1">IFERROR(__xludf.DUMMYFUNCTION("""COMPUTED_VALUE"""),3329505972)</f>
        <v>3329505972</v>
      </c>
      <c r="K109" s="36" t="str">
        <f ca="1">IFERROR(__xludf.DUMMYFUNCTION("""COMPUTED_VALUE"""),"MYRIANKA@HOTMAIL.COM")</f>
        <v>MYRIANKA@HOTMAIL.COM</v>
      </c>
      <c r="L109" s="36" t="str">
        <f ca="1">IFERROR(__xludf.DUMMYFUNCTION("""COMPUTED_VALUE"""),"Femenino")</f>
        <v>Femenino</v>
      </c>
      <c r="M109" s="36" t="str">
        <f ca="1">IFERROR(__xludf.DUMMYFUNCTION("""COMPUTED_VALUE"""),"CNSP")</f>
        <v>CNSP</v>
      </c>
      <c r="N109" s="36" t="str">
        <f ca="1">IFERROR(__xludf.DUMMYFUNCTION("""COMPUTED_VALUE"""),"Interior (Optimist)")</f>
        <v>Interior (Optimist)</v>
      </c>
      <c r="O109" s="36" t="str">
        <f ca="1">IFERROR(__xludf.DUMMYFUNCTION("""COMPUTED_VALUE"""),"OPTIMIST TIMONELES")</f>
        <v>OPTIMIST TIMONELES</v>
      </c>
      <c r="P109" s="36"/>
      <c r="Q109" s="6">
        <f ca="1">IFERROR(__xludf.DUMMYFUNCTION("""COMPUTED_VALUE"""),3248)</f>
        <v>3248</v>
      </c>
      <c r="R109" s="38"/>
      <c r="S109" s="38"/>
      <c r="T109" s="38"/>
      <c r="U109" s="38"/>
      <c r="V109" s="38"/>
      <c r="W109" s="38"/>
      <c r="X109" s="38"/>
      <c r="Y109" s="38" t="str">
        <f ca="1">IFERROR(__xludf.DUMMYFUNCTION("""COMPUTED_VALUE"""),"UNION PERSONAL PMO")</f>
        <v>UNION PERSONAL PMO</v>
      </c>
      <c r="Z109" s="6" t="str">
        <f ca="1">IFERROR(__xludf.DUMMYFUNCTION("""COMPUTED_VALUE"""),"Si")</f>
        <v>Si</v>
      </c>
      <c r="AA109" s="6" t="str">
        <f ca="1">IFERROR(__xludf.DUMMYFUNCTION("""COMPUTED_VALUE"""),"Acepto")</f>
        <v>Acepto</v>
      </c>
      <c r="AB109" s="6" t="str">
        <f ca="1">IFERROR(__xludf.DUMMYFUNCTION("""COMPUTED_VALUE"""),"Terminado")</f>
        <v>Terminado</v>
      </c>
      <c r="AC109" s="6">
        <f ca="1">IFERROR(__xludf.DUMMYFUNCTION("""COMPUTED_VALUE"""),42500)</f>
        <v>42500</v>
      </c>
      <c r="AD109" s="6">
        <f ca="1">IFERROR(__xludf.DUMMYFUNCTION("""COMPUTED_VALUE"""),205347)</f>
        <v>205347</v>
      </c>
      <c r="AE109" s="38" t="str">
        <f ca="1">IFERROR(__xludf.DUMMYFUNCTION("""COMPUTED_VALUE"""),"TRF 31-08")</f>
        <v>TRF 31-08</v>
      </c>
      <c r="AF109" s="38"/>
      <c r="AG109" s="38"/>
      <c r="AH109" s="6"/>
      <c r="AI109" s="6"/>
    </row>
    <row r="110" spans="2:35" ht="13.2">
      <c r="B110" s="69">
        <f ca="1">IFERROR(__xludf.DUMMYFUNCTION("""COMPUTED_VALUE"""),45535.7347864236)</f>
        <v>45535.7347864236</v>
      </c>
      <c r="C110" s="36" t="str">
        <f ca="1">IFERROR(__xludf.DUMMYFUNCTION("""COMPUTED_VALUE"""),"Simón")</f>
        <v>Simón</v>
      </c>
      <c r="D110" s="36" t="str">
        <f ca="1">IFERROR(__xludf.DUMMYFUNCTION("""COMPUTED_VALUE"""),"Uzeltinger")</f>
        <v>Uzeltinger</v>
      </c>
      <c r="E110" s="36" t="str">
        <f ca="1">IFERROR(__xludf.DUMMYFUNCTION("""COMPUTED_VALUE"""),"Puerto Madryn")</f>
        <v>Puerto Madryn</v>
      </c>
      <c r="F110" s="36" t="str">
        <f ca="1">IFERROR(__xludf.DUMMYFUNCTION("""COMPUTED_VALUE"""),"ARG")</f>
        <v>ARG</v>
      </c>
      <c r="G110" s="36">
        <f ca="1">IFERROR(__xludf.DUMMYFUNCTION("""COMPUTED_VALUE"""),50944211)</f>
        <v>50944211</v>
      </c>
      <c r="H110" s="70">
        <f ca="1">IFERROR(__xludf.DUMMYFUNCTION("""COMPUTED_VALUE"""),40576)</f>
        <v>40576</v>
      </c>
      <c r="I110" s="36">
        <f ca="1">IFERROR(__xludf.DUMMYFUNCTION("""COMPUTED_VALUE"""),2804550930)</f>
        <v>2804550930</v>
      </c>
      <c r="J110" s="36">
        <f ca="1">IFERROR(__xludf.DUMMYFUNCTION("""COMPUTED_VALUE"""),2804550930)</f>
        <v>2804550930</v>
      </c>
      <c r="K110" s="36" t="str">
        <f ca="1">IFERROR(__xludf.DUMMYFUNCTION("""COMPUTED_VALUE"""),"Uzeltinger@gmail.com")</f>
        <v>Uzeltinger@gmail.com</v>
      </c>
      <c r="L110" s="36" t="str">
        <f ca="1">IFERROR(__xludf.DUMMYFUNCTION("""COMPUTED_VALUE"""),"Masculino")</f>
        <v>Masculino</v>
      </c>
      <c r="M110" s="36" t="str">
        <f ca="1">IFERROR(__xludf.DUMMYFUNCTION("""COMPUTED_VALUE"""),"CNAS")</f>
        <v>CNAS</v>
      </c>
      <c r="N110" s="36" t="str">
        <f ca="1">IFERROR(__xludf.DUMMYFUNCTION("""COMPUTED_VALUE"""),"Interior (Optimist)")</f>
        <v>Interior (Optimist)</v>
      </c>
      <c r="O110" s="36" t="str">
        <f ca="1">IFERROR(__xludf.DUMMYFUNCTION("""COMPUTED_VALUE"""),"OPTIMIST TIMONELES")</f>
        <v>OPTIMIST TIMONELES</v>
      </c>
      <c r="P110" s="36"/>
      <c r="Q110" s="6">
        <f ca="1">IFERROR(__xludf.DUMMYFUNCTION("""COMPUTED_VALUE"""),3449)</f>
        <v>3449</v>
      </c>
      <c r="R110" s="38"/>
      <c r="S110" s="38"/>
      <c r="T110" s="38"/>
      <c r="U110" s="38"/>
      <c r="V110" s="38"/>
      <c r="W110" s="38"/>
      <c r="X110" s="38"/>
      <c r="Y110" s="38" t="str">
        <f ca="1">IFERROR(__xludf.DUMMYFUNCTION("""COMPUTED_VALUE"""),"SEROS")</f>
        <v>SEROS</v>
      </c>
      <c r="Z110" s="6" t="str">
        <f ca="1">IFERROR(__xludf.DUMMYFUNCTION("""COMPUTED_VALUE"""),"Si")</f>
        <v>Si</v>
      </c>
      <c r="AA110" s="6" t="str">
        <f ca="1">IFERROR(__xludf.DUMMYFUNCTION("""COMPUTED_VALUE"""),"Acepto")</f>
        <v>Acepto</v>
      </c>
      <c r="AB110" s="6" t="str">
        <f ca="1">IFERROR(__xludf.DUMMYFUNCTION("""COMPUTED_VALUE"""),"Terminado")</f>
        <v>Terminado</v>
      </c>
      <c r="AC110" s="6">
        <f ca="1">IFERROR(__xludf.DUMMYFUNCTION("""COMPUTED_VALUE"""),42500)</f>
        <v>42500</v>
      </c>
      <c r="AD110" s="6">
        <f ca="1">IFERROR(__xludf.DUMMYFUNCTION("""COMPUTED_VALUE"""),205374)</f>
        <v>205374</v>
      </c>
      <c r="AE110" s="38" t="str">
        <f ca="1">IFERROR(__xludf.DUMMYFUNCTION("""COMPUTED_VALUE"""),"TRF 02-09")</f>
        <v>TRF 02-09</v>
      </c>
      <c r="AF110" s="38"/>
      <c r="AG110" s="38"/>
      <c r="AH110" s="6"/>
      <c r="AI110" s="6"/>
    </row>
    <row r="111" spans="2:35" ht="13.2">
      <c r="B111" s="69">
        <f ca="1">IFERROR(__xludf.DUMMYFUNCTION("""COMPUTED_VALUE"""),45535.8742049074)</f>
        <v>45535.874204907399</v>
      </c>
      <c r="C111" s="36" t="str">
        <f ca="1">IFERROR(__xludf.DUMMYFUNCTION("""COMPUTED_VALUE"""),"TOMAS")</f>
        <v>TOMAS</v>
      </c>
      <c r="D111" s="36" t="str">
        <f ca="1">IFERROR(__xludf.DUMMYFUNCTION("""COMPUTED_VALUE"""),"VANZULLI")</f>
        <v>VANZULLI</v>
      </c>
      <c r="E111" s="36" t="str">
        <f ca="1">IFERROR(__xludf.DUMMYFUNCTION("""COMPUTED_VALUE"""),"BUENOS AIRES")</f>
        <v>BUENOS AIRES</v>
      </c>
      <c r="F111" s="36" t="str">
        <f ca="1">IFERROR(__xludf.DUMMYFUNCTION("""COMPUTED_VALUE"""),"ARG")</f>
        <v>ARG</v>
      </c>
      <c r="G111" s="36">
        <f ca="1">IFERROR(__xludf.DUMMYFUNCTION("""COMPUTED_VALUE"""),49932581)</f>
        <v>49932581</v>
      </c>
      <c r="H111" s="70">
        <f ca="1">IFERROR(__xludf.DUMMYFUNCTION("""COMPUTED_VALUE"""),40135)</f>
        <v>40135</v>
      </c>
      <c r="I111" s="36">
        <f ca="1">IFERROR(__xludf.DUMMYFUNCTION("""COMPUTED_VALUE"""),1133855954)</f>
        <v>1133855954</v>
      </c>
      <c r="J111" s="36">
        <f ca="1">IFERROR(__xludf.DUMMYFUNCTION("""COMPUTED_VALUE"""),1133855954)</f>
        <v>1133855954</v>
      </c>
      <c r="K111" s="36" t="str">
        <f ca="1">IFERROR(__xludf.DUMMYFUNCTION("""COMPUTED_VALUE"""),"COTICOLOMBO@YAHOO.COM.AR")</f>
        <v>COTICOLOMBO@YAHOO.COM.AR</v>
      </c>
      <c r="L111" s="36" t="str">
        <f ca="1">IFERROR(__xludf.DUMMYFUNCTION("""COMPUTED_VALUE"""),"Masculino")</f>
        <v>Masculino</v>
      </c>
      <c r="M111" s="36" t="str">
        <f ca="1">IFERROR(__xludf.DUMMYFUNCTION("""COMPUTED_VALUE"""),"YCCN")</f>
        <v>YCCN</v>
      </c>
      <c r="N111" s="36"/>
      <c r="O111" s="36" t="str">
        <f ca="1">IFERROR(__xludf.DUMMYFUNCTION("""COMPUTED_VALUE"""),"OPTIMIST TIMONELES")</f>
        <v>OPTIMIST TIMONELES</v>
      </c>
      <c r="P111" s="36"/>
      <c r="Q111" s="6">
        <f ca="1">IFERROR(__xludf.DUMMYFUNCTION("""COMPUTED_VALUE"""),3438)</f>
        <v>3438</v>
      </c>
      <c r="R111" s="38"/>
      <c r="S111" s="38"/>
      <c r="T111" s="38"/>
      <c r="U111" s="38"/>
      <c r="V111" s="38"/>
      <c r="W111" s="38"/>
      <c r="X111" s="38"/>
      <c r="Y111" s="38">
        <f ca="1">IFERROR(__xludf.DUMMYFUNCTION("""COMPUTED_VALUE"""),17926566000)</f>
        <v>17926566000</v>
      </c>
      <c r="Z111" s="6" t="str">
        <f ca="1">IFERROR(__xludf.DUMMYFUNCTION("""COMPUTED_VALUE"""),"No")</f>
        <v>No</v>
      </c>
      <c r="AA111" s="6" t="str">
        <f ca="1">IFERROR(__xludf.DUMMYFUNCTION("""COMPUTED_VALUE"""),"Acepto")</f>
        <v>Acepto</v>
      </c>
      <c r="AB111" s="6" t="str">
        <f ca="1">IFERROR(__xludf.DUMMYFUNCTION("""COMPUTED_VALUE"""),"Terminado")</f>
        <v>Terminado</v>
      </c>
      <c r="AC111" s="6">
        <f ca="1">IFERROR(__xludf.DUMMYFUNCTION("""COMPUTED_VALUE"""),50000)</f>
        <v>50000</v>
      </c>
      <c r="AD111" s="6">
        <f ca="1">IFERROR(__xludf.DUMMYFUNCTION("""COMPUTED_VALUE"""),205342)</f>
        <v>205342</v>
      </c>
      <c r="AE111" s="38" t="str">
        <f ca="1">IFERROR(__xludf.DUMMYFUNCTION("""COMPUTED_VALUE"""),"TRF 31-08")</f>
        <v>TRF 31-08</v>
      </c>
      <c r="AF111" s="38"/>
      <c r="AG111" s="38"/>
      <c r="AH111" s="6"/>
      <c r="AI111" s="6"/>
    </row>
    <row r="112" spans="2:35" ht="13.2">
      <c r="B112" s="69">
        <f ca="1">IFERROR(__xludf.DUMMYFUNCTION("""COMPUTED_VALUE"""),45535.3650264583)</f>
        <v>45535.365026458298</v>
      </c>
      <c r="C112" s="36" t="str">
        <f ca="1">IFERROR(__xludf.DUMMYFUNCTION("""COMPUTED_VALUE"""),"Fermín")</f>
        <v>Fermín</v>
      </c>
      <c r="D112" s="36" t="str">
        <f ca="1">IFERROR(__xludf.DUMMYFUNCTION("""COMPUTED_VALUE"""),"Vázquez del Campo")</f>
        <v>Vázquez del Campo</v>
      </c>
      <c r="E112" s="36" t="str">
        <f ca="1">IFERROR(__xludf.DUMMYFUNCTION("""COMPUTED_VALUE"""),"Tigre ")</f>
        <v xml:space="preserve">Tigre </v>
      </c>
      <c r="F112" s="36" t="str">
        <f ca="1">IFERROR(__xludf.DUMMYFUNCTION("""COMPUTED_VALUE"""),"ARG")</f>
        <v>ARG</v>
      </c>
      <c r="G112" s="36">
        <f ca="1">IFERROR(__xludf.DUMMYFUNCTION("""COMPUTED_VALUE"""),52827436)</f>
        <v>52827436</v>
      </c>
      <c r="H112" s="70">
        <f ca="1">IFERROR(__xludf.DUMMYFUNCTION("""COMPUTED_VALUE"""),41243)</f>
        <v>41243</v>
      </c>
      <c r="I112" s="36">
        <f ca="1">IFERROR(__xludf.DUMMYFUNCTION("""COMPUTED_VALUE"""),1159948383)</f>
        <v>1159948383</v>
      </c>
      <c r="J112" s="36"/>
      <c r="K112" s="36" t="str">
        <f ca="1">IFERROR(__xludf.DUMMYFUNCTION("""COMPUTED_VALUE"""),"lucreciadelcampo@gmail.com")</f>
        <v>lucreciadelcampo@gmail.com</v>
      </c>
      <c r="L112" s="36" t="str">
        <f ca="1">IFERROR(__xludf.DUMMYFUNCTION("""COMPUTED_VALUE"""),"Masculino")</f>
        <v>Masculino</v>
      </c>
      <c r="M112" s="36" t="str">
        <f ca="1">IFERROR(__xludf.DUMMYFUNCTION("""COMPUTED_VALUE"""),"CNSI")</f>
        <v>CNSI</v>
      </c>
      <c r="N112" s="36" t="str">
        <f ca="1">IFERROR(__xludf.DUMMYFUNCTION("""COMPUTED_VALUE"""),"Interior (Optimist)")</f>
        <v>Interior (Optimist)</v>
      </c>
      <c r="O112" s="36" t="str">
        <f ca="1">IFERROR(__xludf.DUMMYFUNCTION("""COMPUTED_VALUE"""),"OPTIMIST TIMONELES")</f>
        <v>OPTIMIST TIMONELES</v>
      </c>
      <c r="P112" s="36"/>
      <c r="Q112" s="6">
        <f ca="1">IFERROR(__xludf.DUMMYFUNCTION("""COMPUTED_VALUE"""),3583)</f>
        <v>3583</v>
      </c>
      <c r="R112" s="38"/>
      <c r="S112" s="38"/>
      <c r="T112" s="38"/>
      <c r="U112" s="38"/>
      <c r="V112" s="38"/>
      <c r="W112" s="38"/>
      <c r="X112" s="38"/>
      <c r="Y112" s="38"/>
      <c r="Z112" s="6" t="str">
        <f ca="1">IFERROR(__xludf.DUMMYFUNCTION("""COMPUTED_VALUE"""),"No")</f>
        <v>No</v>
      </c>
      <c r="AA112" s="6" t="str">
        <f ca="1">IFERROR(__xludf.DUMMYFUNCTION("""COMPUTED_VALUE"""),"Acepto")</f>
        <v>Acepto</v>
      </c>
      <c r="AB112" s="6" t="str">
        <f ca="1">IFERROR(__xludf.DUMMYFUNCTION("""COMPUTED_VALUE"""),"Terminado")</f>
        <v>Terminado</v>
      </c>
      <c r="AC112" s="6">
        <f ca="1">IFERROR(__xludf.DUMMYFUNCTION("""COMPUTED_VALUE"""),50000)</f>
        <v>50000</v>
      </c>
      <c r="AD112" s="6">
        <f ca="1">IFERROR(__xludf.DUMMYFUNCTION("""COMPUTED_VALUE"""),205164)</f>
        <v>205164</v>
      </c>
      <c r="AE112" s="38" t="str">
        <f ca="1">IFERROR(__xludf.DUMMYFUNCTION("""COMPUTED_VALUE"""),"TRF 31-08")</f>
        <v>TRF 31-08</v>
      </c>
      <c r="AF112" s="38"/>
      <c r="AG112" s="38"/>
      <c r="AH112" s="6"/>
      <c r="AI112" s="6"/>
    </row>
    <row r="113" spans="2:35" ht="13.2">
      <c r="B113" s="69">
        <f ca="1">IFERROR(__xludf.DUMMYFUNCTION("""COMPUTED_VALUE"""),45534.4343543287)</f>
        <v>45534.434354328703</v>
      </c>
      <c r="C113" s="36" t="str">
        <f ca="1">IFERROR(__xludf.DUMMYFUNCTION("""COMPUTED_VALUE"""),"JOAQUIN")</f>
        <v>JOAQUIN</v>
      </c>
      <c r="D113" s="36" t="str">
        <f ca="1">IFERROR(__xludf.DUMMYFUNCTION("""COMPUTED_VALUE"""),"VERNA")</f>
        <v>VERNA</v>
      </c>
      <c r="E113" s="36" t="str">
        <f ca="1">IFERROR(__xludf.DUMMYFUNCTION("""COMPUTED_VALUE"""),"LA PLATA")</f>
        <v>LA PLATA</v>
      </c>
      <c r="F113" s="36" t="str">
        <f ca="1">IFERROR(__xludf.DUMMYFUNCTION("""COMPUTED_VALUE"""),"ARG")</f>
        <v>ARG</v>
      </c>
      <c r="G113" s="36">
        <f ca="1">IFERROR(__xludf.DUMMYFUNCTION("""COMPUTED_VALUE"""),48705676)</f>
        <v>48705676</v>
      </c>
      <c r="H113" s="70">
        <f ca="1">IFERROR(__xludf.DUMMYFUNCTION("""COMPUTED_VALUE"""),39867)</f>
        <v>39867</v>
      </c>
      <c r="I113" s="36">
        <f ca="1">IFERROR(__xludf.DUMMYFUNCTION("""COMPUTED_VALUE"""),2216496606)</f>
        <v>2216496606</v>
      </c>
      <c r="J113" s="36">
        <f ca="1">IFERROR(__xludf.DUMMYFUNCTION("""COMPUTED_VALUE"""),2216496606)</f>
        <v>2216496606</v>
      </c>
      <c r="K113" s="36" t="str">
        <f ca="1">IFERROR(__xludf.DUMMYFUNCTION("""COMPUTED_VALUE"""),"luis.verna@ypf.com")</f>
        <v>luis.verna@ypf.com</v>
      </c>
      <c r="L113" s="36" t="str">
        <f ca="1">IFERROR(__xludf.DUMMYFUNCTION("""COMPUTED_VALUE"""),"Masculino")</f>
        <v>Masculino</v>
      </c>
      <c r="M113" s="36" t="str">
        <f ca="1">IFERROR(__xludf.DUMMYFUNCTION("""COMPUTED_VALUE"""),"CRLP")</f>
        <v>CRLP</v>
      </c>
      <c r="N113" s="36"/>
      <c r="O113" s="36" t="str">
        <f ca="1">IFERROR(__xludf.DUMMYFUNCTION("""COMPUTED_VALUE"""),"OPTIMIST TIMONELES")</f>
        <v>OPTIMIST TIMONELES</v>
      </c>
      <c r="P113" s="36"/>
      <c r="Q113" s="6" t="str">
        <f ca="1">IFERROR(__xludf.DUMMYFUNCTION("""COMPUTED_VALUE"""),"ARG3785")</f>
        <v>ARG3785</v>
      </c>
      <c r="R113" s="38"/>
      <c r="S113" s="38"/>
      <c r="T113" s="38"/>
      <c r="U113" s="38"/>
      <c r="V113" s="38"/>
      <c r="W113" s="38"/>
      <c r="X113" s="38"/>
      <c r="Y113" s="38" t="str">
        <f ca="1">IFERROR(__xludf.DUMMYFUNCTION("""COMPUTED_VALUE"""),"OSDE")</f>
        <v>OSDE</v>
      </c>
      <c r="Z113" s="6" t="str">
        <f ca="1">IFERROR(__xludf.DUMMYFUNCTION("""COMPUTED_VALUE"""),"Si")</f>
        <v>Si</v>
      </c>
      <c r="AA113" s="6" t="str">
        <f ca="1">IFERROR(__xludf.DUMMYFUNCTION("""COMPUTED_VALUE"""),"Acepto")</f>
        <v>Acepto</v>
      </c>
      <c r="AB113" s="6" t="str">
        <f ca="1">IFERROR(__xludf.DUMMYFUNCTION("""COMPUTED_VALUE"""),"Terminado")</f>
        <v>Terminado</v>
      </c>
      <c r="AC113" s="6">
        <f ca="1">IFERROR(__xludf.DUMMYFUNCTION("""COMPUTED_VALUE"""),50000)</f>
        <v>50000</v>
      </c>
      <c r="AD113" s="6">
        <f ca="1">IFERROR(__xludf.DUMMYFUNCTION("""COMPUTED_VALUE"""),205092)</f>
        <v>205092</v>
      </c>
      <c r="AE113" s="38" t="str">
        <f ca="1">IFERROR(__xludf.DUMMYFUNCTION("""COMPUTED_VALUE"""),"TRF 30-08")</f>
        <v>TRF 30-08</v>
      </c>
      <c r="AF113" s="38"/>
      <c r="AG113" s="38"/>
      <c r="AH113" s="6"/>
      <c r="AI113" s="6"/>
    </row>
    <row r="114" spans="2:35" ht="13.2">
      <c r="B114" s="69">
        <f ca="1">IFERROR(__xludf.DUMMYFUNCTION("""COMPUTED_VALUE"""),45534.7832066435)</f>
        <v>45534.7832066435</v>
      </c>
      <c r="C114" s="36" t="str">
        <f ca="1">IFERROR(__xludf.DUMMYFUNCTION("""COMPUTED_VALUE"""),"Santiago")</f>
        <v>Santiago</v>
      </c>
      <c r="D114" s="36" t="str">
        <f ca="1">IFERROR(__xludf.DUMMYFUNCTION("""COMPUTED_VALUE"""),"Viale")</f>
        <v>Viale</v>
      </c>
      <c r="E114" s="36" t="str">
        <f ca="1">IFERROR(__xludf.DUMMYFUNCTION("""COMPUTED_VALUE"""),"San isidro")</f>
        <v>San isidro</v>
      </c>
      <c r="F114" s="36" t="str">
        <f ca="1">IFERROR(__xludf.DUMMYFUNCTION("""COMPUTED_VALUE"""),"ARG")</f>
        <v>ARG</v>
      </c>
      <c r="G114" s="36">
        <f ca="1">IFERROR(__xludf.DUMMYFUNCTION("""COMPUTED_VALUE"""),50434935)</f>
        <v>50434935</v>
      </c>
      <c r="H114" s="70">
        <f ca="1">IFERROR(__xludf.DUMMYFUNCTION("""COMPUTED_VALUE"""),40376)</f>
        <v>40376</v>
      </c>
      <c r="I114" s="36">
        <f ca="1">IFERROR(__xludf.DUMMYFUNCTION("""COMPUTED_VALUE"""),1153207320)</f>
        <v>1153207320</v>
      </c>
      <c r="J114" s="36">
        <f ca="1">IFERROR(__xludf.DUMMYFUNCTION("""COMPUTED_VALUE"""),1153207320)</f>
        <v>1153207320</v>
      </c>
      <c r="K114" s="36" t="str">
        <f ca="1">IFERROR(__xludf.DUMMYFUNCTION("""COMPUTED_VALUE"""),"monicaponzo@gmail.com")</f>
        <v>monicaponzo@gmail.com</v>
      </c>
      <c r="L114" s="36" t="str">
        <f ca="1">IFERROR(__xludf.DUMMYFUNCTION("""COMPUTED_VALUE"""),"Masculino")</f>
        <v>Masculino</v>
      </c>
      <c r="M114" s="36" t="str">
        <f ca="1">IFERROR(__xludf.DUMMYFUNCTION("""COMPUTED_VALUE"""),"CVB")</f>
        <v>CVB</v>
      </c>
      <c r="N114" s="36"/>
      <c r="O114" s="36" t="str">
        <f ca="1">IFERROR(__xludf.DUMMYFUNCTION("""COMPUTED_VALUE"""),"OPTIMIST TIMONELES")</f>
        <v>OPTIMIST TIMONELES</v>
      </c>
      <c r="P114" s="36"/>
      <c r="Q114" s="6">
        <f ca="1">IFERROR(__xludf.DUMMYFUNCTION("""COMPUTED_VALUE"""),4101)</f>
        <v>4101</v>
      </c>
      <c r="R114" s="38"/>
      <c r="S114" s="38"/>
      <c r="T114" s="38"/>
      <c r="U114" s="38"/>
      <c r="V114" s="38"/>
      <c r="W114" s="38"/>
      <c r="X114" s="38"/>
      <c r="Y114" s="38" t="str">
        <f ca="1">IFERROR(__xludf.DUMMYFUNCTION("""COMPUTED_VALUE"""),"Medicus Azul")</f>
        <v>Medicus Azul</v>
      </c>
      <c r="Z114" s="6" t="str">
        <f ca="1">IFERROR(__xludf.DUMMYFUNCTION("""COMPUTED_VALUE"""),"No")</f>
        <v>No</v>
      </c>
      <c r="AA114" s="6" t="str">
        <f ca="1">IFERROR(__xludf.DUMMYFUNCTION("""COMPUTED_VALUE"""),"Acepto")</f>
        <v>Acepto</v>
      </c>
      <c r="AB114" s="6" t="str">
        <f ca="1">IFERROR(__xludf.DUMMYFUNCTION("""COMPUTED_VALUE"""),"Terminado")</f>
        <v>Terminado</v>
      </c>
      <c r="AC114" s="6">
        <f ca="1">IFERROR(__xludf.DUMMYFUNCTION("""COMPUTED_VALUE"""),50000)</f>
        <v>50000</v>
      </c>
      <c r="AD114" s="6">
        <f ca="1">IFERROR(__xludf.DUMMYFUNCTION("""COMPUTED_VALUE"""),205133)</f>
        <v>205133</v>
      </c>
      <c r="AE114" s="38" t="str">
        <f ca="1">IFERROR(__xludf.DUMMYFUNCTION("""COMPUTED_VALUE"""),"TRF 30-08")</f>
        <v>TRF 30-08</v>
      </c>
      <c r="AF114" s="38"/>
      <c r="AG114" s="38"/>
      <c r="AH114" s="6"/>
      <c r="AI114" s="6"/>
    </row>
    <row r="115" spans="2:35" ht="13.2">
      <c r="B115" s="69">
        <f ca="1">IFERROR(__xludf.DUMMYFUNCTION("""COMPUTED_VALUE"""),45536.5377723032)</f>
        <v>45536.5377723032</v>
      </c>
      <c r="C115" s="36" t="str">
        <f ca="1">IFERROR(__xludf.DUMMYFUNCTION("""COMPUTED_VALUE"""),"Yago ")</f>
        <v xml:space="preserve">Yago </v>
      </c>
      <c r="D115" s="36" t="str">
        <f ca="1">IFERROR(__xludf.DUMMYFUNCTION("""COMPUTED_VALUE"""),"Videla Tejo")</f>
        <v>Videla Tejo</v>
      </c>
      <c r="E115" s="36" t="str">
        <f ca="1">IFERROR(__xludf.DUMMYFUNCTION("""COMPUTED_VALUE"""),"CABA")</f>
        <v>CABA</v>
      </c>
      <c r="F115" s="36" t="str">
        <f ca="1">IFERROR(__xludf.DUMMYFUNCTION("""COMPUTED_VALUE"""),"ARG")</f>
        <v>ARG</v>
      </c>
      <c r="G115" s="36">
        <f ca="1">IFERROR(__xludf.DUMMYFUNCTION("""COMPUTED_VALUE"""),51073305)</f>
        <v>51073305</v>
      </c>
      <c r="H115" s="70">
        <f ca="1">IFERROR(__xludf.DUMMYFUNCTION("""COMPUTED_VALUE"""),40638)</f>
        <v>40638</v>
      </c>
      <c r="I115" s="36">
        <f ca="1">IFERROR(__xludf.DUMMYFUNCTION("""COMPUTED_VALUE"""),1132266531)</f>
        <v>1132266531</v>
      </c>
      <c r="J115" s="36">
        <f ca="1">IFERROR(__xludf.DUMMYFUNCTION("""COMPUTED_VALUE"""),154406301)</f>
        <v>154406301</v>
      </c>
      <c r="K115" s="36" t="str">
        <f ca="1">IFERROR(__xludf.DUMMYFUNCTION("""COMPUTED_VALUE"""),"ceciliatejo.ct@gmail.com")</f>
        <v>ceciliatejo.ct@gmail.com</v>
      </c>
      <c r="L115" s="36" t="str">
        <f ca="1">IFERROR(__xludf.DUMMYFUNCTION("""COMPUTED_VALUE"""),"Masculino")</f>
        <v>Masculino</v>
      </c>
      <c r="M115" s="36" t="str">
        <f ca="1">IFERROR(__xludf.DUMMYFUNCTION("""COMPUTED_VALUE"""),"YCO")</f>
        <v>YCO</v>
      </c>
      <c r="N115" s="36" t="str">
        <f ca="1">IFERROR(__xludf.DUMMYFUNCTION("""COMPUTED_VALUE"""),"Interior (Optimist)")</f>
        <v>Interior (Optimist)</v>
      </c>
      <c r="O115" s="36" t="str">
        <f ca="1">IFERROR(__xludf.DUMMYFUNCTION("""COMPUTED_VALUE"""),"OPTIMIST TIMONELES")</f>
        <v>OPTIMIST TIMONELES</v>
      </c>
      <c r="P115" s="36"/>
      <c r="Q115" s="6">
        <f ca="1">IFERROR(__xludf.DUMMYFUNCTION("""COMPUTED_VALUE"""),4028)</f>
        <v>4028</v>
      </c>
      <c r="R115" s="38"/>
      <c r="S115" s="38"/>
      <c r="T115" s="38"/>
      <c r="U115" s="38"/>
      <c r="V115" s="38"/>
      <c r="W115" s="38"/>
      <c r="X115" s="38"/>
      <c r="Y115" s="38" t="str">
        <f ca="1">IFERROR(__xludf.DUMMYFUNCTION("""COMPUTED_VALUE"""),"OSDE")</f>
        <v>OSDE</v>
      </c>
      <c r="Z115" s="6" t="str">
        <f ca="1">IFERROR(__xludf.DUMMYFUNCTION("""COMPUTED_VALUE"""),"Si")</f>
        <v>Si</v>
      </c>
      <c r="AA115" s="6" t="str">
        <f ca="1">IFERROR(__xludf.DUMMYFUNCTION("""COMPUTED_VALUE"""),"Acepto")</f>
        <v>Acepto</v>
      </c>
      <c r="AB115" s="6" t="str">
        <f ca="1">IFERROR(__xludf.DUMMYFUNCTION("""COMPUTED_VALUE"""),"Terminado")</f>
        <v>Terminado</v>
      </c>
      <c r="AC115" s="6">
        <f ca="1">IFERROR(__xludf.DUMMYFUNCTION("""COMPUTED_VALUE"""),50000)</f>
        <v>50000</v>
      </c>
      <c r="AD115" s="6">
        <f ca="1">IFERROR(__xludf.DUMMYFUNCTION("""COMPUTED_VALUE"""),205402)</f>
        <v>205402</v>
      </c>
      <c r="AE115" s="38" t="str">
        <f ca="1">IFERROR(__xludf.DUMMYFUNCTION("""COMPUTED_VALUE"""),"TRF 02-09")</f>
        <v>TRF 02-09</v>
      </c>
      <c r="AF115" s="38"/>
      <c r="AG115" s="38"/>
      <c r="AH115" s="6"/>
      <c r="AI115" s="6"/>
    </row>
    <row r="116" spans="2:35" ht="13.2">
      <c r="B116" s="69">
        <f ca="1">IFERROR(__xludf.DUMMYFUNCTION("""COMPUTED_VALUE"""),45534.6456515972)</f>
        <v>45534.645651597202</v>
      </c>
      <c r="C116" s="36" t="str">
        <f ca="1">IFERROR(__xludf.DUMMYFUNCTION("""COMPUTED_VALUE"""),"Valentino")</f>
        <v>Valentino</v>
      </c>
      <c r="D116" s="36" t="str">
        <f ca="1">IFERROR(__xludf.DUMMYFUNCTION("""COMPUTED_VALUE"""),"Wenzel")</f>
        <v>Wenzel</v>
      </c>
      <c r="E116" s="36" t="str">
        <f ca="1">IFERROR(__xludf.DUMMYFUNCTION("""COMPUTED_VALUE"""),"La plata")</f>
        <v>La plata</v>
      </c>
      <c r="F116" s="36" t="str">
        <f ca="1">IFERROR(__xludf.DUMMYFUNCTION("""COMPUTED_VALUE"""),"ARG")</f>
        <v>ARG</v>
      </c>
      <c r="G116" s="36">
        <f ca="1">IFERROR(__xludf.DUMMYFUNCTION("""COMPUTED_VALUE"""),50609852)</f>
        <v>50609852</v>
      </c>
      <c r="H116" s="70">
        <f ca="1">IFERROR(__xludf.DUMMYFUNCTION("""COMPUTED_VALUE"""),40415)</f>
        <v>40415</v>
      </c>
      <c r="I116" s="36">
        <f ca="1">IFERROR(__xludf.DUMMYFUNCTION("""COMPUTED_VALUE"""),2215485768)</f>
        <v>2215485768</v>
      </c>
      <c r="J116" s="36">
        <f ca="1">IFERROR(__xludf.DUMMYFUNCTION("""COMPUTED_VALUE"""),2215033161)</f>
        <v>2215033161</v>
      </c>
      <c r="K116" s="36" t="str">
        <f ca="1">IFERROR(__xludf.DUMMYFUNCTION("""COMPUTED_VALUE"""),"Mariw_palumbo@hotmail.com")</f>
        <v>Mariw_palumbo@hotmail.com</v>
      </c>
      <c r="L116" s="36" t="str">
        <f ca="1">IFERROR(__xludf.DUMMYFUNCTION("""COMPUTED_VALUE"""),"Masculino")</f>
        <v>Masculino</v>
      </c>
      <c r="M116" s="36" t="str">
        <f ca="1">IFERROR(__xludf.DUMMYFUNCTION("""COMPUTED_VALUE"""),"CRLP")</f>
        <v>CRLP</v>
      </c>
      <c r="N116" s="36" t="str">
        <f ca="1">IFERROR(__xludf.DUMMYFUNCTION("""COMPUTED_VALUE"""),"Interior (Optimist)")</f>
        <v>Interior (Optimist)</v>
      </c>
      <c r="O116" s="36" t="str">
        <f ca="1">IFERROR(__xludf.DUMMYFUNCTION("""COMPUTED_VALUE"""),"OPTIMIST TIMONELES")</f>
        <v>OPTIMIST TIMONELES</v>
      </c>
      <c r="P116" s="36"/>
      <c r="Q116" s="6">
        <f ca="1">IFERROR(__xludf.DUMMYFUNCTION("""COMPUTED_VALUE"""),3529)</f>
        <v>3529</v>
      </c>
      <c r="R116" s="38"/>
      <c r="S116" s="38"/>
      <c r="T116" s="38"/>
      <c r="U116" s="38"/>
      <c r="V116" s="38"/>
      <c r="W116" s="38"/>
      <c r="X116" s="38"/>
      <c r="Y116" s="38" t="str">
        <f ca="1">IFERROR(__xludf.DUMMYFUNCTION("""COMPUTED_VALUE"""),"Ioma ")</f>
        <v xml:space="preserve">Ioma </v>
      </c>
      <c r="Z116" s="6" t="str">
        <f ca="1">IFERROR(__xludf.DUMMYFUNCTION("""COMPUTED_VALUE"""),"Si")</f>
        <v>Si</v>
      </c>
      <c r="AA116" s="6" t="str">
        <f ca="1">IFERROR(__xludf.DUMMYFUNCTION("""COMPUTED_VALUE"""),"Acepto")</f>
        <v>Acepto</v>
      </c>
      <c r="AB116" s="6" t="str">
        <f ca="1">IFERROR(__xludf.DUMMYFUNCTION("""COMPUTED_VALUE"""),"Terminado")</f>
        <v>Terminado</v>
      </c>
      <c r="AC116" s="6">
        <f ca="1">IFERROR(__xludf.DUMMYFUNCTION("""COMPUTED_VALUE"""),50000)</f>
        <v>50000</v>
      </c>
      <c r="AD116" s="6">
        <f ca="1">IFERROR(__xludf.DUMMYFUNCTION("""COMPUTED_VALUE"""),205098)</f>
        <v>205098</v>
      </c>
      <c r="AE116" s="38" t="str">
        <f ca="1">IFERROR(__xludf.DUMMYFUNCTION("""COMPUTED_VALUE"""),"TRF 30-08 MP")</f>
        <v>TRF 30-08 MP</v>
      </c>
      <c r="AF116" s="38"/>
      <c r="AG116" s="38"/>
      <c r="AH116" s="6"/>
      <c r="AI116" s="6"/>
    </row>
    <row r="117" spans="2:35" ht="13.2">
      <c r="B117" s="69">
        <f ca="1">IFERROR(__xludf.DUMMYFUNCTION("""COMPUTED_VALUE"""),45534.7640524768)</f>
        <v>45534.764052476799</v>
      </c>
      <c r="C117" s="36" t="str">
        <f ca="1">IFERROR(__xludf.DUMMYFUNCTION("""COMPUTED_VALUE"""),"Facundo")</f>
        <v>Facundo</v>
      </c>
      <c r="D117" s="36" t="str">
        <f ca="1">IFERROR(__xludf.DUMMYFUNCTION("""COMPUTED_VALUE"""),"Zorraquin")</f>
        <v>Zorraquin</v>
      </c>
      <c r="E117" s="36" t="str">
        <f ca="1">IFERROR(__xludf.DUMMYFUNCTION("""COMPUTED_VALUE"""),"Buenos aires")</f>
        <v>Buenos aires</v>
      </c>
      <c r="F117" s="36" t="str">
        <f ca="1">IFERROR(__xludf.DUMMYFUNCTION("""COMPUTED_VALUE"""),"ARG")</f>
        <v>ARG</v>
      </c>
      <c r="G117" s="36">
        <f ca="1">IFERROR(__xludf.DUMMYFUNCTION("""COMPUTED_VALUE"""),50075190)</f>
        <v>50075190</v>
      </c>
      <c r="H117" s="70">
        <f ca="1">IFERROR(__xludf.DUMMYFUNCTION("""COMPUTED_VALUE"""),40199)</f>
        <v>40199</v>
      </c>
      <c r="I117" s="36">
        <f ca="1">IFERROR(__xludf.DUMMYFUNCTION("""COMPUTED_VALUE"""),1149365363)</f>
        <v>1149365363</v>
      </c>
      <c r="J117" s="36">
        <f ca="1">IFERROR(__xludf.DUMMYFUNCTION("""COMPUTED_VALUE"""),1141773096)</f>
        <v>1141773096</v>
      </c>
      <c r="K117" s="36" t="str">
        <f ca="1">IFERROR(__xludf.DUMMYFUNCTION("""COMPUTED_VALUE"""),"gzorraquin@gmail.com")</f>
        <v>gzorraquin@gmail.com</v>
      </c>
      <c r="L117" s="36" t="str">
        <f ca="1">IFERROR(__xludf.DUMMYFUNCTION("""COMPUTED_VALUE"""),"Masculino")</f>
        <v>Masculino</v>
      </c>
      <c r="M117" s="36" t="str">
        <f ca="1">IFERROR(__xludf.DUMMYFUNCTION("""COMPUTED_VALUE"""),"CNSI")</f>
        <v>CNSI</v>
      </c>
      <c r="N117" s="36" t="str">
        <f ca="1">IFERROR(__xludf.DUMMYFUNCTION("""COMPUTED_VALUE"""),"Interior (Optimist)")</f>
        <v>Interior (Optimist)</v>
      </c>
      <c r="O117" s="36" t="str">
        <f ca="1">IFERROR(__xludf.DUMMYFUNCTION("""COMPUTED_VALUE"""),"OPTIMIST TIMONELES")</f>
        <v>OPTIMIST TIMONELES</v>
      </c>
      <c r="P117" s="36"/>
      <c r="Q117" s="6">
        <f ca="1">IFERROR(__xludf.DUMMYFUNCTION("""COMPUTED_VALUE"""),4113)</f>
        <v>4113</v>
      </c>
      <c r="R117" s="38"/>
      <c r="S117" s="38"/>
      <c r="T117" s="38"/>
      <c r="U117" s="38"/>
      <c r="V117" s="38"/>
      <c r="W117" s="38"/>
      <c r="X117" s="38"/>
      <c r="Y117" s="38" t="str">
        <f ca="1">IFERROR(__xludf.DUMMYFUNCTION("""COMPUTED_VALUE"""),"Osde")</f>
        <v>Osde</v>
      </c>
      <c r="Z117" s="6" t="str">
        <f ca="1">IFERROR(__xludf.DUMMYFUNCTION("""COMPUTED_VALUE"""),"Si")</f>
        <v>Si</v>
      </c>
      <c r="AA117" s="6" t="str">
        <f ca="1">IFERROR(__xludf.DUMMYFUNCTION("""COMPUTED_VALUE"""),"Acepto")</f>
        <v>Acepto</v>
      </c>
      <c r="AB117" s="6" t="str">
        <f ca="1">IFERROR(__xludf.DUMMYFUNCTION("""COMPUTED_VALUE"""),"Terminado")</f>
        <v>Terminado</v>
      </c>
      <c r="AC117" s="6">
        <f ca="1">IFERROR(__xludf.DUMMYFUNCTION("""COMPUTED_VALUE"""),50000)</f>
        <v>50000</v>
      </c>
      <c r="AD117" s="6">
        <f ca="1">IFERROR(__xludf.DUMMYFUNCTION("""COMPUTED_VALUE"""),205130)</f>
        <v>205130</v>
      </c>
      <c r="AE117" s="38" t="str">
        <f ca="1">IFERROR(__xludf.DUMMYFUNCTION("""COMPUTED_VALUE"""),"TRF 30-08")</f>
        <v>TRF 30-08</v>
      </c>
      <c r="AF117" s="38"/>
      <c r="AG117" s="38"/>
      <c r="AH117" s="6"/>
      <c r="AI117" s="6"/>
    </row>
    <row r="118" spans="2:35" ht="13.2">
      <c r="B118" s="69">
        <f ca="1">IFERROR(__xludf.DUMMYFUNCTION("""COMPUTED_VALUE"""),45541.3125235185)</f>
        <v>45541.3125235185</v>
      </c>
      <c r="C118" s="36" t="str">
        <f ca="1">IFERROR(__xludf.DUMMYFUNCTION("""COMPUTED_VALUE"""),"Felipe ")</f>
        <v xml:space="preserve">Felipe </v>
      </c>
      <c r="D118" s="36" t="str">
        <f ca="1">IFERROR(__xludf.DUMMYFUNCTION("""COMPUTED_VALUE"""),"Blas")</f>
        <v>Blas</v>
      </c>
      <c r="E118" s="36" t="str">
        <f ca="1">IFERROR(__xludf.DUMMYFUNCTION("""COMPUTED_VALUE"""),"San Pedro ")</f>
        <v xml:space="preserve">San Pedro </v>
      </c>
      <c r="F118" s="36" t="str">
        <f ca="1">IFERROR(__xludf.DUMMYFUNCTION("""COMPUTED_VALUE"""),"ARG")</f>
        <v>ARG</v>
      </c>
      <c r="G118" s="36">
        <f ca="1">IFERROR(__xludf.DUMMYFUNCTION("""COMPUTED_VALUE"""),52003396)</f>
        <v>52003396</v>
      </c>
      <c r="H118" s="70">
        <f ca="1">IFERROR(__xludf.DUMMYFUNCTION("""COMPUTED_VALUE"""),40952)</f>
        <v>40952</v>
      </c>
      <c r="I118" s="36">
        <f ca="1">IFERROR(__xludf.DUMMYFUNCTION("""COMPUTED_VALUE"""),3329640146)</f>
        <v>3329640146</v>
      </c>
      <c r="J118" s="36">
        <f ca="1">IFERROR(__xludf.DUMMYFUNCTION("""COMPUTED_VALUE"""),3329566454)</f>
        <v>3329566454</v>
      </c>
      <c r="K118" s="36" t="str">
        <f ca="1">IFERROR(__xludf.DUMMYFUNCTION("""COMPUTED_VALUE"""),"marucenturion1989@gmail.com")</f>
        <v>marucenturion1989@gmail.com</v>
      </c>
      <c r="L118" s="36" t="str">
        <f ca="1">IFERROR(__xludf.DUMMYFUNCTION("""COMPUTED_VALUE"""),"Masculino")</f>
        <v>Masculino</v>
      </c>
      <c r="M118" s="36" t="str">
        <f ca="1">IFERROR(__xludf.DUMMYFUNCTION("""COMPUTED_VALUE"""),"CNSP")</f>
        <v>CNSP</v>
      </c>
      <c r="N118" s="36" t="str">
        <f ca="1">IFERROR(__xludf.DUMMYFUNCTION("""COMPUTED_VALUE"""),"Interior (Optimist)")</f>
        <v>Interior (Optimist)</v>
      </c>
      <c r="O118" s="36" t="str">
        <f ca="1">IFERROR(__xludf.DUMMYFUNCTION("""COMPUTED_VALUE"""),"OPTIMIST TIMONELES")</f>
        <v>OPTIMIST TIMONELES</v>
      </c>
      <c r="P118" s="36"/>
      <c r="Q118" s="6">
        <f ca="1">IFERROR(__xludf.DUMMYFUNCTION("""COMPUTED_VALUE"""),4152)</f>
        <v>4152</v>
      </c>
      <c r="R118" s="38"/>
      <c r="S118" s="38"/>
      <c r="T118" s="38"/>
      <c r="U118" s="38"/>
      <c r="V118" s="38"/>
      <c r="W118" s="38"/>
      <c r="X118" s="38"/>
      <c r="Y118" s="38" t="str">
        <f ca="1">IFERROR(__xludf.DUMMYFUNCTION("""COMPUTED_VALUE"""),"Ioma")</f>
        <v>Ioma</v>
      </c>
      <c r="Z118" s="6" t="str">
        <f ca="1">IFERROR(__xludf.DUMMYFUNCTION("""COMPUTED_VALUE"""),"Si")</f>
        <v>Si</v>
      </c>
      <c r="AA118" s="6" t="str">
        <f ca="1">IFERROR(__xludf.DUMMYFUNCTION("""COMPUTED_VALUE"""),"Acepto")</f>
        <v>Acepto</v>
      </c>
      <c r="AB118" s="6" t="str">
        <f ca="1">IFERROR(__xludf.DUMMYFUNCTION("""COMPUTED_VALUE"""),"Terminado")</f>
        <v>Terminado</v>
      </c>
      <c r="AC118" s="6">
        <f ca="1">IFERROR(__xludf.DUMMYFUNCTION("""COMPUTED_VALUE"""),42500)</f>
        <v>42500</v>
      </c>
      <c r="AD118" s="6">
        <f ca="1">IFERROR(__xludf.DUMMYFUNCTION("""COMPUTED_VALUE"""),205543)</f>
        <v>205543</v>
      </c>
      <c r="AE118" s="38" t="str">
        <f ca="1">IFERROR(__xludf.DUMMYFUNCTION("""COMPUTED_VALUE"""),"TRF 06-09")</f>
        <v>TRF 06-09</v>
      </c>
      <c r="AF118" s="38"/>
      <c r="AG118" s="38"/>
      <c r="AH118" s="6"/>
      <c r="AI118" s="6"/>
    </row>
    <row r="119" spans="2:35" ht="13.2">
      <c r="B119" s="69">
        <f ca="1">IFERROR(__xludf.DUMMYFUNCTION("""COMPUTED_VALUE"""),45541.4702524305)</f>
        <v>45541.470252430503</v>
      </c>
      <c r="C119" s="36" t="str">
        <f ca="1">IFERROR(__xludf.DUMMYFUNCTION("""COMPUTED_VALUE"""),"Santiago")</f>
        <v>Santiago</v>
      </c>
      <c r="D119" s="36" t="str">
        <f ca="1">IFERROR(__xludf.DUMMYFUNCTION("""COMPUTED_VALUE"""),"Fabris")</f>
        <v>Fabris</v>
      </c>
      <c r="E119" s="36" t="str">
        <f ca="1">IFERROR(__xludf.DUMMYFUNCTION("""COMPUTED_VALUE"""),"Buenos Aires")</f>
        <v>Buenos Aires</v>
      </c>
      <c r="F119" s="36" t="str">
        <f ca="1">IFERROR(__xludf.DUMMYFUNCTION("""COMPUTED_VALUE"""),"ARG")</f>
        <v>ARG</v>
      </c>
      <c r="G119" s="36">
        <f ca="1">IFERROR(__xludf.DUMMYFUNCTION("""COMPUTED_VALUE"""),50416545)</f>
        <v>50416545</v>
      </c>
      <c r="H119" s="70">
        <f ca="1">IFERROR(__xludf.DUMMYFUNCTION("""COMPUTED_VALUE"""),40367)</f>
        <v>40367</v>
      </c>
      <c r="I119" s="36" t="str">
        <f ca="1">IFERROR(__xludf.DUMMYFUNCTION("""COMPUTED_VALUE"""),"+5491132008803")</f>
        <v>+5491132008803</v>
      </c>
      <c r="J119" s="36" t="str">
        <f ca="1">IFERROR(__xludf.DUMMYFUNCTION("""COMPUTED_VALUE"""),"+5491132008803")</f>
        <v>+5491132008803</v>
      </c>
      <c r="K119" s="36" t="str">
        <f ca="1">IFERROR(__xludf.DUMMYFUNCTION("""COMPUTED_VALUE"""),"german0669@gmail.com")</f>
        <v>german0669@gmail.com</v>
      </c>
      <c r="L119" s="36" t="str">
        <f ca="1">IFERROR(__xludf.DUMMYFUNCTION("""COMPUTED_VALUE"""),"Masculino")</f>
        <v>Masculino</v>
      </c>
      <c r="M119" s="36" t="str">
        <f ca="1">IFERROR(__xludf.DUMMYFUNCTION("""COMPUTED_VALUE"""),"YCCN")</f>
        <v>YCCN</v>
      </c>
      <c r="N119" s="36" t="str">
        <f ca="1">IFERROR(__xludf.DUMMYFUNCTION("""COMPUTED_VALUE"""),"Optimist - Timonel")</f>
        <v>Optimist - Timonel</v>
      </c>
      <c r="O119" s="36" t="str">
        <f ca="1">IFERROR(__xludf.DUMMYFUNCTION("""COMPUTED_VALUE"""),"OPTIMIST TIMONELES")</f>
        <v>OPTIMIST TIMONELES</v>
      </c>
      <c r="P119" s="36"/>
      <c r="Q119" s="6">
        <f ca="1">IFERROR(__xludf.DUMMYFUNCTION("""COMPUTED_VALUE"""),3642)</f>
        <v>3642</v>
      </c>
      <c r="R119" s="38"/>
      <c r="S119" s="38"/>
      <c r="T119" s="38"/>
      <c r="U119" s="38"/>
      <c r="V119" s="38"/>
      <c r="W119" s="38"/>
      <c r="X119" s="38"/>
      <c r="Y119" s="38" t="str">
        <f ca="1">IFERROR(__xludf.DUMMYFUNCTION("""COMPUTED_VALUE"""),"OSDE")</f>
        <v>OSDE</v>
      </c>
      <c r="Z119" s="6" t="str">
        <f ca="1">IFERROR(__xludf.DUMMYFUNCTION("""COMPUTED_VALUE"""),"No")</f>
        <v>No</v>
      </c>
      <c r="AA119" s="6" t="str">
        <f ca="1">IFERROR(__xludf.DUMMYFUNCTION("""COMPUTED_VALUE"""),"Acepto")</f>
        <v>Acepto</v>
      </c>
      <c r="AB119" s="6" t="str">
        <f ca="1">IFERROR(__xludf.DUMMYFUNCTION("""COMPUTED_VALUE"""),"Terminado")</f>
        <v>Terminado</v>
      </c>
      <c r="AC119" s="6">
        <f ca="1">IFERROR(__xludf.DUMMYFUNCTION("""COMPUTED_VALUE"""),50000)</f>
        <v>50000</v>
      </c>
      <c r="AD119" s="6">
        <f ca="1">IFERROR(__xludf.DUMMYFUNCTION("""COMPUTED_VALUE"""),205534)</f>
        <v>205534</v>
      </c>
      <c r="AE119" s="38" t="str">
        <f ca="1">IFERROR(__xludf.DUMMYFUNCTION("""COMPUTED_VALUE"""),"TRF 06-09")</f>
        <v>TRF 06-09</v>
      </c>
      <c r="AF119" s="38"/>
      <c r="AG119" s="38"/>
      <c r="AH119" s="6"/>
      <c r="AI119" s="6"/>
    </row>
    <row r="120" spans="2:35" ht="13.2">
      <c r="B120" s="69">
        <f ca="1">IFERROR(__xludf.DUMMYFUNCTION("""COMPUTED_VALUE"""),45541.6135105671)</f>
        <v>45541.613510567098</v>
      </c>
      <c r="C120" s="36" t="str">
        <f ca="1">IFERROR(__xludf.DUMMYFUNCTION("""COMPUTED_VALUE"""),"Tomás ")</f>
        <v xml:space="preserve">Tomás </v>
      </c>
      <c r="D120" s="36" t="str">
        <f ca="1">IFERROR(__xludf.DUMMYFUNCTION("""COMPUTED_VALUE"""),"Calvo")</f>
        <v>Calvo</v>
      </c>
      <c r="E120" s="36" t="str">
        <f ca="1">IFERROR(__xludf.DUMMYFUNCTION("""COMPUTED_VALUE"""),"Victoria")</f>
        <v>Victoria</v>
      </c>
      <c r="F120" s="36" t="str">
        <f ca="1">IFERROR(__xludf.DUMMYFUNCTION("""COMPUTED_VALUE"""),"ARG")</f>
        <v>ARG</v>
      </c>
      <c r="G120" s="36">
        <f ca="1">IFERROR(__xludf.DUMMYFUNCTION("""COMPUTED_VALUE"""),51431844)</f>
        <v>51431844</v>
      </c>
      <c r="H120" s="70">
        <f ca="1">IFERROR(__xludf.DUMMYFUNCTION("""COMPUTED_VALUE"""),40828)</f>
        <v>40828</v>
      </c>
      <c r="I120" s="36">
        <f ca="1">IFERROR(__xludf.DUMMYFUNCTION("""COMPUTED_VALUE"""),91159278173)</f>
        <v>91159278173</v>
      </c>
      <c r="J120" s="36">
        <f ca="1">IFERROR(__xludf.DUMMYFUNCTION("""COMPUTED_VALUE"""),91159278173)</f>
        <v>91159278173</v>
      </c>
      <c r="K120" s="36" t="str">
        <f ca="1">IFERROR(__xludf.DUMMYFUNCTION("""COMPUTED_VALUE"""),"sabhidalgo21@gmail.com")</f>
        <v>sabhidalgo21@gmail.com</v>
      </c>
      <c r="L120" s="36" t="str">
        <f ca="1">IFERROR(__xludf.DUMMYFUNCTION("""COMPUTED_VALUE"""),"Masculino")</f>
        <v>Masculino</v>
      </c>
      <c r="M120" s="36" t="str">
        <f ca="1">IFERROR(__xludf.DUMMYFUNCTION("""COMPUTED_VALUE"""),"CVB")</f>
        <v>CVB</v>
      </c>
      <c r="N120" s="36" t="str">
        <f ca="1">IFERROR(__xludf.DUMMYFUNCTION("""COMPUTED_VALUE"""),"Interior (Optimist)")</f>
        <v>Interior (Optimist)</v>
      </c>
      <c r="O120" s="36" t="str">
        <f ca="1">IFERROR(__xludf.DUMMYFUNCTION("""COMPUTED_VALUE"""),"OPTIMIST TIMONELES")</f>
        <v>OPTIMIST TIMONELES</v>
      </c>
      <c r="P120" s="36"/>
      <c r="Q120" s="6">
        <f ca="1">IFERROR(__xludf.DUMMYFUNCTION("""COMPUTED_VALUE"""),4133)</f>
        <v>4133</v>
      </c>
      <c r="R120" s="38"/>
      <c r="S120" s="38"/>
      <c r="T120" s="38"/>
      <c r="U120" s="38"/>
      <c r="V120" s="38"/>
      <c r="W120" s="38"/>
      <c r="X120" s="38"/>
      <c r="Y120" s="38" t="str">
        <f ca="1">IFERROR(__xludf.DUMMYFUNCTION("""COMPUTED_VALUE"""),"61 790187 1 02")</f>
        <v>61 790187 1 02</v>
      </c>
      <c r="Z120" s="6" t="str">
        <f ca="1">IFERROR(__xludf.DUMMYFUNCTION("""COMPUTED_VALUE"""),"Si")</f>
        <v>Si</v>
      </c>
      <c r="AA120" s="6" t="str">
        <f ca="1">IFERROR(__xludf.DUMMYFUNCTION("""COMPUTED_VALUE"""),"Acepto")</f>
        <v>Acepto</v>
      </c>
      <c r="AB120" s="6" t="str">
        <f ca="1">IFERROR(__xludf.DUMMYFUNCTION("""COMPUTED_VALUE"""),"Terminado")</f>
        <v>Terminado</v>
      </c>
      <c r="AC120" s="6">
        <f ca="1">IFERROR(__xludf.DUMMYFUNCTION("""COMPUTED_VALUE"""),50000)</f>
        <v>50000</v>
      </c>
      <c r="AD120" s="6">
        <f ca="1">IFERROR(__xludf.DUMMYFUNCTION("""COMPUTED_VALUE"""),205539)</f>
        <v>205539</v>
      </c>
      <c r="AE120" s="38" t="str">
        <f ca="1">IFERROR(__xludf.DUMMYFUNCTION("""COMPUTED_VALUE"""),"Tarj 06-09")</f>
        <v>Tarj 06-09</v>
      </c>
      <c r="AF120" s="38"/>
      <c r="AG120" s="38"/>
      <c r="AH120" s="6"/>
      <c r="AI120" s="6"/>
    </row>
    <row r="121" spans="2:35" ht="13.2">
      <c r="B121" s="69">
        <f ca="1">IFERROR(__xludf.DUMMYFUNCTION("""COMPUTED_VALUE"""),45541.6610985069)</f>
        <v>45541.661098506898</v>
      </c>
      <c r="C121" s="36" t="str">
        <f ca="1">IFERROR(__xludf.DUMMYFUNCTION("""COMPUTED_VALUE"""),"EMILIA")</f>
        <v>EMILIA</v>
      </c>
      <c r="D121" s="36" t="str">
        <f ca="1">IFERROR(__xludf.DUMMYFUNCTION("""COMPUTED_VALUE"""),"VUGDELIJA")</f>
        <v>VUGDELIJA</v>
      </c>
      <c r="E121" s="36" t="str">
        <f ca="1">IFERROR(__xludf.DUMMYFUNCTION("""COMPUTED_VALUE"""),"CABA")</f>
        <v>CABA</v>
      </c>
      <c r="F121" s="36" t="str">
        <f ca="1">IFERROR(__xludf.DUMMYFUNCTION("""COMPUTED_VALUE"""),"ARG")</f>
        <v>ARG</v>
      </c>
      <c r="G121" s="36">
        <f ca="1">IFERROR(__xludf.DUMMYFUNCTION("""COMPUTED_VALUE"""),53083955)</f>
        <v>53083955</v>
      </c>
      <c r="H121" s="70">
        <f ca="1">IFERROR(__xludf.DUMMYFUNCTION("""COMPUTED_VALUE"""),41342)</f>
        <v>41342</v>
      </c>
      <c r="I121" s="36">
        <f ca="1">IFERROR(__xludf.DUMMYFUNCTION("""COMPUTED_VALUE"""),1140304773)</f>
        <v>1140304773</v>
      </c>
      <c r="J121" s="36">
        <f ca="1">IFERROR(__xludf.DUMMYFUNCTION("""COMPUTED_VALUE"""),1140304773)</f>
        <v>1140304773</v>
      </c>
      <c r="K121" s="36" t="str">
        <f ca="1">IFERROR(__xludf.DUMMYFUNCTION("""COMPUTED_VALUE"""),"ppvugde@gmail.com")</f>
        <v>ppvugde@gmail.com</v>
      </c>
      <c r="L121" s="36" t="str">
        <f ca="1">IFERROR(__xludf.DUMMYFUNCTION("""COMPUTED_VALUE"""),"Femenino")</f>
        <v>Femenino</v>
      </c>
      <c r="M121" s="36" t="str">
        <f ca="1">IFERROR(__xludf.DUMMYFUNCTION("""COMPUTED_VALUE"""),"CUBA")</f>
        <v>CUBA</v>
      </c>
      <c r="N121" s="36" t="str">
        <f ca="1">IFERROR(__xludf.DUMMYFUNCTION("""COMPUTED_VALUE"""),"Femenino")</f>
        <v>Femenino</v>
      </c>
      <c r="O121" s="36" t="str">
        <f ca="1">IFERROR(__xludf.DUMMYFUNCTION("""COMPUTED_VALUE"""),"OPTIMIST TIMONELES")</f>
        <v>OPTIMIST TIMONELES</v>
      </c>
      <c r="P121" s="36"/>
      <c r="Q121" s="6">
        <f ca="1">IFERROR(__xludf.DUMMYFUNCTION("""COMPUTED_VALUE"""),3872)</f>
        <v>3872</v>
      </c>
      <c r="R121" s="38"/>
      <c r="S121" s="38"/>
      <c r="T121" s="38"/>
      <c r="U121" s="38"/>
      <c r="V121" s="38"/>
      <c r="W121" s="38"/>
      <c r="X121" s="38"/>
      <c r="Y121" s="38" t="str">
        <f ca="1">IFERROR(__xludf.DUMMYFUNCTION("""COMPUTED_VALUE"""),"OESDE  61 472762 5 02")</f>
        <v>OESDE  61 472762 5 02</v>
      </c>
      <c r="Z121" s="6" t="str">
        <f ca="1">IFERROR(__xludf.DUMMYFUNCTION("""COMPUTED_VALUE"""),"Si")</f>
        <v>Si</v>
      </c>
      <c r="AA121" s="6" t="str">
        <f ca="1">IFERROR(__xludf.DUMMYFUNCTION("""COMPUTED_VALUE"""),"Acepto")</f>
        <v>Acepto</v>
      </c>
      <c r="AB121" s="6" t="str">
        <f ca="1">IFERROR(__xludf.DUMMYFUNCTION("""COMPUTED_VALUE"""),"Terminado")</f>
        <v>Terminado</v>
      </c>
      <c r="AC121" s="6">
        <f ca="1">IFERROR(__xludf.DUMMYFUNCTION("""COMPUTED_VALUE"""),50000)</f>
        <v>50000</v>
      </c>
      <c r="AD121" s="6">
        <f ca="1">IFERROR(__xludf.DUMMYFUNCTION("""COMPUTED_VALUE"""),205547)</f>
        <v>205547</v>
      </c>
      <c r="AE121" s="38" t="str">
        <f ca="1">IFERROR(__xludf.DUMMYFUNCTION("""COMPUTED_VALUE"""),"TRF 06-09")</f>
        <v>TRF 06-09</v>
      </c>
      <c r="AF121" s="38"/>
      <c r="AG121" s="38"/>
      <c r="AH121" s="6"/>
      <c r="AI121" s="6"/>
    </row>
    <row r="122" spans="2:35" ht="13.2">
      <c r="B122" s="69">
        <f ca="1">IFERROR(__xludf.DUMMYFUNCTION("""COMPUTED_VALUE"""),45541.6997219212)</f>
        <v>45541.699721921199</v>
      </c>
      <c r="C122" s="36" t="str">
        <f ca="1">IFERROR(__xludf.DUMMYFUNCTION("""COMPUTED_VALUE"""),"Joaquin ")</f>
        <v xml:space="preserve">Joaquin </v>
      </c>
      <c r="D122" s="36" t="str">
        <f ca="1">IFERROR(__xludf.DUMMYFUNCTION("""COMPUTED_VALUE"""),"Dono")</f>
        <v>Dono</v>
      </c>
      <c r="E122" s="36" t="str">
        <f ca="1">IFERROR(__xludf.DUMMYFUNCTION("""COMPUTED_VALUE"""),"Bs As")</f>
        <v>Bs As</v>
      </c>
      <c r="F122" s="36" t="str">
        <f ca="1">IFERROR(__xludf.DUMMYFUNCTION("""COMPUTED_VALUE"""),"ARG")</f>
        <v>ARG</v>
      </c>
      <c r="G122" s="36">
        <f ca="1">IFERROR(__xludf.DUMMYFUNCTION("""COMPUTED_VALUE"""),50320674)</f>
        <v>50320674</v>
      </c>
      <c r="H122" s="70">
        <f ca="1">IFERROR(__xludf.DUMMYFUNCTION("""COMPUTED_VALUE"""),40341)</f>
        <v>40341</v>
      </c>
      <c r="I122" s="36">
        <f ca="1">IFERROR(__xludf.DUMMYFUNCTION("""COMPUTED_VALUE"""),1165078788)</f>
        <v>1165078788</v>
      </c>
      <c r="J122" s="36">
        <f ca="1">IFERROR(__xludf.DUMMYFUNCTION("""COMPUTED_VALUE"""),1165078788)</f>
        <v>1165078788</v>
      </c>
      <c r="K122" s="36" t="str">
        <f ca="1">IFERROR(__xludf.DUMMYFUNCTION("""COMPUTED_VALUE"""),"hechi2000@yahoo.com.ar ")</f>
        <v xml:space="preserve">hechi2000@yahoo.com.ar </v>
      </c>
      <c r="L122" s="36" t="str">
        <f ca="1">IFERROR(__xludf.DUMMYFUNCTION("""COMPUTED_VALUE"""),"Masculino")</f>
        <v>Masculino</v>
      </c>
      <c r="M122" s="36" t="str">
        <f ca="1">IFERROR(__xludf.DUMMYFUNCTION("""COMPUTED_VALUE"""),"CVSI")</f>
        <v>CVSI</v>
      </c>
      <c r="N122" s="36"/>
      <c r="O122" s="36" t="str">
        <f ca="1">IFERROR(__xludf.DUMMYFUNCTION("""COMPUTED_VALUE"""),"OPTIMIST TIMONELES")</f>
        <v>OPTIMIST TIMONELES</v>
      </c>
      <c r="P122" s="36"/>
      <c r="Q122" s="6">
        <f ca="1">IFERROR(__xludf.DUMMYFUNCTION("""COMPUTED_VALUE"""),3713)</f>
        <v>3713</v>
      </c>
      <c r="R122" s="38"/>
      <c r="S122" s="38"/>
      <c r="T122" s="38"/>
      <c r="U122" s="38"/>
      <c r="V122" s="38"/>
      <c r="W122" s="38"/>
      <c r="X122" s="38"/>
      <c r="Y122" s="38" t="str">
        <f ca="1">IFERROR(__xludf.DUMMYFUNCTION("""COMPUTED_VALUE"""),"Accord salud")</f>
        <v>Accord salud</v>
      </c>
      <c r="Z122" s="6" t="str">
        <f ca="1">IFERROR(__xludf.DUMMYFUNCTION("""COMPUTED_VALUE"""),"No")</f>
        <v>No</v>
      </c>
      <c r="AA122" s="6" t="str">
        <f ca="1">IFERROR(__xludf.DUMMYFUNCTION("""COMPUTED_VALUE"""),"Acepto")</f>
        <v>Acepto</v>
      </c>
      <c r="AB122" s="6" t="str">
        <f ca="1">IFERROR(__xludf.DUMMYFUNCTION("""COMPUTED_VALUE"""),"Pendiente")</f>
        <v>Pendiente</v>
      </c>
      <c r="AC122" s="6"/>
      <c r="AD122" s="6"/>
      <c r="AE122" s="38"/>
      <c r="AF122" s="38"/>
      <c r="AG122" s="38"/>
      <c r="AH122" s="6"/>
      <c r="AI122" s="6"/>
    </row>
    <row r="123" spans="2:35" ht="13.2">
      <c r="B123" s="35">
        <f ca="1">IFERROR(__xludf.DUMMYFUNCTION("""COMPUTED_VALUE"""),45541.7099878125)</f>
        <v>45541.709987812501</v>
      </c>
      <c r="C123" s="6" t="str">
        <f ca="1">IFERROR(__xludf.DUMMYFUNCTION("""COMPUTED_VALUE"""),"Manu")</f>
        <v>Manu</v>
      </c>
      <c r="D123" s="6" t="str">
        <f ca="1">IFERROR(__xludf.DUMMYFUNCTION("""COMPUTED_VALUE"""),"Cichowolski")</f>
        <v>Cichowolski</v>
      </c>
      <c r="E123" s="6" t="str">
        <f ca="1">IFERROR(__xludf.DUMMYFUNCTION("""COMPUTED_VALUE"""),"CABA")</f>
        <v>CABA</v>
      </c>
      <c r="F123" s="38" t="str">
        <f ca="1">IFERROR(__xludf.DUMMYFUNCTION("""COMPUTED_VALUE"""),"ARG")</f>
        <v>ARG</v>
      </c>
      <c r="G123" s="6">
        <f ca="1">IFERROR(__xludf.DUMMYFUNCTION("""COMPUTED_VALUE"""),50155666)</f>
        <v>50155666</v>
      </c>
      <c r="H123" s="37">
        <f ca="1">IFERROR(__xludf.DUMMYFUNCTION("""COMPUTED_VALUE"""),40202)</f>
        <v>40202</v>
      </c>
      <c r="I123" s="38">
        <f ca="1">IFERROR(__xludf.DUMMYFUNCTION("""COMPUTED_VALUE"""),1132341376)</f>
        <v>1132341376</v>
      </c>
      <c r="J123" s="38">
        <f ca="1">IFERROR(__xludf.DUMMYFUNCTION("""COMPUTED_VALUE"""),1156419068)</f>
        <v>1156419068</v>
      </c>
      <c r="K123" s="38" t="str">
        <f ca="1">IFERROR(__xludf.DUMMYFUNCTION("""COMPUTED_VALUE"""),"miguelcicho@gmail.com")</f>
        <v>miguelcicho@gmail.com</v>
      </c>
      <c r="L123" s="38" t="str">
        <f ca="1">IFERROR(__xludf.DUMMYFUNCTION("""COMPUTED_VALUE"""),"Masculino")</f>
        <v>Masculino</v>
      </c>
      <c r="M123" s="38" t="str">
        <f ca="1">IFERROR(__xludf.DUMMYFUNCTION("""COMPUTED_VALUE"""),"CPNLB")</f>
        <v>CPNLB</v>
      </c>
      <c r="N123" s="38"/>
      <c r="O123" s="38" t="str">
        <f ca="1">IFERROR(__xludf.DUMMYFUNCTION("""COMPUTED_VALUE"""),"OPTIMIST TIMONELES")</f>
        <v>OPTIMIST TIMONELES</v>
      </c>
      <c r="P123" s="38"/>
      <c r="Q123" s="6">
        <f ca="1">IFERROR(__xludf.DUMMYFUNCTION("""COMPUTED_VALUE"""),3889)</f>
        <v>3889</v>
      </c>
      <c r="R123" s="38"/>
      <c r="S123" s="38"/>
      <c r="T123" s="38"/>
      <c r="U123" s="38"/>
      <c r="V123" s="38"/>
      <c r="W123" s="38"/>
      <c r="X123" s="38"/>
      <c r="Y123" s="38" t="str">
        <f ca="1">IFERROR(__xludf.DUMMYFUNCTION("""COMPUTED_VALUE"""),"Dosuba")</f>
        <v>Dosuba</v>
      </c>
      <c r="Z123" s="6" t="str">
        <f ca="1">IFERROR(__xludf.DUMMYFUNCTION("""COMPUTED_VALUE"""),"Si")</f>
        <v>Si</v>
      </c>
      <c r="AA123" s="6" t="str">
        <f ca="1">IFERROR(__xludf.DUMMYFUNCTION("""COMPUTED_VALUE"""),"Acepto")</f>
        <v>Acepto</v>
      </c>
      <c r="AB123" s="6" t="str">
        <f ca="1">IFERROR(__xludf.DUMMYFUNCTION("""COMPUTED_VALUE"""),"Pendiente")</f>
        <v>Pendiente</v>
      </c>
      <c r="AC123" s="6"/>
      <c r="AD123" s="6"/>
      <c r="AE123" s="38"/>
      <c r="AF123" s="38"/>
      <c r="AG123" s="38"/>
      <c r="AH123" s="6"/>
      <c r="AI123" s="6"/>
    </row>
    <row r="124" spans="2:35" ht="13.2">
      <c r="B124" s="35">
        <f ca="1">IFERROR(__xludf.DUMMYFUNCTION("""COMPUTED_VALUE"""),45541.7113074884)</f>
        <v>45541.711307488396</v>
      </c>
      <c r="C124" s="6" t="str">
        <f ca="1">IFERROR(__xludf.DUMMYFUNCTION("""COMPUTED_VALUE"""),"Santi")</f>
        <v>Santi</v>
      </c>
      <c r="D124" s="6" t="str">
        <f ca="1">IFERROR(__xludf.DUMMYFUNCTION("""COMPUTED_VALUE"""),"Cichowolski")</f>
        <v>Cichowolski</v>
      </c>
      <c r="E124" s="6" t="str">
        <f ca="1">IFERROR(__xludf.DUMMYFUNCTION("""COMPUTED_VALUE"""),"caba")</f>
        <v>caba</v>
      </c>
      <c r="F124" s="38" t="str">
        <f ca="1">IFERROR(__xludf.DUMMYFUNCTION("""COMPUTED_VALUE"""),"ARG")</f>
        <v>ARG</v>
      </c>
      <c r="G124" s="6">
        <f ca="1">IFERROR(__xludf.DUMMYFUNCTION("""COMPUTED_VALUE"""),53236907)</f>
        <v>53236907</v>
      </c>
      <c r="H124" s="37">
        <f ca="1">IFERROR(__xludf.DUMMYFUNCTION("""COMPUTED_VALUE"""),41375)</f>
        <v>41375</v>
      </c>
      <c r="I124" s="38">
        <f ca="1">IFERROR(__xludf.DUMMYFUNCTION("""COMPUTED_VALUE"""),1132341376)</f>
        <v>1132341376</v>
      </c>
      <c r="J124" s="38">
        <f ca="1">IFERROR(__xludf.DUMMYFUNCTION("""COMPUTED_VALUE"""),1156419068)</f>
        <v>1156419068</v>
      </c>
      <c r="K124" s="38" t="str">
        <f ca="1">IFERROR(__xludf.DUMMYFUNCTION("""COMPUTED_VALUE"""),"miguelcicho@gmail.com")</f>
        <v>miguelcicho@gmail.com</v>
      </c>
      <c r="L124" s="38" t="str">
        <f ca="1">IFERROR(__xludf.DUMMYFUNCTION("""COMPUTED_VALUE"""),"Masculino")</f>
        <v>Masculino</v>
      </c>
      <c r="M124" s="38" t="str">
        <f ca="1">IFERROR(__xludf.DUMMYFUNCTION("""COMPUTED_VALUE"""),"CPNLB")</f>
        <v>CPNLB</v>
      </c>
      <c r="N124" s="38"/>
      <c r="O124" s="38" t="str">
        <f ca="1">IFERROR(__xludf.DUMMYFUNCTION("""COMPUTED_VALUE"""),"OPTIMIST TIMONELES")</f>
        <v>OPTIMIST TIMONELES</v>
      </c>
      <c r="P124" s="38"/>
      <c r="Q124" s="6">
        <f ca="1">IFERROR(__xludf.DUMMYFUNCTION("""COMPUTED_VALUE"""),3992)</f>
        <v>3992</v>
      </c>
      <c r="R124" s="38"/>
      <c r="S124" s="38"/>
      <c r="T124" s="38"/>
      <c r="U124" s="38"/>
      <c r="V124" s="38"/>
      <c r="W124" s="38"/>
      <c r="X124" s="38"/>
      <c r="Y124" s="38" t="str">
        <f ca="1">IFERROR(__xludf.DUMMYFUNCTION("""COMPUTED_VALUE"""),"Dosuba")</f>
        <v>Dosuba</v>
      </c>
      <c r="Z124" s="6" t="str">
        <f ca="1">IFERROR(__xludf.DUMMYFUNCTION("""COMPUTED_VALUE"""),"Si")</f>
        <v>Si</v>
      </c>
      <c r="AA124" s="6" t="str">
        <f ca="1">IFERROR(__xludf.DUMMYFUNCTION("""COMPUTED_VALUE"""),"Acepto")</f>
        <v>Acepto</v>
      </c>
      <c r="AB124" s="6" t="str">
        <f ca="1">IFERROR(__xludf.DUMMYFUNCTION("""COMPUTED_VALUE"""),"Pendiente")</f>
        <v>Pendiente</v>
      </c>
      <c r="AC124" s="6"/>
      <c r="AD124" s="6"/>
      <c r="AE124" s="38"/>
      <c r="AF124" s="38"/>
      <c r="AG124" s="38"/>
      <c r="AH124" s="6"/>
      <c r="AI124" s="6"/>
    </row>
    <row r="125" spans="2:35" ht="13.2">
      <c r="B125" s="35">
        <f ca="1">IFERROR(__xludf.DUMMYFUNCTION("""COMPUTED_VALUE"""),45541.7710758333)</f>
        <v>45541.771075833298</v>
      </c>
      <c r="C125" s="6" t="str">
        <f ca="1">IFERROR(__xludf.DUMMYFUNCTION("""COMPUTED_VALUE"""),"Abril")</f>
        <v>Abril</v>
      </c>
      <c r="D125" s="6" t="str">
        <f ca="1">IFERROR(__xludf.DUMMYFUNCTION("""COMPUTED_VALUE"""),"Baldi")</f>
        <v>Baldi</v>
      </c>
      <c r="E125" s="6" t="str">
        <f ca="1">IFERROR(__xludf.DUMMYFUNCTION("""COMPUTED_VALUE"""),"CABA")</f>
        <v>CABA</v>
      </c>
      <c r="F125" s="38" t="str">
        <f ca="1">IFERROR(__xludf.DUMMYFUNCTION("""COMPUTED_VALUE"""),"ARG")</f>
        <v>ARG</v>
      </c>
      <c r="G125" s="6">
        <f ca="1">IFERROR(__xludf.DUMMYFUNCTION("""COMPUTED_VALUE"""),51123601)</f>
        <v>51123601</v>
      </c>
      <c r="H125" s="37">
        <f ca="1">IFERROR(__xludf.DUMMYFUNCTION("""COMPUTED_VALUE"""),40658)</f>
        <v>40658</v>
      </c>
      <c r="I125" s="38">
        <f ca="1">IFERROR(__xludf.DUMMYFUNCTION("""COMPUTED_VALUE"""),561273635)</f>
        <v>561273635</v>
      </c>
      <c r="J125" s="38">
        <f ca="1">IFERROR(__xludf.DUMMYFUNCTION("""COMPUTED_VALUE"""),561273635)</f>
        <v>561273635</v>
      </c>
      <c r="K125" s="38" t="str">
        <f ca="1">IFERROR(__xludf.DUMMYFUNCTION("""COMPUTED_VALUE"""),"baldijulio@hotmail.com")</f>
        <v>baldijulio@hotmail.com</v>
      </c>
      <c r="L125" s="38" t="str">
        <f ca="1">IFERROR(__xludf.DUMMYFUNCTION("""COMPUTED_VALUE"""),"Femenino")</f>
        <v>Femenino</v>
      </c>
      <c r="M125" s="38" t="str">
        <f ca="1">IFERROR(__xludf.DUMMYFUNCTION("""COMPUTED_VALUE"""),"YCA")</f>
        <v>YCA</v>
      </c>
      <c r="N125" s="38" t="str">
        <f ca="1">IFERROR(__xludf.DUMMYFUNCTION("""COMPUTED_VALUE"""),"Femenino")</f>
        <v>Femenino</v>
      </c>
      <c r="O125" s="38" t="str">
        <f ca="1">IFERROR(__xludf.DUMMYFUNCTION("""COMPUTED_VALUE"""),"OPTIMIST TIMONELES")</f>
        <v>OPTIMIST TIMONELES</v>
      </c>
      <c r="P125" s="38"/>
      <c r="Q125" s="6">
        <f ca="1">IFERROR(__xludf.DUMMYFUNCTION("""COMPUTED_VALUE"""),4082)</f>
        <v>4082</v>
      </c>
      <c r="R125" s="38" t="str">
        <f ca="1">IFERROR(__xludf.DUMMYFUNCTION("""COMPUTED_VALUE"""),"Madame Queen")</f>
        <v>Madame Queen</v>
      </c>
      <c r="S125" s="38"/>
      <c r="T125" s="38"/>
      <c r="U125" s="38"/>
      <c r="V125" s="38"/>
      <c r="W125" s="38"/>
      <c r="X125" s="38"/>
      <c r="Y125" s="38" t="str">
        <f ca="1">IFERROR(__xludf.DUMMYFUNCTION("""COMPUTED_VALUE"""),"DOSUBA")</f>
        <v>DOSUBA</v>
      </c>
      <c r="Z125" s="6" t="str">
        <f ca="1">IFERROR(__xludf.DUMMYFUNCTION("""COMPUTED_VALUE"""),"No")</f>
        <v>No</v>
      </c>
      <c r="AA125" s="6" t="str">
        <f ca="1">IFERROR(__xludf.DUMMYFUNCTION("""COMPUTED_VALUE"""),"Acepto")</f>
        <v>Acepto</v>
      </c>
      <c r="AB125" s="6" t="str">
        <f ca="1">IFERROR(__xludf.DUMMYFUNCTION("""COMPUTED_VALUE"""),"Pendiente")</f>
        <v>Pendiente</v>
      </c>
      <c r="AC125" s="6"/>
      <c r="AD125" s="6"/>
      <c r="AE125" s="38"/>
      <c r="AF125" s="38"/>
      <c r="AG125" s="38"/>
      <c r="AH125" s="6"/>
      <c r="AI125" s="6"/>
    </row>
    <row r="126" spans="2:35" ht="13.2">
      <c r="B126" s="35">
        <f ca="1">IFERROR(__xludf.DUMMYFUNCTION("""COMPUTED_VALUE"""),45541.8254161226)</f>
        <v>45541.8254161226</v>
      </c>
      <c r="C126" s="6" t="str">
        <f ca="1">IFERROR(__xludf.DUMMYFUNCTION("""COMPUTED_VALUE"""),"Catalina")</f>
        <v>Catalina</v>
      </c>
      <c r="D126" s="6" t="str">
        <f ca="1">IFERROR(__xludf.DUMMYFUNCTION("""COMPUTED_VALUE"""),"Gomez")</f>
        <v>Gomez</v>
      </c>
      <c r="E126" s="6" t="str">
        <f ca="1">IFERROR(__xludf.DUMMYFUNCTION("""COMPUTED_VALUE"""),"San Pedro")</f>
        <v>San Pedro</v>
      </c>
      <c r="F126" s="38" t="str">
        <f ca="1">IFERROR(__xludf.DUMMYFUNCTION("""COMPUTED_VALUE"""),"ARG")</f>
        <v>ARG</v>
      </c>
      <c r="G126" s="6">
        <f ca="1">IFERROR(__xludf.DUMMYFUNCTION("""COMPUTED_VALUE"""),51049622)</f>
        <v>51049622</v>
      </c>
      <c r="H126" s="37">
        <f ca="1">IFERROR(__xludf.DUMMYFUNCTION("""COMPUTED_VALUE"""),40751)</f>
        <v>40751</v>
      </c>
      <c r="I126" s="38">
        <f ca="1">IFERROR(__xludf.DUMMYFUNCTION("""COMPUTED_VALUE"""),3329310498)</f>
        <v>3329310498</v>
      </c>
      <c r="J126" s="38">
        <f ca="1">IFERROR(__xludf.DUMMYFUNCTION("""COMPUTED_VALUE"""),15605497)</f>
        <v>15605497</v>
      </c>
      <c r="K126" s="38" t="str">
        <f ca="1">IFERROR(__xludf.DUMMYFUNCTION("""COMPUTED_VALUE"""),"noelmuntane@yahoo.es")</f>
        <v>noelmuntane@yahoo.es</v>
      </c>
      <c r="L126" s="38" t="str">
        <f ca="1">IFERROR(__xludf.DUMMYFUNCTION("""COMPUTED_VALUE"""),"Femenino")</f>
        <v>Femenino</v>
      </c>
      <c r="M126" s="38" t="str">
        <f ca="1">IFERROR(__xludf.DUMMYFUNCTION("""COMPUTED_VALUE"""),"CNSP")</f>
        <v>CNSP</v>
      </c>
      <c r="N126" s="38" t="str">
        <f ca="1">IFERROR(__xludf.DUMMYFUNCTION("""COMPUTED_VALUE"""),"Femenino, Interior (Optimist)")</f>
        <v>Femenino, Interior (Optimist)</v>
      </c>
      <c r="O126" s="38" t="str">
        <f ca="1">IFERROR(__xludf.DUMMYFUNCTION("""COMPUTED_VALUE"""),"OPTIMIST TIMONELES")</f>
        <v>OPTIMIST TIMONELES</v>
      </c>
      <c r="P126" s="38"/>
      <c r="Q126" s="6">
        <f ca="1">IFERROR(__xludf.DUMMYFUNCTION("""COMPUTED_VALUE"""),3954)</f>
        <v>3954</v>
      </c>
      <c r="R126" s="38"/>
      <c r="S126" s="38"/>
      <c r="T126" s="38"/>
      <c r="U126" s="38"/>
      <c r="V126" s="38"/>
      <c r="W126" s="38"/>
      <c r="X126" s="38"/>
      <c r="Y126" s="38">
        <f ca="1">IFERROR(__xludf.DUMMYFUNCTION("""COMPUTED_VALUE"""),226524238203)</f>
        <v>226524238203</v>
      </c>
      <c r="Z126" s="6" t="str">
        <f ca="1">IFERROR(__xludf.DUMMYFUNCTION("""COMPUTED_VALUE"""),"Si")</f>
        <v>Si</v>
      </c>
      <c r="AA126" s="6" t="str">
        <f ca="1">IFERROR(__xludf.DUMMYFUNCTION("""COMPUTED_VALUE"""),"Acepto")</f>
        <v>Acepto</v>
      </c>
      <c r="AB126" s="6" t="str">
        <f ca="1">IFERROR(__xludf.DUMMYFUNCTION("""COMPUTED_VALUE"""),"Pendiente")</f>
        <v>Pendiente</v>
      </c>
      <c r="AC126" s="6"/>
      <c r="AD126" s="6"/>
      <c r="AE126" s="38"/>
      <c r="AF126" s="38"/>
      <c r="AG126" s="38"/>
      <c r="AH126" s="6"/>
      <c r="AI126" s="6"/>
    </row>
    <row r="127" spans="2:35" ht="13.2">
      <c r="C127" s="6"/>
      <c r="D127" s="6"/>
      <c r="E127" s="6"/>
      <c r="G127" s="6"/>
      <c r="Q127" s="6"/>
      <c r="Z127" s="6"/>
      <c r="AA127" s="6"/>
      <c r="AB127" s="6"/>
      <c r="AC127" s="6"/>
      <c r="AD127" s="6"/>
      <c r="AH127" s="6"/>
      <c r="AI127" s="6"/>
    </row>
    <row r="128" spans="2:35" ht="13.2">
      <c r="C128" s="6"/>
      <c r="D128" s="6"/>
      <c r="E128" s="6"/>
      <c r="G128" s="6"/>
      <c r="Q128" s="6"/>
      <c r="Z128" s="6"/>
      <c r="AA128" s="6"/>
      <c r="AB128" s="6"/>
      <c r="AC128" s="6"/>
      <c r="AD128" s="6"/>
      <c r="AH128" s="6"/>
      <c r="AI128" s="6"/>
    </row>
    <row r="129" spans="3:35" ht="13.2">
      <c r="C129" s="6"/>
      <c r="D129" s="6"/>
      <c r="E129" s="6"/>
      <c r="G129" s="6"/>
      <c r="Q129" s="6"/>
      <c r="Z129" s="6"/>
      <c r="AA129" s="6"/>
      <c r="AB129" s="6"/>
      <c r="AC129" s="6"/>
      <c r="AD129" s="6"/>
      <c r="AH129" s="6"/>
      <c r="AI129" s="6"/>
    </row>
    <row r="130" spans="3:35" ht="13.2">
      <c r="C130" s="6"/>
      <c r="D130" s="6"/>
      <c r="E130" s="6"/>
      <c r="G130" s="6"/>
      <c r="Q130" s="6"/>
      <c r="Z130" s="6"/>
      <c r="AA130" s="6"/>
      <c r="AB130" s="6"/>
      <c r="AC130" s="6"/>
      <c r="AD130" s="6"/>
      <c r="AH130" s="6"/>
      <c r="AI130" s="6"/>
    </row>
    <row r="131" spans="3:35" ht="13.2">
      <c r="C131" s="6"/>
      <c r="D131" s="6"/>
      <c r="E131" s="6"/>
      <c r="G131" s="6"/>
      <c r="Q131" s="6"/>
      <c r="Z131" s="6"/>
      <c r="AA131" s="6"/>
      <c r="AB131" s="6"/>
      <c r="AC131" s="6"/>
      <c r="AD131" s="6"/>
      <c r="AH131" s="6"/>
      <c r="AI131" s="6"/>
    </row>
    <row r="132" spans="3:35" ht="13.2">
      <c r="C132" s="6"/>
      <c r="D132" s="6"/>
      <c r="E132" s="6"/>
      <c r="G132" s="6"/>
      <c r="Q132" s="6"/>
      <c r="Z132" s="6"/>
      <c r="AA132" s="6"/>
      <c r="AB132" s="6"/>
      <c r="AC132" s="6"/>
      <c r="AD132" s="6"/>
      <c r="AH132" s="6"/>
      <c r="AI132" s="6"/>
    </row>
    <row r="133" spans="3:35" ht="13.2">
      <c r="C133" s="6"/>
      <c r="D133" s="6"/>
      <c r="E133" s="6"/>
      <c r="G133" s="6"/>
      <c r="Q133" s="6"/>
      <c r="Z133" s="6"/>
      <c r="AA133" s="6"/>
      <c r="AB133" s="6"/>
      <c r="AC133" s="6"/>
      <c r="AD133" s="6"/>
      <c r="AH133" s="6"/>
      <c r="AI133" s="6"/>
    </row>
    <row r="134" spans="3:35" ht="13.2">
      <c r="C134" s="6"/>
      <c r="D134" s="6"/>
      <c r="E134" s="6"/>
      <c r="G134" s="6"/>
      <c r="Q134" s="6"/>
      <c r="Z134" s="6"/>
      <c r="AA134" s="6"/>
      <c r="AB134" s="6"/>
      <c r="AC134" s="6"/>
      <c r="AD134" s="6"/>
      <c r="AH134" s="6"/>
      <c r="AI134" s="6"/>
    </row>
    <row r="135" spans="3:35" ht="13.2">
      <c r="C135" s="6"/>
      <c r="D135" s="6"/>
      <c r="E135" s="6"/>
      <c r="G135" s="6"/>
      <c r="Q135" s="6"/>
      <c r="Z135" s="6"/>
      <c r="AA135" s="6"/>
      <c r="AB135" s="6"/>
      <c r="AC135" s="6"/>
      <c r="AD135" s="6"/>
      <c r="AH135" s="6"/>
      <c r="AI135" s="6"/>
    </row>
    <row r="136" spans="3:35" ht="13.2">
      <c r="C136" s="6"/>
      <c r="D136" s="6"/>
      <c r="E136" s="6"/>
      <c r="G136" s="6"/>
      <c r="Q136" s="6"/>
      <c r="Z136" s="6"/>
      <c r="AA136" s="6"/>
      <c r="AB136" s="6"/>
      <c r="AC136" s="6"/>
      <c r="AD136" s="6"/>
      <c r="AH136" s="6"/>
      <c r="AI136" s="6"/>
    </row>
    <row r="137" spans="3:35" ht="13.2">
      <c r="C137" s="6"/>
      <c r="D137" s="6"/>
      <c r="E137" s="6"/>
      <c r="G137" s="6"/>
      <c r="Q137" s="6"/>
      <c r="Z137" s="6"/>
      <c r="AA137" s="6"/>
      <c r="AB137" s="6"/>
      <c r="AC137" s="6"/>
      <c r="AD137" s="6"/>
      <c r="AH137" s="6"/>
      <c r="AI137" s="6"/>
    </row>
    <row r="138" spans="3:35" ht="13.2">
      <c r="C138" s="6"/>
      <c r="D138" s="6"/>
      <c r="E138" s="6"/>
      <c r="G138" s="6"/>
      <c r="Q138" s="6"/>
      <c r="Z138" s="6"/>
      <c r="AA138" s="6"/>
      <c r="AB138" s="6"/>
      <c r="AC138" s="6"/>
      <c r="AD138" s="6"/>
      <c r="AH138" s="6"/>
      <c r="AI138" s="6"/>
    </row>
    <row r="139" spans="3:35" ht="13.2">
      <c r="C139" s="6"/>
      <c r="D139" s="6"/>
      <c r="E139" s="6"/>
      <c r="G139" s="6"/>
      <c r="Q139" s="6"/>
      <c r="Z139" s="6"/>
      <c r="AA139" s="6"/>
      <c r="AB139" s="6"/>
      <c r="AC139" s="6"/>
      <c r="AD139" s="6"/>
      <c r="AH139" s="6"/>
      <c r="AI139" s="6"/>
    </row>
    <row r="140" spans="3:35" ht="13.2">
      <c r="C140" s="6"/>
      <c r="D140" s="6"/>
      <c r="E140" s="6"/>
      <c r="G140" s="6"/>
      <c r="Q140" s="6"/>
      <c r="Z140" s="6"/>
      <c r="AA140" s="6"/>
      <c r="AB140" s="6"/>
      <c r="AC140" s="6"/>
      <c r="AD140" s="6"/>
    </row>
    <row r="141" spans="3:35" ht="13.2">
      <c r="C141" s="6"/>
      <c r="D141" s="6"/>
      <c r="E141" s="6"/>
      <c r="G141" s="6"/>
      <c r="Q141" s="6"/>
      <c r="Z141" s="6"/>
      <c r="AA141" s="6"/>
      <c r="AB141" s="6"/>
      <c r="AC141" s="6"/>
      <c r="AD141" s="6"/>
    </row>
    <row r="142" spans="3:35" ht="13.2">
      <c r="C142" s="6"/>
      <c r="D142" s="6"/>
      <c r="E142" s="6"/>
      <c r="G142" s="6"/>
      <c r="Q142" s="6"/>
      <c r="Z142" s="6"/>
      <c r="AA142" s="6"/>
      <c r="AB142" s="6"/>
      <c r="AC142" s="6"/>
      <c r="AD142" s="6"/>
    </row>
    <row r="143" spans="3:35" ht="13.2">
      <c r="C143" s="6"/>
      <c r="D143" s="6"/>
      <c r="E143" s="6"/>
      <c r="G143" s="6"/>
      <c r="Q143" s="6"/>
      <c r="Z143" s="6"/>
      <c r="AA143" s="6"/>
      <c r="AB143" s="6"/>
      <c r="AC143" s="6"/>
      <c r="AD143" s="6"/>
    </row>
    <row r="144" spans="3:35" ht="13.2">
      <c r="C144" s="6"/>
      <c r="D144" s="6"/>
      <c r="E144" s="6"/>
      <c r="G144" s="6"/>
      <c r="Q144" s="6"/>
      <c r="Z144" s="6"/>
      <c r="AA144" s="6"/>
      <c r="AB144" s="6"/>
      <c r="AC144" s="6"/>
      <c r="AD144" s="6"/>
    </row>
    <row r="145" spans="3:30" ht="13.2">
      <c r="C145" s="6"/>
      <c r="D145" s="6"/>
      <c r="E145" s="6"/>
      <c r="G145" s="6"/>
      <c r="Q145" s="6"/>
      <c r="Z145" s="6"/>
      <c r="AA145" s="6"/>
      <c r="AB145" s="6"/>
      <c r="AC145" s="6"/>
      <c r="AD145" s="6"/>
    </row>
    <row r="146" spans="3:30" ht="13.2">
      <c r="C146" s="6"/>
      <c r="D146" s="6"/>
      <c r="E146" s="6"/>
      <c r="G146" s="6"/>
      <c r="Q146" s="6"/>
      <c r="Z146" s="6"/>
      <c r="AA146" s="6"/>
      <c r="AB146" s="6"/>
      <c r="AC146" s="6"/>
      <c r="AD146" s="6"/>
    </row>
    <row r="147" spans="3:30" ht="13.2">
      <c r="C147" s="6"/>
      <c r="D147" s="6"/>
      <c r="E147" s="6"/>
      <c r="G147" s="6"/>
      <c r="Q147" s="6"/>
      <c r="Z147" s="6"/>
      <c r="AA147" s="6"/>
      <c r="AB147" s="6"/>
      <c r="AC147" s="6"/>
      <c r="AD147" s="6"/>
    </row>
    <row r="148" spans="3:30" ht="13.2">
      <c r="C148" s="6"/>
      <c r="D148" s="6"/>
      <c r="E148" s="6"/>
      <c r="G148" s="6"/>
      <c r="Q148" s="6"/>
      <c r="Z148" s="6"/>
      <c r="AA148" s="6"/>
      <c r="AB148" s="6"/>
      <c r="AC148" s="6"/>
      <c r="AD148" s="6"/>
    </row>
    <row r="149" spans="3:30" ht="13.2">
      <c r="C149" s="6"/>
      <c r="D149" s="6"/>
      <c r="E149" s="6"/>
      <c r="G149" s="6"/>
      <c r="Q149" s="6"/>
      <c r="Z149" s="6"/>
      <c r="AA149" s="6"/>
      <c r="AB149" s="6"/>
      <c r="AC149" s="6"/>
      <c r="AD149" s="6"/>
    </row>
    <row r="150" spans="3:30" ht="13.2">
      <c r="C150" s="6"/>
      <c r="D150" s="6"/>
      <c r="E150" s="6"/>
      <c r="G150" s="6"/>
      <c r="Q150" s="6"/>
      <c r="Z150" s="6"/>
      <c r="AA150" s="6"/>
      <c r="AB150" s="6"/>
      <c r="AC150" s="6"/>
      <c r="AD150" s="6"/>
    </row>
    <row r="151" spans="3:30" ht="13.2">
      <c r="C151" s="6"/>
      <c r="D151" s="6"/>
      <c r="E151" s="6"/>
      <c r="G151" s="6"/>
      <c r="Q151" s="6"/>
      <c r="Z151" s="6"/>
      <c r="AA151" s="6"/>
      <c r="AB151" s="6"/>
      <c r="AC151" s="6"/>
      <c r="AD151" s="6"/>
    </row>
    <row r="152" spans="3:30" ht="13.2">
      <c r="C152" s="6"/>
      <c r="D152" s="6"/>
      <c r="E152" s="6"/>
      <c r="G152" s="6"/>
      <c r="Q152" s="6"/>
      <c r="Z152" s="6"/>
      <c r="AA152" s="6"/>
      <c r="AB152" s="6"/>
      <c r="AC152" s="6"/>
      <c r="AD152" s="6"/>
    </row>
    <row r="153" spans="3:30" ht="13.2">
      <c r="C153" s="6"/>
      <c r="D153" s="6"/>
      <c r="E153" s="6"/>
      <c r="G153" s="6"/>
      <c r="Q153" s="6"/>
      <c r="Z153" s="6"/>
      <c r="AA153" s="6"/>
      <c r="AB153" s="6"/>
      <c r="AC153" s="6"/>
      <c r="AD153" s="6"/>
    </row>
    <row r="154" spans="3:30" ht="13.2">
      <c r="C154" s="6"/>
      <c r="D154" s="6"/>
      <c r="E154" s="6"/>
      <c r="G154" s="6"/>
      <c r="Q154" s="6"/>
      <c r="Z154" s="6"/>
      <c r="AA154" s="6"/>
      <c r="AB154" s="6"/>
      <c r="AC154" s="6"/>
      <c r="AD154" s="6"/>
    </row>
    <row r="155" spans="3:30" ht="13.2">
      <c r="C155" s="6"/>
      <c r="D155" s="6"/>
      <c r="E155" s="6"/>
      <c r="G155" s="6"/>
      <c r="Q155" s="6"/>
      <c r="Z155" s="6"/>
      <c r="AA155" s="6"/>
      <c r="AB155" s="6"/>
      <c r="AC155" s="6"/>
      <c r="AD155" s="6"/>
    </row>
    <row r="156" spans="3:30" ht="13.2">
      <c r="C156" s="6"/>
      <c r="D156" s="6"/>
      <c r="E156" s="6"/>
      <c r="G156" s="6"/>
      <c r="Q156" s="6"/>
      <c r="Z156" s="6"/>
      <c r="AA156" s="6"/>
      <c r="AB156" s="6"/>
      <c r="AC156" s="6"/>
      <c r="AD156" s="6"/>
    </row>
    <row r="157" spans="3:30" ht="13.2">
      <c r="C157" s="6"/>
      <c r="D157" s="6"/>
      <c r="E157" s="6"/>
      <c r="Q157" s="6"/>
      <c r="Z157" s="6"/>
      <c r="AA157" s="6"/>
      <c r="AB157" s="6"/>
      <c r="AC157" s="6"/>
      <c r="AD157" s="6"/>
    </row>
    <row r="158" spans="3:30" ht="13.2">
      <c r="C158" s="6"/>
      <c r="D158" s="6"/>
      <c r="E158" s="6"/>
      <c r="Q158" s="6"/>
      <c r="Z158" s="6"/>
      <c r="AA158" s="6"/>
      <c r="AB158" s="6"/>
      <c r="AC158" s="6"/>
      <c r="AD158" s="6"/>
    </row>
    <row r="159" spans="3:30" ht="13.2">
      <c r="C159" s="6"/>
      <c r="D159" s="6"/>
      <c r="E159" s="6"/>
      <c r="Q159" s="6"/>
      <c r="Z159" s="6"/>
      <c r="AA159" s="6"/>
      <c r="AB159" s="6"/>
      <c r="AC159" s="6"/>
      <c r="AD159" s="6"/>
    </row>
    <row r="160" spans="3:30" ht="13.2">
      <c r="C160" s="6"/>
      <c r="D160" s="6"/>
      <c r="E160" s="6"/>
      <c r="Q160" s="6"/>
      <c r="Z160" s="6"/>
      <c r="AA160" s="6"/>
      <c r="AB160" s="6"/>
      <c r="AC160" s="6"/>
      <c r="AD160" s="6"/>
    </row>
    <row r="161" spans="3:30" ht="13.2">
      <c r="C161" s="6"/>
      <c r="D161" s="6"/>
      <c r="E161" s="6"/>
      <c r="Q161" s="6"/>
      <c r="Z161" s="6"/>
      <c r="AA161" s="6"/>
      <c r="AB161" s="6"/>
      <c r="AC161" s="6"/>
      <c r="AD161" s="6"/>
    </row>
    <row r="162" spans="3:30" ht="13.2">
      <c r="C162" s="6"/>
      <c r="D162" s="6"/>
      <c r="E162" s="6"/>
      <c r="Q162" s="6"/>
      <c r="Z162" s="6"/>
      <c r="AA162" s="6"/>
      <c r="AB162" s="6"/>
      <c r="AC162" s="6"/>
      <c r="AD162" s="6"/>
    </row>
    <row r="163" spans="3:30" ht="13.2">
      <c r="C163" s="6"/>
      <c r="D163" s="6"/>
      <c r="E163" s="6"/>
      <c r="Q163" s="6"/>
      <c r="Z163" s="6"/>
      <c r="AA163" s="6"/>
      <c r="AB163" s="6"/>
      <c r="AC163" s="6"/>
      <c r="AD163" s="6"/>
    </row>
    <row r="164" spans="3:30" ht="13.2">
      <c r="C164" s="6"/>
      <c r="D164" s="6"/>
      <c r="E164" s="6"/>
      <c r="Q164" s="6"/>
      <c r="Z164" s="6"/>
      <c r="AA164" s="6"/>
      <c r="AB164" s="6"/>
      <c r="AC164" s="6"/>
      <c r="AD164" s="6"/>
    </row>
    <row r="165" spans="3:30" ht="13.2">
      <c r="C165" s="6"/>
      <c r="D165" s="6"/>
      <c r="E165" s="6"/>
      <c r="Q165" s="6"/>
      <c r="Z165" s="6"/>
      <c r="AA165" s="6"/>
      <c r="AB165" s="6"/>
      <c r="AC165" s="6"/>
      <c r="AD165" s="6"/>
    </row>
    <row r="166" spans="3:30" ht="13.2">
      <c r="C166" s="6"/>
      <c r="D166" s="6"/>
      <c r="E166" s="6"/>
      <c r="Q166" s="6"/>
      <c r="Z166" s="6"/>
      <c r="AA166" s="6"/>
      <c r="AB166" s="6"/>
      <c r="AC166" s="6"/>
      <c r="AD166" s="6"/>
    </row>
    <row r="167" spans="3:30" ht="13.2">
      <c r="C167" s="6"/>
      <c r="D167" s="6"/>
      <c r="E167" s="6"/>
      <c r="Q167" s="6"/>
      <c r="Z167" s="6"/>
      <c r="AA167" s="6"/>
      <c r="AB167" s="6"/>
      <c r="AC167" s="6"/>
      <c r="AD167" s="6"/>
    </row>
    <row r="168" spans="3:30" ht="13.2">
      <c r="C168" s="6"/>
      <c r="D168" s="6"/>
      <c r="E168" s="6"/>
      <c r="Q168" s="6"/>
      <c r="Z168" s="6"/>
      <c r="AA168" s="6"/>
      <c r="AB168" s="6"/>
      <c r="AC168" s="6"/>
      <c r="AD168" s="6"/>
    </row>
    <row r="169" spans="3:30" ht="13.2">
      <c r="C169" s="6"/>
      <c r="D169" s="6"/>
      <c r="E169" s="6"/>
      <c r="Q169" s="6"/>
      <c r="Z169" s="6"/>
      <c r="AA169" s="6"/>
      <c r="AB169" s="6"/>
      <c r="AC169" s="6"/>
      <c r="AD169" s="6"/>
    </row>
    <row r="170" spans="3:30" ht="13.2">
      <c r="C170" s="6"/>
      <c r="D170" s="6"/>
      <c r="E170" s="6"/>
      <c r="Q170" s="6"/>
      <c r="Z170" s="6"/>
      <c r="AA170" s="6"/>
      <c r="AB170" s="6"/>
      <c r="AC170" s="6"/>
      <c r="AD170" s="6"/>
    </row>
    <row r="171" spans="3:30" ht="13.2">
      <c r="C171" s="6"/>
      <c r="D171" s="6"/>
      <c r="E171" s="6"/>
      <c r="Q171" s="6"/>
      <c r="Z171" s="6"/>
      <c r="AA171" s="6"/>
      <c r="AB171" s="6"/>
      <c r="AC171" s="6"/>
      <c r="AD171" s="6"/>
    </row>
    <row r="172" spans="3:30" ht="13.2">
      <c r="C172" s="6"/>
      <c r="D172" s="6"/>
      <c r="E172" s="6"/>
      <c r="Q172" s="6"/>
      <c r="Z172" s="6"/>
      <c r="AA172" s="6"/>
      <c r="AB172" s="6"/>
      <c r="AC172" s="6"/>
      <c r="AD172" s="6"/>
    </row>
    <row r="173" spans="3:30" ht="13.2">
      <c r="D173" s="6"/>
      <c r="E173" s="6"/>
      <c r="Q173" s="6"/>
      <c r="Z173" s="6"/>
      <c r="AA173" s="6"/>
      <c r="AB173" s="6"/>
      <c r="AC173" s="6"/>
      <c r="AD173" s="6"/>
    </row>
    <row r="174" spans="3:30" ht="13.2">
      <c r="D174" s="6"/>
      <c r="E174" s="6"/>
      <c r="Q174" s="6"/>
      <c r="Z174" s="6"/>
      <c r="AA174" s="6"/>
      <c r="AB174" s="6"/>
      <c r="AC174" s="6"/>
      <c r="AD174" s="6"/>
    </row>
    <row r="175" spans="3:30" ht="13.2">
      <c r="D175" s="6"/>
      <c r="E175" s="6"/>
      <c r="Q175" s="6"/>
      <c r="Z175" s="6"/>
      <c r="AA175" s="6"/>
      <c r="AB175" s="6"/>
      <c r="AC175" s="6"/>
      <c r="AD175" s="6"/>
    </row>
    <row r="176" spans="3:30" ht="13.2">
      <c r="D176" s="6"/>
      <c r="E176" s="6"/>
      <c r="Q176" s="6"/>
      <c r="Z176" s="6"/>
      <c r="AA176" s="6"/>
      <c r="AB176" s="6"/>
      <c r="AC176" s="6"/>
      <c r="AD176" s="6"/>
    </row>
    <row r="177" spans="4:30" ht="13.2">
      <c r="D177" s="6"/>
      <c r="E177" s="6"/>
      <c r="Q177" s="6"/>
      <c r="Z177" s="6"/>
      <c r="AA177" s="6"/>
      <c r="AB177" s="6"/>
      <c r="AC177" s="6"/>
      <c r="AD177" s="6"/>
    </row>
    <row r="178" spans="4:30" ht="13.2">
      <c r="D178" s="6"/>
      <c r="E178" s="6"/>
      <c r="Q178" s="6"/>
      <c r="Z178" s="6"/>
      <c r="AA178" s="6"/>
      <c r="AB178" s="6"/>
      <c r="AC178" s="6"/>
      <c r="AD178" s="6"/>
    </row>
    <row r="179" spans="4:30" ht="13.2">
      <c r="D179" s="6"/>
      <c r="E179" s="6"/>
      <c r="Q179" s="6"/>
      <c r="Z179" s="6"/>
      <c r="AA179" s="6"/>
      <c r="AB179" s="6"/>
      <c r="AC179" s="6"/>
      <c r="AD179" s="6"/>
    </row>
    <row r="180" spans="4:30" ht="13.2">
      <c r="D180" s="6"/>
      <c r="E180" s="6"/>
      <c r="Q180" s="6"/>
      <c r="Z180" s="6"/>
      <c r="AA180" s="6"/>
      <c r="AB180" s="6"/>
      <c r="AC180" s="6"/>
      <c r="AD180" s="6"/>
    </row>
    <row r="181" spans="4:30" ht="13.2">
      <c r="D181" s="6"/>
      <c r="E181" s="6"/>
      <c r="Q181" s="6"/>
      <c r="Z181" s="6"/>
      <c r="AA181" s="6"/>
      <c r="AB181" s="6"/>
      <c r="AC181" s="6"/>
      <c r="AD181" s="6"/>
    </row>
    <row r="182" spans="4:30" ht="13.2">
      <c r="D182" s="6"/>
      <c r="E182" s="6"/>
      <c r="Q182" s="6"/>
      <c r="Z182" s="6"/>
      <c r="AA182" s="6"/>
      <c r="AB182" s="6"/>
      <c r="AC182" s="6"/>
      <c r="AD182" s="6"/>
    </row>
    <row r="183" spans="4:30" ht="13.2">
      <c r="D183" s="6"/>
      <c r="E183" s="6"/>
      <c r="Q183" s="6"/>
      <c r="Z183" s="6"/>
      <c r="AA183" s="6"/>
      <c r="AB183" s="6"/>
      <c r="AC183" s="6"/>
      <c r="AD183" s="6"/>
    </row>
    <row r="184" spans="4:30" ht="13.2">
      <c r="D184" s="6"/>
      <c r="E184" s="6"/>
      <c r="Q184" s="6"/>
      <c r="Z184" s="6"/>
      <c r="AA184" s="6"/>
      <c r="AB184" s="6"/>
      <c r="AC184" s="6"/>
      <c r="AD184" s="6"/>
    </row>
    <row r="185" spans="4:30" ht="13.2">
      <c r="D185" s="6"/>
      <c r="E185" s="6"/>
      <c r="Q185" s="6"/>
      <c r="Z185" s="6"/>
      <c r="AA185" s="6"/>
      <c r="AB185" s="6"/>
      <c r="AC185" s="6"/>
      <c r="AD185" s="6"/>
    </row>
    <row r="186" spans="4:30" ht="13.2">
      <c r="D186" s="6"/>
      <c r="E186" s="6"/>
      <c r="Q186" s="6"/>
      <c r="Z186" s="6"/>
      <c r="AA186" s="6"/>
      <c r="AB186" s="6"/>
      <c r="AC186" s="6"/>
      <c r="AD186" s="6"/>
    </row>
    <row r="187" spans="4:30" ht="13.2">
      <c r="D187" s="6"/>
      <c r="E187" s="6"/>
      <c r="Q187" s="6"/>
      <c r="Z187" s="6"/>
      <c r="AA187" s="6"/>
      <c r="AB187" s="6"/>
      <c r="AC187" s="6"/>
      <c r="AD187" s="6"/>
    </row>
    <row r="188" spans="4:30" ht="13.2">
      <c r="D188" s="6"/>
      <c r="E188" s="6"/>
      <c r="Q188" s="6"/>
      <c r="Z188" s="6"/>
      <c r="AA188" s="6"/>
      <c r="AB188" s="6"/>
      <c r="AC188" s="6"/>
      <c r="AD188" s="6"/>
    </row>
    <row r="189" spans="4:30" ht="13.2">
      <c r="D189" s="6"/>
      <c r="E189" s="6"/>
      <c r="Q189" s="6"/>
      <c r="Z189" s="6"/>
      <c r="AA189" s="6"/>
      <c r="AB189" s="6"/>
      <c r="AC189" s="6"/>
      <c r="AD189" s="6"/>
    </row>
    <row r="190" spans="4:30" ht="13.2">
      <c r="D190" s="6"/>
      <c r="E190" s="6"/>
      <c r="Q190" s="6"/>
      <c r="Z190" s="6"/>
      <c r="AA190" s="6"/>
      <c r="AB190" s="6"/>
      <c r="AC190" s="6"/>
      <c r="AD190" s="6"/>
    </row>
    <row r="191" spans="4:30" ht="13.2">
      <c r="D191" s="6"/>
      <c r="E191" s="6"/>
      <c r="Q191" s="6"/>
      <c r="Z191" s="6"/>
      <c r="AA191" s="6"/>
      <c r="AB191" s="6"/>
      <c r="AC191" s="6"/>
      <c r="AD191" s="6"/>
    </row>
    <row r="192" spans="4:30" ht="13.2">
      <c r="D192" s="6"/>
      <c r="E192" s="6"/>
      <c r="Q192" s="6"/>
      <c r="Z192" s="6"/>
      <c r="AA192" s="6"/>
      <c r="AB192" s="6"/>
      <c r="AC192" s="6"/>
      <c r="AD192" s="6"/>
    </row>
    <row r="193" spans="4:30" ht="13.2">
      <c r="D193" s="6"/>
      <c r="E193" s="6"/>
      <c r="Q193" s="6"/>
      <c r="Z193" s="6"/>
      <c r="AA193" s="6"/>
      <c r="AB193" s="6"/>
      <c r="AC193" s="6"/>
      <c r="AD193" s="6"/>
    </row>
    <row r="194" spans="4:30" ht="13.2">
      <c r="D194" s="6"/>
      <c r="E194" s="6"/>
      <c r="Q194" s="6"/>
      <c r="Z194" s="6"/>
      <c r="AA194" s="6"/>
      <c r="AB194" s="6"/>
      <c r="AC194" s="6"/>
      <c r="AD194" s="6"/>
    </row>
    <row r="195" spans="4:30" ht="13.2">
      <c r="D195" s="6"/>
      <c r="E195" s="6"/>
      <c r="Q195" s="6"/>
      <c r="Z195" s="6"/>
      <c r="AA195" s="6"/>
      <c r="AB195" s="6"/>
      <c r="AC195" s="6"/>
      <c r="AD195" s="6"/>
    </row>
    <row r="196" spans="4:30" ht="13.2">
      <c r="D196" s="6"/>
      <c r="E196" s="6"/>
      <c r="Q196" s="6"/>
      <c r="Z196" s="6"/>
      <c r="AA196" s="6"/>
      <c r="AB196" s="6"/>
      <c r="AC196" s="6"/>
      <c r="AD196" s="6"/>
    </row>
    <row r="197" spans="4:30" ht="13.2">
      <c r="D197" s="6"/>
      <c r="E197" s="6"/>
      <c r="Q197" s="6"/>
      <c r="Z197" s="6"/>
      <c r="AA197" s="6"/>
      <c r="AB197" s="6"/>
      <c r="AC197" s="6"/>
      <c r="AD197" s="6"/>
    </row>
    <row r="198" spans="4:30" ht="13.2">
      <c r="D198" s="6"/>
      <c r="E198" s="6"/>
      <c r="Q198" s="6"/>
      <c r="Z198" s="6"/>
      <c r="AA198" s="6"/>
      <c r="AB198" s="6"/>
      <c r="AC198" s="6"/>
      <c r="AD198" s="6"/>
    </row>
    <row r="199" spans="4:30" ht="13.2">
      <c r="D199" s="6"/>
      <c r="E199" s="6"/>
      <c r="Q199" s="6"/>
      <c r="Z199" s="6"/>
      <c r="AA199" s="6"/>
      <c r="AB199" s="6"/>
      <c r="AC199" s="6"/>
      <c r="AD199" s="6"/>
    </row>
    <row r="200" spans="4:30" ht="13.2">
      <c r="D200" s="6"/>
      <c r="E200" s="6"/>
      <c r="Q200" s="6"/>
      <c r="Z200" s="6"/>
      <c r="AA200" s="6"/>
      <c r="AB200" s="6"/>
      <c r="AC200" s="6"/>
      <c r="AD200" s="6"/>
    </row>
    <row r="201" spans="4:30" ht="13.2">
      <c r="D201" s="6"/>
      <c r="E201" s="6"/>
      <c r="Q201" s="6"/>
      <c r="Z201" s="6"/>
      <c r="AA201" s="6"/>
      <c r="AB201" s="6"/>
      <c r="AC201" s="6"/>
      <c r="AD201" s="6"/>
    </row>
    <row r="202" spans="4:30" ht="13.2">
      <c r="D202" s="6"/>
      <c r="E202" s="6"/>
      <c r="Q202" s="6"/>
      <c r="Z202" s="6"/>
      <c r="AA202" s="6"/>
      <c r="AB202" s="6"/>
      <c r="AC202" s="6"/>
      <c r="AD202" s="6"/>
    </row>
    <row r="203" spans="4:30" ht="13.2">
      <c r="D203" s="6"/>
      <c r="E203" s="6"/>
      <c r="Q203" s="6"/>
      <c r="Z203" s="6"/>
      <c r="AA203" s="6"/>
      <c r="AB203" s="6"/>
      <c r="AC203" s="6"/>
      <c r="AD203" s="6"/>
    </row>
    <row r="204" spans="4:30" ht="13.2">
      <c r="D204" s="6"/>
      <c r="E204" s="6"/>
      <c r="Q204" s="6"/>
      <c r="Z204" s="6"/>
      <c r="AA204" s="6"/>
      <c r="AB204" s="6"/>
      <c r="AC204" s="6"/>
      <c r="AD204" s="6"/>
    </row>
    <row r="205" spans="4:30" ht="13.2">
      <c r="D205" s="6"/>
      <c r="E205" s="6"/>
      <c r="Q205" s="6"/>
      <c r="Z205" s="6"/>
      <c r="AA205" s="6"/>
      <c r="AB205" s="6"/>
      <c r="AC205" s="6"/>
      <c r="AD205" s="6"/>
    </row>
    <row r="206" spans="4:30" ht="13.2">
      <c r="D206" s="6"/>
      <c r="E206" s="6"/>
      <c r="Q206" s="6"/>
      <c r="Z206" s="6"/>
      <c r="AA206" s="6"/>
      <c r="AB206" s="6"/>
      <c r="AC206" s="6"/>
      <c r="AD206" s="6"/>
    </row>
    <row r="207" spans="4:30" ht="13.2">
      <c r="D207" s="6"/>
      <c r="E207" s="6"/>
      <c r="Q207" s="6"/>
      <c r="Z207" s="6"/>
      <c r="AA207" s="6"/>
      <c r="AB207" s="6"/>
      <c r="AC207" s="6"/>
      <c r="AD207" s="6"/>
    </row>
    <row r="208" spans="4:30" ht="13.2">
      <c r="D208" s="6"/>
      <c r="E208" s="6"/>
      <c r="Q208" s="6"/>
      <c r="Z208" s="6"/>
      <c r="AA208" s="6"/>
      <c r="AB208" s="6"/>
      <c r="AC208" s="6"/>
      <c r="AD208" s="6"/>
    </row>
    <row r="209" spans="5:30" ht="13.2">
      <c r="E209" s="6"/>
      <c r="Q209" s="6"/>
      <c r="Z209" s="6"/>
      <c r="AA209" s="6"/>
      <c r="AB209" s="6"/>
      <c r="AC209" s="6"/>
      <c r="AD209" s="6"/>
    </row>
    <row r="210" spans="5:30" ht="13.2">
      <c r="E210" s="6"/>
      <c r="Q210" s="6"/>
      <c r="Z210" s="6"/>
      <c r="AA210" s="6"/>
      <c r="AB210" s="6"/>
      <c r="AC210" s="6"/>
      <c r="AD210" s="6"/>
    </row>
    <row r="211" spans="5:30" ht="13.2">
      <c r="E211" s="6"/>
      <c r="Q211" s="6"/>
      <c r="Z211" s="6"/>
      <c r="AA211" s="6"/>
      <c r="AB211" s="6"/>
      <c r="AC211" s="6"/>
      <c r="AD211" s="6"/>
    </row>
    <row r="212" spans="5:30" ht="13.2">
      <c r="E212" s="6"/>
      <c r="Q212" s="6"/>
      <c r="Z212" s="6"/>
      <c r="AA212" s="6"/>
      <c r="AB212" s="6"/>
      <c r="AC212" s="6"/>
      <c r="AD212" s="6"/>
    </row>
    <row r="213" spans="5:30" ht="13.2">
      <c r="E213" s="6"/>
      <c r="Q213" s="6"/>
      <c r="Z213" s="6"/>
      <c r="AA213" s="6"/>
      <c r="AB213" s="6"/>
      <c r="AC213" s="6"/>
      <c r="AD213" s="6"/>
    </row>
    <row r="214" spans="5:30" ht="13.2">
      <c r="E214" s="6"/>
      <c r="Q214" s="6"/>
      <c r="Z214" s="6"/>
      <c r="AA214" s="6"/>
      <c r="AB214" s="6"/>
      <c r="AC214" s="6"/>
      <c r="AD214" s="6"/>
    </row>
    <row r="215" spans="5:30" ht="13.2">
      <c r="E215" s="6"/>
      <c r="Q215" s="6"/>
      <c r="Z215" s="6"/>
      <c r="AA215" s="6"/>
      <c r="AB215" s="6"/>
      <c r="AC215" s="6"/>
      <c r="AD215" s="6"/>
    </row>
    <row r="216" spans="5:30" ht="13.2">
      <c r="E216" s="6"/>
      <c r="Q216" s="6"/>
      <c r="Z216" s="6"/>
      <c r="AA216" s="6"/>
      <c r="AB216" s="6"/>
      <c r="AC216" s="6"/>
      <c r="AD216" s="6"/>
    </row>
    <row r="217" spans="5:30" ht="13.2">
      <c r="E217" s="6"/>
      <c r="Q217" s="6"/>
      <c r="Z217" s="6"/>
      <c r="AA217" s="6"/>
      <c r="AB217" s="6"/>
      <c r="AC217" s="6"/>
      <c r="AD217" s="6"/>
    </row>
    <row r="218" spans="5:30" ht="13.2">
      <c r="E218" s="6"/>
      <c r="Q218" s="6"/>
      <c r="Z218" s="6"/>
      <c r="AA218" s="6"/>
      <c r="AB218" s="6"/>
      <c r="AC218" s="6"/>
      <c r="AD218" s="6"/>
    </row>
    <row r="219" spans="5:30" ht="13.2">
      <c r="E219" s="6"/>
      <c r="Q219" s="6"/>
      <c r="Z219" s="6"/>
      <c r="AA219" s="6"/>
      <c r="AB219" s="6"/>
      <c r="AC219" s="6"/>
      <c r="AD219" s="6"/>
    </row>
    <row r="220" spans="5:30" ht="13.2">
      <c r="E220" s="6"/>
      <c r="Q220" s="6"/>
      <c r="Z220" s="6"/>
      <c r="AA220" s="6"/>
      <c r="AB220" s="6"/>
      <c r="AC220" s="6"/>
      <c r="AD220" s="6"/>
    </row>
    <row r="221" spans="5:30" ht="13.2">
      <c r="E221" s="6"/>
      <c r="Q221" s="6"/>
      <c r="Z221" s="6"/>
      <c r="AA221" s="6"/>
      <c r="AB221" s="6"/>
      <c r="AC221" s="6"/>
      <c r="AD221" s="6"/>
    </row>
    <row r="222" spans="5:30" ht="13.2">
      <c r="E222" s="6"/>
      <c r="Q222" s="6"/>
      <c r="Z222" s="6"/>
      <c r="AA222" s="6"/>
      <c r="AB222" s="6"/>
      <c r="AC222" s="6"/>
      <c r="AD222" s="6"/>
    </row>
    <row r="223" spans="5:30" ht="13.2">
      <c r="E223" s="6"/>
      <c r="Q223" s="6"/>
      <c r="Z223" s="6"/>
      <c r="AA223" s="6"/>
      <c r="AB223" s="6"/>
      <c r="AC223" s="6"/>
      <c r="AD223" s="6"/>
    </row>
    <row r="224" spans="5:30" ht="13.2">
      <c r="E224" s="6"/>
      <c r="Q224" s="6"/>
      <c r="Z224" s="6"/>
      <c r="AA224" s="6"/>
      <c r="AB224" s="6"/>
      <c r="AC224" s="6"/>
      <c r="AD224" s="6"/>
    </row>
    <row r="225" spans="5:30" ht="13.2">
      <c r="E225" s="6"/>
      <c r="Q225" s="6"/>
      <c r="Z225" s="6"/>
      <c r="AA225" s="6"/>
      <c r="AB225" s="6"/>
      <c r="AC225" s="6"/>
      <c r="AD225" s="6"/>
    </row>
    <row r="226" spans="5:30" ht="13.2">
      <c r="E226" s="6"/>
      <c r="Q226" s="6"/>
      <c r="Z226" s="6"/>
      <c r="AA226" s="6"/>
      <c r="AB226" s="6"/>
      <c r="AC226" s="6"/>
      <c r="AD226" s="6"/>
    </row>
    <row r="227" spans="5:30" ht="13.2">
      <c r="E227" s="6"/>
      <c r="Q227" s="6"/>
      <c r="Z227" s="6"/>
      <c r="AA227" s="6"/>
      <c r="AB227" s="6"/>
      <c r="AC227" s="6"/>
      <c r="AD227" s="6"/>
    </row>
    <row r="228" spans="5:30" ht="13.2">
      <c r="E228" s="6"/>
      <c r="Q228" s="6"/>
      <c r="Z228" s="6"/>
      <c r="AA228" s="6"/>
      <c r="AB228" s="6"/>
      <c r="AC228" s="6"/>
      <c r="AD228" s="6"/>
    </row>
    <row r="229" spans="5:30" ht="13.2">
      <c r="E229" s="6"/>
      <c r="Q229" s="6"/>
      <c r="Z229" s="6"/>
      <c r="AA229" s="6"/>
      <c r="AB229" s="6"/>
      <c r="AC229" s="6"/>
      <c r="AD229" s="6"/>
    </row>
    <row r="230" spans="5:30" ht="13.2">
      <c r="E230" s="6"/>
      <c r="Q230" s="6"/>
      <c r="Z230" s="6"/>
      <c r="AA230" s="6"/>
      <c r="AB230" s="6"/>
      <c r="AC230" s="6"/>
      <c r="AD230" s="6"/>
    </row>
    <row r="231" spans="5:30" ht="13.2">
      <c r="E231" s="6"/>
      <c r="Q231" s="6"/>
      <c r="Z231" s="6"/>
      <c r="AA231" s="6"/>
      <c r="AB231" s="6"/>
      <c r="AC231" s="6"/>
      <c r="AD231" s="6"/>
    </row>
    <row r="232" spans="5:30" ht="13.2">
      <c r="E232" s="6"/>
      <c r="Q232" s="6"/>
      <c r="Z232" s="6"/>
      <c r="AA232" s="6"/>
      <c r="AB232" s="6"/>
      <c r="AC232" s="6"/>
      <c r="AD232" s="6"/>
    </row>
    <row r="233" spans="5:30" ht="13.2">
      <c r="E233" s="6"/>
      <c r="Q233" s="6"/>
      <c r="Z233" s="6"/>
      <c r="AA233" s="6"/>
      <c r="AB233" s="6"/>
      <c r="AC233" s="6"/>
      <c r="AD233" s="6"/>
    </row>
    <row r="234" spans="5:30" ht="13.2">
      <c r="E234" s="6"/>
      <c r="Q234" s="6"/>
      <c r="Z234" s="6"/>
      <c r="AA234" s="6"/>
      <c r="AB234" s="6"/>
      <c r="AC234" s="6"/>
      <c r="AD234" s="6"/>
    </row>
    <row r="235" spans="5:30" ht="13.2">
      <c r="E235" s="6"/>
      <c r="Q235" s="6"/>
      <c r="Z235" s="6"/>
      <c r="AA235" s="6"/>
      <c r="AB235" s="6"/>
      <c r="AC235" s="6"/>
      <c r="AD235" s="6"/>
    </row>
    <row r="236" spans="5:30" ht="13.2">
      <c r="E236" s="6"/>
      <c r="Q236" s="6"/>
      <c r="Z236" s="6"/>
      <c r="AA236" s="6"/>
      <c r="AB236" s="6"/>
      <c r="AC236" s="6"/>
      <c r="AD236" s="6"/>
    </row>
    <row r="237" spans="5:30" ht="13.2">
      <c r="E237" s="6"/>
      <c r="Q237" s="6"/>
      <c r="Z237" s="6"/>
      <c r="AA237" s="6"/>
      <c r="AB237" s="6"/>
      <c r="AC237" s="6"/>
      <c r="AD237" s="6"/>
    </row>
    <row r="238" spans="5:30" ht="13.2">
      <c r="E238" s="6"/>
      <c r="Q238" s="6"/>
      <c r="Z238" s="6"/>
      <c r="AA238" s="6"/>
      <c r="AB238" s="6"/>
      <c r="AC238" s="6"/>
      <c r="AD238" s="6"/>
    </row>
    <row r="239" spans="5:30" ht="13.2">
      <c r="E239" s="6"/>
      <c r="Q239" s="6"/>
      <c r="Z239" s="6"/>
      <c r="AA239" s="6"/>
      <c r="AB239" s="6"/>
      <c r="AC239" s="6"/>
      <c r="AD239" s="6"/>
    </row>
    <row r="240" spans="5:30" ht="13.2">
      <c r="E240" s="6"/>
      <c r="Q240" s="6"/>
      <c r="Z240" s="6"/>
      <c r="AA240" s="6"/>
      <c r="AB240" s="6"/>
      <c r="AC240" s="6"/>
      <c r="AD240" s="6"/>
    </row>
    <row r="241" spans="5:30" ht="13.2">
      <c r="E241" s="6"/>
      <c r="Q241" s="6"/>
      <c r="Z241" s="6"/>
      <c r="AA241" s="6"/>
      <c r="AB241" s="6"/>
      <c r="AC241" s="6"/>
      <c r="AD241" s="6"/>
    </row>
    <row r="242" spans="5:30" ht="13.2">
      <c r="E242" s="6"/>
      <c r="Q242" s="6"/>
      <c r="Z242" s="6"/>
      <c r="AA242" s="6"/>
      <c r="AB242" s="6"/>
      <c r="AC242" s="6"/>
      <c r="AD242" s="6"/>
    </row>
    <row r="243" spans="5:30" ht="13.2">
      <c r="E243" s="6"/>
      <c r="Q243" s="6"/>
      <c r="Z243" s="6"/>
      <c r="AA243" s="6"/>
      <c r="AB243" s="6"/>
      <c r="AC243" s="6"/>
      <c r="AD243" s="6"/>
    </row>
    <row r="244" spans="5:30" ht="13.2">
      <c r="E244" s="6"/>
      <c r="Q244" s="6"/>
      <c r="Z244" s="6"/>
      <c r="AA244" s="6"/>
      <c r="AB244" s="6"/>
      <c r="AC244" s="6"/>
      <c r="AD244" s="6"/>
    </row>
    <row r="245" spans="5:30" ht="13.2">
      <c r="E245" s="6"/>
      <c r="Q245" s="6"/>
      <c r="Z245" s="6"/>
      <c r="AA245" s="6"/>
      <c r="AB245" s="6"/>
      <c r="AC245" s="6"/>
      <c r="AD245" s="6"/>
    </row>
    <row r="246" spans="5:30" ht="13.2">
      <c r="E246" s="6"/>
      <c r="Q246" s="6"/>
      <c r="Z246" s="6"/>
      <c r="AA246" s="6"/>
      <c r="AB246" s="6"/>
      <c r="AC246" s="6"/>
      <c r="AD246" s="6"/>
    </row>
    <row r="247" spans="5:30" ht="13.2">
      <c r="E247" s="6"/>
      <c r="Q247" s="6"/>
      <c r="Z247" s="6"/>
      <c r="AA247" s="6"/>
      <c r="AB247" s="6"/>
      <c r="AC247" s="6"/>
      <c r="AD247" s="6"/>
    </row>
    <row r="248" spans="5:30" ht="13.2">
      <c r="E248" s="6"/>
      <c r="Q248" s="6"/>
      <c r="Z248" s="6"/>
      <c r="AA248" s="6"/>
      <c r="AB248" s="6"/>
      <c r="AC248" s="6"/>
      <c r="AD248" s="6"/>
    </row>
    <row r="249" spans="5:30" ht="13.2">
      <c r="E249" s="6"/>
      <c r="Q249" s="6"/>
      <c r="Z249" s="6"/>
      <c r="AA249" s="6"/>
      <c r="AB249" s="6"/>
      <c r="AC249" s="6"/>
      <c r="AD249" s="6"/>
    </row>
    <row r="250" spans="5:30" ht="13.2">
      <c r="E250" s="6"/>
      <c r="Q250" s="6"/>
      <c r="Z250" s="6"/>
      <c r="AA250" s="6"/>
      <c r="AB250" s="6"/>
      <c r="AC250" s="6"/>
      <c r="AD250" s="6"/>
    </row>
    <row r="251" spans="5:30" ht="13.2">
      <c r="E251" s="6"/>
      <c r="Q251" s="6"/>
      <c r="Z251" s="6"/>
      <c r="AA251" s="6"/>
      <c r="AB251" s="6"/>
      <c r="AC251" s="6"/>
      <c r="AD251" s="6"/>
    </row>
    <row r="252" spans="5:30" ht="13.2">
      <c r="E252" s="6"/>
      <c r="Q252" s="6"/>
      <c r="Z252" s="6"/>
      <c r="AA252" s="6"/>
      <c r="AB252" s="6"/>
      <c r="AC252" s="6"/>
      <c r="AD252" s="6"/>
    </row>
    <row r="253" spans="5:30" ht="13.2">
      <c r="E253" s="6"/>
      <c r="Q253" s="6"/>
      <c r="Z253" s="6"/>
      <c r="AA253" s="6"/>
      <c r="AB253" s="6"/>
      <c r="AC253" s="6"/>
      <c r="AD253" s="6"/>
    </row>
    <row r="254" spans="5:30" ht="13.2">
      <c r="E254" s="6"/>
      <c r="Q254" s="6"/>
      <c r="Z254" s="6"/>
      <c r="AA254" s="6"/>
      <c r="AB254" s="6"/>
      <c r="AC254" s="6"/>
      <c r="AD254" s="6"/>
    </row>
    <row r="255" spans="5:30" ht="13.2">
      <c r="E255" s="6"/>
      <c r="Q255" s="6"/>
      <c r="Z255" s="6"/>
      <c r="AA255" s="6"/>
      <c r="AB255" s="6"/>
      <c r="AC255" s="6"/>
      <c r="AD255" s="6"/>
    </row>
    <row r="256" spans="5:30" ht="13.2">
      <c r="E256" s="6"/>
      <c r="Q256" s="6"/>
      <c r="Z256" s="6"/>
      <c r="AA256" s="6"/>
      <c r="AB256" s="6"/>
      <c r="AC256" s="6"/>
      <c r="AD256" s="6"/>
    </row>
    <row r="257" spans="5:30" ht="13.2">
      <c r="E257" s="6"/>
      <c r="Q257" s="6"/>
      <c r="Z257" s="6"/>
      <c r="AA257" s="6"/>
      <c r="AB257" s="6"/>
      <c r="AC257" s="6"/>
      <c r="AD257" s="6"/>
    </row>
    <row r="258" spans="5:30" ht="13.2">
      <c r="E258" s="6"/>
      <c r="Q258" s="6"/>
      <c r="Z258" s="6"/>
      <c r="AA258" s="6"/>
      <c r="AB258" s="6"/>
      <c r="AC258" s="6"/>
      <c r="AD258" s="6"/>
    </row>
    <row r="259" spans="5:30" ht="13.2">
      <c r="E259" s="6"/>
      <c r="Q259" s="6"/>
      <c r="Z259" s="6"/>
      <c r="AA259" s="6"/>
      <c r="AB259" s="6"/>
      <c r="AC259" s="6"/>
      <c r="AD259" s="6"/>
    </row>
    <row r="260" spans="5:30" ht="13.2">
      <c r="E260" s="6"/>
      <c r="Q260" s="6"/>
      <c r="Z260" s="6"/>
      <c r="AA260" s="6"/>
      <c r="AB260" s="6"/>
      <c r="AC260" s="6"/>
      <c r="AD260" s="6"/>
    </row>
    <row r="261" spans="5:30" ht="13.2">
      <c r="E261" s="6"/>
      <c r="Q261" s="6"/>
      <c r="Z261" s="6"/>
      <c r="AA261" s="6"/>
      <c r="AB261" s="6"/>
      <c r="AC261" s="6"/>
      <c r="AD261" s="6"/>
    </row>
    <row r="262" spans="5:30" ht="13.2">
      <c r="E262" s="6"/>
      <c r="Q262" s="6"/>
      <c r="Z262" s="6"/>
      <c r="AA262" s="6"/>
      <c r="AB262" s="6"/>
      <c r="AC262" s="6"/>
      <c r="AD262" s="6"/>
    </row>
    <row r="263" spans="5:30" ht="13.2">
      <c r="E263" s="6"/>
      <c r="Q263" s="6"/>
      <c r="Z263" s="6"/>
      <c r="AA263" s="6"/>
      <c r="AB263" s="6"/>
      <c r="AC263" s="6"/>
      <c r="AD263" s="6"/>
    </row>
    <row r="264" spans="5:30" ht="13.2">
      <c r="E264" s="6"/>
      <c r="Q264" s="6"/>
      <c r="Z264" s="6"/>
      <c r="AA264" s="6"/>
      <c r="AB264" s="6"/>
      <c r="AC264" s="6"/>
      <c r="AD264" s="6"/>
    </row>
    <row r="265" spans="5:30" ht="13.2">
      <c r="E265" s="6"/>
      <c r="Q265" s="6"/>
      <c r="Z265" s="6"/>
      <c r="AA265" s="6"/>
      <c r="AB265" s="6"/>
      <c r="AC265" s="6"/>
      <c r="AD265" s="6"/>
    </row>
    <row r="266" spans="5:30" ht="13.2">
      <c r="E266" s="6"/>
      <c r="Q266" s="6"/>
      <c r="Z266" s="6"/>
      <c r="AA266" s="6"/>
      <c r="AB266" s="6"/>
      <c r="AC266" s="6"/>
      <c r="AD266" s="6"/>
    </row>
    <row r="267" spans="5:30" ht="13.2">
      <c r="E267" s="6"/>
      <c r="Q267" s="6"/>
      <c r="Z267" s="6"/>
      <c r="AA267" s="6"/>
      <c r="AB267" s="6"/>
      <c r="AC267" s="6"/>
      <c r="AD267" s="6"/>
    </row>
    <row r="268" spans="5:30" ht="13.2">
      <c r="E268" s="6"/>
      <c r="Q268" s="6"/>
      <c r="Z268" s="6"/>
      <c r="AA268" s="6"/>
      <c r="AB268" s="6"/>
      <c r="AC268" s="6"/>
      <c r="AD268" s="6"/>
    </row>
    <row r="269" spans="5:30" ht="13.2">
      <c r="E269" s="6"/>
      <c r="Q269" s="6"/>
      <c r="Z269" s="6"/>
      <c r="AA269" s="6"/>
      <c r="AB269" s="6"/>
      <c r="AC269" s="6"/>
      <c r="AD269" s="6"/>
    </row>
    <row r="270" spans="5:30" ht="13.2">
      <c r="E270" s="6"/>
      <c r="Q270" s="6"/>
      <c r="Z270" s="6"/>
      <c r="AA270" s="6"/>
      <c r="AB270" s="6"/>
      <c r="AC270" s="6"/>
      <c r="AD270" s="6"/>
    </row>
    <row r="271" spans="5:30" ht="13.2">
      <c r="E271" s="6"/>
      <c r="Q271" s="6"/>
      <c r="Z271" s="6"/>
      <c r="AA271" s="6"/>
      <c r="AB271" s="6"/>
      <c r="AC271" s="6"/>
      <c r="AD271" s="6"/>
    </row>
    <row r="272" spans="5:30" ht="13.2">
      <c r="E272" s="6"/>
      <c r="Q272" s="6"/>
      <c r="Z272" s="6"/>
      <c r="AA272" s="6"/>
      <c r="AB272" s="6"/>
      <c r="AC272" s="6"/>
      <c r="AD272" s="6"/>
    </row>
    <row r="273" spans="5:30" ht="13.2">
      <c r="E273" s="6"/>
      <c r="Q273" s="6"/>
      <c r="Z273" s="6"/>
      <c r="AA273" s="6"/>
      <c r="AB273" s="6"/>
      <c r="AC273" s="6"/>
      <c r="AD273" s="6"/>
    </row>
    <row r="274" spans="5:30" ht="13.2">
      <c r="E274" s="6"/>
      <c r="Q274" s="6"/>
      <c r="Z274" s="6"/>
      <c r="AA274" s="6"/>
      <c r="AB274" s="6"/>
      <c r="AC274" s="6"/>
      <c r="AD274" s="6"/>
    </row>
    <row r="275" spans="5:30" ht="13.2">
      <c r="E275" s="6"/>
      <c r="Q275" s="6"/>
      <c r="Z275" s="6"/>
      <c r="AA275" s="6"/>
      <c r="AB275" s="6"/>
      <c r="AC275" s="6"/>
      <c r="AD275" s="6"/>
    </row>
    <row r="276" spans="5:30" ht="13.2">
      <c r="E276" s="6"/>
      <c r="Q276" s="6"/>
      <c r="Z276" s="6"/>
      <c r="AA276" s="6"/>
      <c r="AB276" s="6"/>
      <c r="AC276" s="6"/>
      <c r="AD276" s="6"/>
    </row>
    <row r="277" spans="5:30" ht="13.2">
      <c r="E277" s="6"/>
      <c r="Q277" s="6"/>
      <c r="Z277" s="6"/>
      <c r="AA277" s="6"/>
      <c r="AB277" s="6"/>
      <c r="AC277" s="6"/>
      <c r="AD277" s="6"/>
    </row>
    <row r="278" spans="5:30" ht="13.2">
      <c r="E278" s="6"/>
      <c r="Q278" s="6"/>
      <c r="Z278" s="6"/>
      <c r="AA278" s="6"/>
      <c r="AB278" s="6"/>
      <c r="AC278" s="6"/>
      <c r="AD278" s="6"/>
    </row>
    <row r="279" spans="5:30" ht="13.2">
      <c r="E279" s="6"/>
      <c r="Q279" s="6"/>
      <c r="Z279" s="6"/>
      <c r="AA279" s="6"/>
      <c r="AB279" s="6"/>
      <c r="AC279" s="6"/>
      <c r="AD279" s="6"/>
    </row>
    <row r="280" spans="5:30" ht="13.2">
      <c r="E280" s="6"/>
      <c r="Q280" s="6"/>
      <c r="Z280" s="6"/>
      <c r="AA280" s="6"/>
      <c r="AB280" s="6"/>
      <c r="AC280" s="6"/>
      <c r="AD280" s="6"/>
    </row>
    <row r="281" spans="5:30" ht="13.2">
      <c r="E281" s="6"/>
      <c r="Q281" s="6"/>
      <c r="Z281" s="6"/>
      <c r="AA281" s="6"/>
      <c r="AB281" s="6"/>
      <c r="AC281" s="6"/>
      <c r="AD281" s="6"/>
    </row>
    <row r="282" spans="5:30" ht="13.2">
      <c r="E282" s="6"/>
      <c r="Q282" s="6"/>
      <c r="Z282" s="6"/>
      <c r="AA282" s="6"/>
      <c r="AB282" s="6"/>
      <c r="AC282" s="6"/>
      <c r="AD282" s="6"/>
    </row>
    <row r="283" spans="5:30" ht="13.2">
      <c r="E283" s="6"/>
      <c r="Q283" s="6"/>
      <c r="Z283" s="6"/>
      <c r="AA283" s="6"/>
      <c r="AB283" s="6"/>
      <c r="AC283" s="6"/>
      <c r="AD283" s="6"/>
    </row>
    <row r="284" spans="5:30" ht="13.2">
      <c r="E284" s="6"/>
      <c r="Q284" s="6"/>
      <c r="Z284" s="6"/>
      <c r="AA284" s="6"/>
      <c r="AB284" s="6"/>
      <c r="AC284" s="6"/>
      <c r="AD284" s="6"/>
    </row>
    <row r="285" spans="5:30" ht="13.2">
      <c r="E285" s="6"/>
      <c r="Q285" s="6"/>
      <c r="Z285" s="6"/>
      <c r="AA285" s="6"/>
      <c r="AB285" s="6"/>
      <c r="AC285" s="6"/>
      <c r="AD285" s="6"/>
    </row>
    <row r="286" spans="5:30" ht="13.2">
      <c r="E286" s="6"/>
      <c r="Q286" s="6"/>
      <c r="Z286" s="6"/>
      <c r="AA286" s="6"/>
      <c r="AB286" s="6"/>
      <c r="AC286" s="6"/>
      <c r="AD286" s="6"/>
    </row>
    <row r="287" spans="5:30" ht="13.2">
      <c r="E287" s="6"/>
      <c r="Q287" s="6"/>
      <c r="Z287" s="6"/>
      <c r="AA287" s="6"/>
      <c r="AB287" s="6"/>
      <c r="AC287" s="6"/>
      <c r="AD287" s="6"/>
    </row>
    <row r="288" spans="5:30" ht="13.2">
      <c r="E288" s="6"/>
      <c r="Q288" s="6"/>
      <c r="Z288" s="6"/>
      <c r="AA288" s="6"/>
      <c r="AB288" s="6"/>
      <c r="AC288" s="6"/>
      <c r="AD288" s="6"/>
    </row>
    <row r="289" spans="5:30" ht="13.2">
      <c r="E289" s="6"/>
      <c r="Q289" s="6"/>
      <c r="Z289" s="6"/>
      <c r="AA289" s="6"/>
      <c r="AB289" s="6"/>
      <c r="AC289" s="6"/>
      <c r="AD289" s="6"/>
    </row>
    <row r="290" spans="5:30" ht="13.2">
      <c r="E290" s="6"/>
      <c r="Q290" s="6"/>
      <c r="Z290" s="6"/>
      <c r="AA290" s="6"/>
      <c r="AB290" s="6"/>
      <c r="AC290" s="6"/>
      <c r="AD290" s="6"/>
    </row>
    <row r="291" spans="5:30" ht="13.2">
      <c r="E291" s="6"/>
      <c r="Q291" s="6"/>
      <c r="Z291" s="6"/>
      <c r="AA291" s="6"/>
      <c r="AB291" s="6"/>
      <c r="AC291" s="6"/>
      <c r="AD291" s="6"/>
    </row>
    <row r="292" spans="5:30" ht="13.2">
      <c r="E292" s="6"/>
      <c r="Q292" s="6"/>
      <c r="Z292" s="6"/>
      <c r="AA292" s="6"/>
      <c r="AB292" s="6"/>
      <c r="AC292" s="6"/>
      <c r="AD292" s="6"/>
    </row>
    <row r="293" spans="5:30" ht="13.2">
      <c r="E293" s="6"/>
      <c r="Q293" s="6"/>
      <c r="Z293" s="6"/>
      <c r="AA293" s="6"/>
      <c r="AB293" s="6"/>
      <c r="AC293" s="6"/>
      <c r="AD293" s="6"/>
    </row>
    <row r="294" spans="5:30" ht="13.2">
      <c r="Q294" s="6"/>
      <c r="Z294" s="6"/>
      <c r="AA294" s="6"/>
      <c r="AB294" s="6"/>
      <c r="AC294" s="6"/>
      <c r="AD294" s="6"/>
    </row>
    <row r="295" spans="5:30" ht="13.2">
      <c r="Q295" s="6"/>
      <c r="Z295" s="6"/>
      <c r="AA295" s="6"/>
      <c r="AB295" s="6"/>
      <c r="AC295" s="6"/>
      <c r="AD295" s="6"/>
    </row>
    <row r="296" spans="5:30" ht="13.2">
      <c r="Q296" s="6"/>
      <c r="Z296" s="6"/>
      <c r="AA296" s="6"/>
      <c r="AB296" s="6"/>
      <c r="AC296" s="6"/>
      <c r="AD296" s="6"/>
    </row>
    <row r="297" spans="5:30" ht="13.2">
      <c r="Q297" s="6"/>
      <c r="Z297" s="6"/>
      <c r="AA297" s="6"/>
      <c r="AB297" s="6"/>
      <c r="AC297" s="6"/>
      <c r="AD297" s="6"/>
    </row>
    <row r="298" spans="5:30" ht="13.2">
      <c r="Q298" s="6"/>
      <c r="Z298" s="6"/>
      <c r="AA298" s="6"/>
      <c r="AB298" s="6"/>
      <c r="AC298" s="6"/>
      <c r="AD298" s="6"/>
    </row>
    <row r="299" spans="5:30" ht="13.2">
      <c r="Q299" s="6"/>
      <c r="Z299" s="6"/>
      <c r="AA299" s="6"/>
      <c r="AB299" s="6"/>
      <c r="AC299" s="6"/>
      <c r="AD299" s="6"/>
    </row>
    <row r="300" spans="5:30" ht="13.2">
      <c r="Q300" s="6"/>
      <c r="Z300" s="6"/>
      <c r="AA300" s="6"/>
      <c r="AB300" s="6"/>
      <c r="AC300" s="6"/>
      <c r="AD300" s="6"/>
    </row>
    <row r="301" spans="5:30" ht="13.2">
      <c r="Q301" s="6"/>
      <c r="Z301" s="6"/>
      <c r="AA301" s="6"/>
      <c r="AB301" s="6"/>
      <c r="AC301" s="6"/>
      <c r="AD301" s="6"/>
    </row>
    <row r="302" spans="5:30" ht="13.2">
      <c r="Q302" s="6"/>
      <c r="Z302" s="6"/>
      <c r="AA302" s="6"/>
      <c r="AB302" s="6"/>
      <c r="AC302" s="6"/>
      <c r="AD302" s="6"/>
    </row>
    <row r="303" spans="5:30" ht="13.2">
      <c r="Q303" s="6"/>
      <c r="Z303" s="6"/>
      <c r="AA303" s="6"/>
      <c r="AB303" s="6"/>
      <c r="AC303" s="6"/>
      <c r="AD303" s="6"/>
    </row>
    <row r="304" spans="5:30" ht="13.2">
      <c r="Q304" s="6"/>
      <c r="Z304" s="6"/>
      <c r="AA304" s="6"/>
      <c r="AB304" s="6"/>
      <c r="AC304" s="6"/>
      <c r="AD304" s="6"/>
    </row>
    <row r="305" spans="17:30" ht="13.2">
      <c r="Q305" s="6"/>
      <c r="Z305" s="6"/>
      <c r="AA305" s="6"/>
      <c r="AB305" s="6"/>
      <c r="AC305" s="6"/>
      <c r="AD305" s="6"/>
    </row>
    <row r="306" spans="17:30" ht="13.2">
      <c r="Q306" s="6"/>
      <c r="Z306" s="6"/>
      <c r="AA306" s="6"/>
      <c r="AB306" s="6"/>
      <c r="AC306" s="6"/>
      <c r="AD306" s="6"/>
    </row>
    <row r="307" spans="17:30" ht="13.2">
      <c r="Q307" s="6"/>
      <c r="Z307" s="6"/>
      <c r="AA307" s="6"/>
      <c r="AB307" s="6"/>
      <c r="AC307" s="6"/>
      <c r="AD307" s="6"/>
    </row>
    <row r="308" spans="17:30" ht="13.2">
      <c r="Q308" s="6"/>
      <c r="Z308" s="6"/>
      <c r="AA308" s="6"/>
      <c r="AB308" s="6"/>
      <c r="AC308" s="6"/>
      <c r="AD308" s="6"/>
    </row>
    <row r="309" spans="17:30" ht="13.2">
      <c r="Q309" s="6"/>
      <c r="Z309" s="6"/>
      <c r="AA309" s="6"/>
      <c r="AB309" s="6"/>
      <c r="AC309" s="6"/>
      <c r="AD309" s="6"/>
    </row>
    <row r="310" spans="17:30" ht="13.2">
      <c r="Q310" s="6"/>
      <c r="Z310" s="6"/>
      <c r="AA310" s="6"/>
      <c r="AB310" s="6"/>
      <c r="AC310" s="6"/>
      <c r="AD310" s="6"/>
    </row>
    <row r="311" spans="17:30" ht="13.2">
      <c r="Q311" s="6"/>
      <c r="Z311" s="6"/>
      <c r="AA311" s="6"/>
      <c r="AB311" s="6"/>
      <c r="AC311" s="6"/>
      <c r="AD311" s="6"/>
    </row>
    <row r="312" spans="17:30" ht="13.2">
      <c r="Q312" s="6"/>
      <c r="Z312" s="6"/>
      <c r="AA312" s="6"/>
      <c r="AB312" s="6"/>
      <c r="AC312" s="6"/>
      <c r="AD312" s="6"/>
    </row>
    <row r="313" spans="17:30" ht="13.2">
      <c r="Q313" s="6"/>
      <c r="Z313" s="6"/>
      <c r="AA313" s="6"/>
      <c r="AB313" s="6"/>
      <c r="AC313" s="6"/>
      <c r="AD313" s="6"/>
    </row>
    <row r="314" spans="17:30" ht="13.2">
      <c r="Q314" s="6"/>
      <c r="Z314" s="6"/>
      <c r="AA314" s="6"/>
      <c r="AB314" s="6"/>
      <c r="AC314" s="6"/>
      <c r="AD314" s="6"/>
    </row>
    <row r="315" spans="17:30" ht="13.2">
      <c r="Q315" s="6"/>
      <c r="Z315" s="6"/>
      <c r="AA315" s="6"/>
      <c r="AB315" s="6"/>
      <c r="AC315" s="6"/>
      <c r="AD315" s="6"/>
    </row>
    <row r="316" spans="17:30" ht="13.2">
      <c r="Q316" s="6"/>
      <c r="Z316" s="6"/>
      <c r="AA316" s="6"/>
      <c r="AB316" s="6"/>
      <c r="AC316" s="6"/>
      <c r="AD316" s="6"/>
    </row>
    <row r="317" spans="17:30" ht="13.2">
      <c r="Q317" s="6"/>
      <c r="Z317" s="6"/>
      <c r="AA317" s="6"/>
      <c r="AB317" s="6"/>
      <c r="AC317" s="6"/>
      <c r="AD317" s="6"/>
    </row>
    <row r="318" spans="17:30" ht="13.2">
      <c r="Q318" s="6"/>
      <c r="Z318" s="6"/>
      <c r="AA318" s="6"/>
      <c r="AB318" s="6"/>
      <c r="AC318" s="6"/>
      <c r="AD318" s="6"/>
    </row>
    <row r="319" spans="17:30" ht="13.2">
      <c r="Q319" s="6"/>
      <c r="Z319" s="6"/>
      <c r="AA319" s="6"/>
      <c r="AB319" s="6"/>
      <c r="AC319" s="6"/>
      <c r="AD319" s="6"/>
    </row>
    <row r="320" spans="17:30" ht="13.2">
      <c r="Q320" s="6"/>
      <c r="Z320" s="6"/>
      <c r="AA320" s="6"/>
      <c r="AB320" s="6"/>
      <c r="AC320" s="6"/>
      <c r="AD320" s="6"/>
    </row>
    <row r="321" spans="17:30" ht="13.2">
      <c r="Q321" s="6"/>
      <c r="Z321" s="6"/>
      <c r="AA321" s="6"/>
      <c r="AB321" s="6"/>
      <c r="AC321" s="6"/>
      <c r="AD321" s="6"/>
    </row>
    <row r="322" spans="17:30" ht="13.2">
      <c r="Q322" s="6"/>
      <c r="Z322" s="6"/>
      <c r="AA322" s="6"/>
      <c r="AB322" s="6"/>
      <c r="AC322" s="6"/>
      <c r="AD322" s="6"/>
    </row>
    <row r="323" spans="17:30" ht="13.2">
      <c r="Q323" s="6"/>
      <c r="Z323" s="6"/>
      <c r="AA323" s="6"/>
      <c r="AB323" s="6"/>
      <c r="AC323" s="6"/>
      <c r="AD323" s="6"/>
    </row>
    <row r="324" spans="17:30" ht="13.2">
      <c r="Q324" s="6"/>
      <c r="Z324" s="6"/>
      <c r="AA324" s="6"/>
      <c r="AB324" s="6"/>
      <c r="AC324" s="6"/>
      <c r="AD324" s="6"/>
    </row>
    <row r="325" spans="17:30" ht="13.2">
      <c r="Q325" s="6"/>
      <c r="Z325" s="6"/>
      <c r="AA325" s="6"/>
      <c r="AB325" s="6"/>
      <c r="AC325" s="6"/>
      <c r="AD325" s="6"/>
    </row>
    <row r="326" spans="17:30" ht="13.2">
      <c r="Q326" s="6"/>
      <c r="Z326" s="6"/>
      <c r="AA326" s="6"/>
      <c r="AB326" s="6"/>
      <c r="AC326" s="6"/>
      <c r="AD326" s="6"/>
    </row>
    <row r="327" spans="17:30" ht="13.2">
      <c r="Q327" s="6"/>
      <c r="Z327" s="6"/>
      <c r="AA327" s="6"/>
      <c r="AB327" s="6"/>
      <c r="AC327" s="6"/>
      <c r="AD327" s="6"/>
    </row>
    <row r="328" spans="17:30" ht="13.2">
      <c r="Q328" s="6"/>
      <c r="Z328" s="6"/>
      <c r="AA328" s="6"/>
      <c r="AB328" s="6"/>
      <c r="AC328" s="6"/>
      <c r="AD328" s="6"/>
    </row>
    <row r="329" spans="17:30" ht="13.2">
      <c r="Q329" s="6"/>
      <c r="Z329" s="6"/>
      <c r="AA329" s="6"/>
      <c r="AB329" s="6"/>
      <c r="AC329" s="6"/>
      <c r="AD329" s="6"/>
    </row>
    <row r="330" spans="17:30" ht="13.2">
      <c r="Q330" s="6"/>
      <c r="Z330" s="6"/>
      <c r="AA330" s="6"/>
      <c r="AB330" s="6"/>
      <c r="AC330" s="6"/>
      <c r="AD330" s="6"/>
    </row>
    <row r="331" spans="17:30" ht="13.2">
      <c r="Q331" s="6"/>
      <c r="Z331" s="6"/>
      <c r="AA331" s="6"/>
      <c r="AB331" s="6"/>
      <c r="AC331" s="6"/>
      <c r="AD331" s="6"/>
    </row>
    <row r="332" spans="17:30" ht="13.2">
      <c r="Q332" s="6"/>
      <c r="Z332" s="6"/>
      <c r="AA332" s="6"/>
      <c r="AB332" s="6"/>
      <c r="AC332" s="6"/>
      <c r="AD332" s="6"/>
    </row>
    <row r="333" spans="17:30" ht="13.2">
      <c r="Q333" s="6"/>
      <c r="Z333" s="6"/>
      <c r="AA333" s="6"/>
      <c r="AB333" s="6"/>
      <c r="AC333" s="6"/>
      <c r="AD333" s="6"/>
    </row>
    <row r="334" spans="17:30" ht="13.2">
      <c r="Q334" s="6"/>
      <c r="Z334" s="6"/>
      <c r="AA334" s="6"/>
      <c r="AB334" s="6"/>
      <c r="AC334" s="6"/>
      <c r="AD334" s="6"/>
    </row>
    <row r="335" spans="17:30" ht="13.2">
      <c r="Q335" s="6"/>
      <c r="Z335" s="6"/>
      <c r="AA335" s="6"/>
      <c r="AB335" s="6"/>
      <c r="AC335" s="6"/>
      <c r="AD335" s="6"/>
    </row>
    <row r="336" spans="17:30" ht="13.2">
      <c r="Q336" s="6"/>
      <c r="Z336" s="6"/>
      <c r="AA336" s="6"/>
      <c r="AB336" s="6"/>
      <c r="AC336" s="6"/>
      <c r="AD336" s="6"/>
    </row>
    <row r="337" spans="17:30" ht="13.2">
      <c r="Q337" s="6"/>
      <c r="Z337" s="6"/>
      <c r="AA337" s="6"/>
      <c r="AB337" s="6"/>
      <c r="AC337" s="6"/>
      <c r="AD337" s="6"/>
    </row>
    <row r="338" spans="17:30" ht="13.2">
      <c r="Q338" s="6"/>
      <c r="Z338" s="6"/>
      <c r="AA338" s="6"/>
      <c r="AB338" s="6"/>
      <c r="AC338" s="6"/>
      <c r="AD338" s="6"/>
    </row>
    <row r="339" spans="17:30" ht="13.2">
      <c r="Q339" s="6"/>
      <c r="Z339" s="6"/>
      <c r="AA339" s="6"/>
      <c r="AB339" s="6"/>
      <c r="AC339" s="6"/>
      <c r="AD339" s="6"/>
    </row>
    <row r="340" spans="17:30" ht="13.2">
      <c r="Q340" s="6"/>
      <c r="Z340" s="6"/>
      <c r="AA340" s="6"/>
      <c r="AB340" s="6"/>
      <c r="AC340" s="6"/>
      <c r="AD340" s="6"/>
    </row>
    <row r="341" spans="17:30" ht="13.2">
      <c r="Q341" s="6"/>
      <c r="Z341" s="6"/>
      <c r="AA341" s="6"/>
      <c r="AB341" s="6"/>
      <c r="AC341" s="6"/>
      <c r="AD341" s="6"/>
    </row>
    <row r="342" spans="17:30" ht="13.2">
      <c r="Q342" s="6"/>
      <c r="Z342" s="6"/>
      <c r="AA342" s="6"/>
      <c r="AB342" s="6"/>
      <c r="AC342" s="6"/>
      <c r="AD342" s="6"/>
    </row>
    <row r="343" spans="17:30" ht="13.2">
      <c r="Q343" s="6"/>
      <c r="Z343" s="6"/>
      <c r="AA343" s="6"/>
      <c r="AB343" s="6"/>
      <c r="AC343" s="6"/>
      <c r="AD343" s="6"/>
    </row>
    <row r="344" spans="17:30" ht="13.2">
      <c r="Q344" s="6"/>
      <c r="Z344" s="6"/>
      <c r="AA344" s="6"/>
      <c r="AB344" s="6"/>
      <c r="AC344" s="6"/>
      <c r="AD344" s="6"/>
    </row>
    <row r="345" spans="17:30" ht="13.2">
      <c r="Q345" s="6"/>
      <c r="Z345" s="6"/>
      <c r="AA345" s="6"/>
      <c r="AB345" s="6"/>
      <c r="AC345" s="6"/>
      <c r="AD345" s="6"/>
    </row>
    <row r="346" spans="17:30" ht="13.2">
      <c r="Q346" s="6"/>
      <c r="Z346" s="6"/>
      <c r="AA346" s="6"/>
      <c r="AB346" s="6"/>
      <c r="AC346" s="6"/>
      <c r="AD346" s="6"/>
    </row>
    <row r="347" spans="17:30" ht="13.2">
      <c r="Q347" s="6"/>
      <c r="Z347" s="6"/>
      <c r="AA347" s="6"/>
      <c r="AB347" s="6"/>
      <c r="AC347" s="6"/>
      <c r="AD347" s="6"/>
    </row>
    <row r="348" spans="17:30" ht="13.2">
      <c r="Q348" s="6"/>
      <c r="Z348" s="6"/>
      <c r="AA348" s="6"/>
      <c r="AB348" s="6"/>
      <c r="AC348" s="6"/>
      <c r="AD348" s="6"/>
    </row>
    <row r="349" spans="17:30" ht="13.2">
      <c r="Q349" s="6"/>
      <c r="Z349" s="6"/>
      <c r="AA349" s="6"/>
      <c r="AB349" s="6"/>
      <c r="AC349" s="6"/>
      <c r="AD349" s="6"/>
    </row>
    <row r="350" spans="17:30" ht="13.2">
      <c r="Q350" s="6"/>
      <c r="Z350" s="6"/>
      <c r="AA350" s="6"/>
      <c r="AB350" s="6"/>
      <c r="AC350" s="6"/>
      <c r="AD350" s="6"/>
    </row>
    <row r="351" spans="17:30" ht="13.2">
      <c r="Q351" s="6"/>
      <c r="Z351" s="6"/>
      <c r="AA351" s="6"/>
      <c r="AB351" s="6"/>
      <c r="AC351" s="6"/>
      <c r="AD351" s="6"/>
    </row>
    <row r="352" spans="17:30" ht="13.2">
      <c r="Q352" s="6"/>
      <c r="Z352" s="6"/>
      <c r="AA352" s="6"/>
      <c r="AB352" s="6"/>
      <c r="AC352" s="6"/>
      <c r="AD352" s="6"/>
    </row>
    <row r="353" spans="17:30" ht="13.2">
      <c r="Q353" s="6"/>
      <c r="Z353" s="6"/>
      <c r="AA353" s="6"/>
      <c r="AB353" s="6"/>
      <c r="AC353" s="6"/>
      <c r="AD353" s="6"/>
    </row>
    <row r="354" spans="17:30" ht="13.2">
      <c r="Q354" s="6"/>
      <c r="Z354" s="6"/>
      <c r="AA354" s="6"/>
      <c r="AB354" s="6"/>
      <c r="AC354" s="6"/>
      <c r="AD354" s="6"/>
    </row>
    <row r="355" spans="17:30" ht="13.2">
      <c r="Q355" s="6"/>
      <c r="Z355" s="6"/>
      <c r="AA355" s="6"/>
      <c r="AB355" s="6"/>
      <c r="AC355" s="6"/>
      <c r="AD355" s="6"/>
    </row>
    <row r="356" spans="17:30" ht="13.2">
      <c r="Q356" s="6"/>
      <c r="Z356" s="6"/>
      <c r="AA356" s="6"/>
      <c r="AB356" s="6"/>
      <c r="AC356" s="6"/>
      <c r="AD356" s="6"/>
    </row>
    <row r="357" spans="17:30" ht="13.2">
      <c r="Q357" s="6"/>
      <c r="Z357" s="6"/>
      <c r="AA357" s="6"/>
      <c r="AB357" s="6"/>
      <c r="AC357" s="6"/>
      <c r="AD357" s="6"/>
    </row>
    <row r="358" spans="17:30" ht="13.2">
      <c r="Q358" s="6"/>
      <c r="Z358" s="6"/>
      <c r="AA358" s="6"/>
      <c r="AB358" s="6"/>
      <c r="AC358" s="6"/>
      <c r="AD358" s="6"/>
    </row>
    <row r="359" spans="17:30" ht="13.2">
      <c r="Q359" s="6"/>
      <c r="Z359" s="6"/>
      <c r="AA359" s="6"/>
      <c r="AB359" s="6"/>
      <c r="AC359" s="6"/>
      <c r="AD359" s="6"/>
    </row>
    <row r="360" spans="17:30" ht="13.2">
      <c r="Q360" s="6"/>
      <c r="Z360" s="6"/>
      <c r="AA360" s="6"/>
      <c r="AB360" s="6"/>
      <c r="AC360" s="6"/>
      <c r="AD360" s="6"/>
    </row>
    <row r="361" spans="17:30" ht="13.2">
      <c r="Q361" s="6"/>
      <c r="Z361" s="6"/>
      <c r="AA361" s="6"/>
      <c r="AB361" s="6"/>
      <c r="AC361" s="6"/>
      <c r="AD361" s="6"/>
    </row>
    <row r="362" spans="17:30" ht="13.2">
      <c r="Q362" s="6"/>
      <c r="Z362" s="6"/>
      <c r="AA362" s="6"/>
      <c r="AB362" s="6"/>
      <c r="AC362" s="6"/>
      <c r="AD362" s="6"/>
    </row>
    <row r="363" spans="17:30" ht="13.2">
      <c r="Q363" s="6"/>
      <c r="Z363" s="6"/>
      <c r="AA363" s="6"/>
      <c r="AB363" s="6"/>
      <c r="AC363" s="6"/>
      <c r="AD363" s="6"/>
    </row>
    <row r="364" spans="17:30" ht="13.2">
      <c r="Q364" s="6"/>
      <c r="Z364" s="6"/>
      <c r="AA364" s="6"/>
      <c r="AB364" s="6"/>
      <c r="AC364" s="6"/>
      <c r="AD364" s="6"/>
    </row>
    <row r="365" spans="17:30" ht="13.2">
      <c r="Q365" s="6"/>
      <c r="Z365" s="6"/>
      <c r="AA365" s="6"/>
      <c r="AB365" s="6"/>
      <c r="AC365" s="6"/>
      <c r="AD365" s="6"/>
    </row>
    <row r="366" spans="17:30" ht="13.2">
      <c r="Q366" s="6"/>
      <c r="Z366" s="6"/>
      <c r="AA366" s="6"/>
      <c r="AB366" s="6"/>
      <c r="AC366" s="6"/>
      <c r="AD366" s="6"/>
    </row>
    <row r="367" spans="17:30" ht="13.2">
      <c r="Q367" s="6"/>
      <c r="Z367" s="6"/>
      <c r="AA367" s="6"/>
      <c r="AB367" s="6"/>
      <c r="AC367" s="6"/>
      <c r="AD367" s="6"/>
    </row>
    <row r="368" spans="17:30" ht="13.2">
      <c r="Q368" s="6"/>
      <c r="Z368" s="6"/>
      <c r="AA368" s="6"/>
      <c r="AB368" s="6"/>
      <c r="AC368" s="6"/>
      <c r="AD368" s="6"/>
    </row>
    <row r="369" spans="17:30" ht="13.2">
      <c r="Q369" s="6"/>
      <c r="Z369" s="6"/>
      <c r="AA369" s="6"/>
      <c r="AB369" s="6"/>
      <c r="AC369" s="6"/>
      <c r="AD369" s="6"/>
    </row>
    <row r="370" spans="17:30" ht="13.2">
      <c r="Q370" s="6"/>
      <c r="Z370" s="6"/>
      <c r="AA370" s="6"/>
      <c r="AB370" s="6"/>
      <c r="AC370" s="6"/>
      <c r="AD370" s="6"/>
    </row>
    <row r="371" spans="17:30" ht="13.2">
      <c r="Q371" s="6"/>
      <c r="Z371" s="6"/>
      <c r="AA371" s="6"/>
      <c r="AB371" s="6"/>
      <c r="AC371" s="6"/>
      <c r="AD371" s="6"/>
    </row>
    <row r="372" spans="17:30" ht="13.2">
      <c r="Q372" s="6"/>
      <c r="Z372" s="6"/>
      <c r="AA372" s="6"/>
      <c r="AB372" s="6"/>
      <c r="AC372" s="6"/>
      <c r="AD372" s="6"/>
    </row>
    <row r="373" spans="17:30" ht="13.2">
      <c r="Q373" s="6"/>
      <c r="Z373" s="6"/>
      <c r="AA373" s="6"/>
      <c r="AB373" s="6"/>
      <c r="AC373" s="6"/>
      <c r="AD373" s="6"/>
    </row>
    <row r="374" spans="17:30" ht="13.2">
      <c r="Q374" s="6"/>
      <c r="Z374" s="6"/>
      <c r="AA374" s="6"/>
      <c r="AB374" s="6"/>
      <c r="AC374" s="6"/>
      <c r="AD374" s="6"/>
    </row>
    <row r="375" spans="17:30" ht="13.2">
      <c r="Q375" s="6"/>
      <c r="Z375" s="6"/>
      <c r="AA375" s="6"/>
      <c r="AB375" s="6"/>
      <c r="AC375" s="6"/>
      <c r="AD375" s="6"/>
    </row>
    <row r="376" spans="17:30" ht="13.2">
      <c r="Q376" s="6"/>
      <c r="Z376" s="6"/>
      <c r="AA376" s="6"/>
      <c r="AB376" s="6"/>
      <c r="AC376" s="6"/>
      <c r="AD376" s="6"/>
    </row>
    <row r="377" spans="17:30" ht="13.2">
      <c r="Q377" s="6"/>
      <c r="Z377" s="6"/>
      <c r="AA377" s="6"/>
      <c r="AB377" s="6"/>
      <c r="AC377" s="6"/>
      <c r="AD377" s="6"/>
    </row>
    <row r="378" spans="17:30" ht="13.2">
      <c r="Q378" s="6"/>
      <c r="Z378" s="6"/>
      <c r="AA378" s="6"/>
      <c r="AB378" s="6"/>
      <c r="AC378" s="6"/>
      <c r="AD378" s="6"/>
    </row>
    <row r="379" spans="17:30" ht="13.2">
      <c r="Q379" s="6"/>
      <c r="Z379" s="6"/>
      <c r="AA379" s="6"/>
      <c r="AB379" s="6"/>
      <c r="AC379" s="6"/>
      <c r="AD379" s="6"/>
    </row>
    <row r="380" spans="17:30" ht="13.2">
      <c r="Q380" s="6"/>
      <c r="Z380" s="6"/>
      <c r="AA380" s="6"/>
      <c r="AB380" s="6"/>
      <c r="AC380" s="6"/>
      <c r="AD380" s="6"/>
    </row>
    <row r="381" spans="17:30" ht="13.2">
      <c r="Q381" s="6"/>
      <c r="Z381" s="6"/>
      <c r="AA381" s="6"/>
      <c r="AB381" s="6"/>
      <c r="AC381" s="6"/>
      <c r="AD381" s="6"/>
    </row>
    <row r="382" spans="17:30" ht="13.2">
      <c r="Q382" s="6"/>
      <c r="Z382" s="6"/>
      <c r="AA382" s="6"/>
      <c r="AB382" s="6"/>
      <c r="AC382" s="6"/>
      <c r="AD382" s="6"/>
    </row>
    <row r="383" spans="17:30" ht="13.2">
      <c r="Q383" s="6"/>
      <c r="Z383" s="6"/>
      <c r="AA383" s="6"/>
      <c r="AB383" s="6"/>
      <c r="AC383" s="6"/>
      <c r="AD383" s="6"/>
    </row>
    <row r="384" spans="17:30" ht="13.2">
      <c r="Q384" s="6"/>
      <c r="Z384" s="6"/>
      <c r="AA384" s="6"/>
      <c r="AB384" s="6"/>
      <c r="AC384" s="6"/>
      <c r="AD384" s="6"/>
    </row>
    <row r="385" spans="17:30" ht="13.2">
      <c r="Q385" s="6"/>
      <c r="Z385" s="6"/>
      <c r="AA385" s="6"/>
      <c r="AB385" s="6"/>
      <c r="AC385" s="6"/>
      <c r="AD385" s="6"/>
    </row>
    <row r="386" spans="17:30" ht="13.2">
      <c r="Q386" s="6"/>
      <c r="Z386" s="6"/>
      <c r="AA386" s="6"/>
      <c r="AB386" s="6"/>
      <c r="AC386" s="6"/>
      <c r="AD386" s="6"/>
    </row>
    <row r="387" spans="17:30" ht="13.2">
      <c r="Q387" s="6"/>
      <c r="Z387" s="6"/>
      <c r="AA387" s="6"/>
      <c r="AB387" s="6"/>
      <c r="AC387" s="6"/>
      <c r="AD387" s="6"/>
    </row>
    <row r="388" spans="17:30" ht="13.2">
      <c r="Q388" s="6"/>
      <c r="Z388" s="6"/>
      <c r="AA388" s="6"/>
      <c r="AB388" s="6"/>
      <c r="AC388" s="6"/>
      <c r="AD388" s="6"/>
    </row>
    <row r="389" spans="17:30" ht="13.2">
      <c r="Q389" s="6"/>
      <c r="Z389" s="6"/>
      <c r="AA389" s="6"/>
      <c r="AB389" s="6"/>
      <c r="AC389" s="6"/>
      <c r="AD389" s="6"/>
    </row>
    <row r="390" spans="17:30" ht="13.2">
      <c r="Q390" s="6"/>
      <c r="Z390" s="6"/>
      <c r="AA390" s="6"/>
      <c r="AB390" s="6"/>
      <c r="AC390" s="6"/>
      <c r="AD390" s="6"/>
    </row>
    <row r="391" spans="17:30" ht="13.2">
      <c r="Q391" s="6"/>
      <c r="Z391" s="6"/>
      <c r="AA391" s="6"/>
      <c r="AB391" s="6"/>
      <c r="AC391" s="6"/>
      <c r="AD391" s="6"/>
    </row>
    <row r="392" spans="17:30" ht="13.2">
      <c r="Q392" s="6"/>
      <c r="Z392" s="6"/>
      <c r="AA392" s="6"/>
      <c r="AB392" s="6"/>
      <c r="AC392" s="6"/>
      <c r="AD392" s="6"/>
    </row>
    <row r="393" spans="17:30" ht="13.2">
      <c r="Q393" s="6"/>
      <c r="Z393" s="6"/>
      <c r="AA393" s="6"/>
      <c r="AB393" s="6"/>
      <c r="AC393" s="6"/>
      <c r="AD393" s="6"/>
    </row>
    <row r="394" spans="17:30" ht="13.2">
      <c r="Q394" s="6"/>
      <c r="Z394" s="6"/>
      <c r="AA394" s="6"/>
      <c r="AB394" s="6"/>
      <c r="AC394" s="6"/>
      <c r="AD394" s="6"/>
    </row>
    <row r="395" spans="17:30" ht="13.2">
      <c r="Q395" s="6"/>
      <c r="Z395" s="6"/>
      <c r="AA395" s="6"/>
      <c r="AB395" s="6"/>
      <c r="AC395" s="6"/>
      <c r="AD395" s="6"/>
    </row>
    <row r="396" spans="17:30" ht="13.2">
      <c r="Q396" s="6"/>
      <c r="Z396" s="6"/>
      <c r="AA396" s="6"/>
      <c r="AB396" s="6"/>
      <c r="AC396" s="6"/>
      <c r="AD396" s="6"/>
    </row>
    <row r="397" spans="17:30" ht="13.2">
      <c r="Q397" s="6"/>
      <c r="Z397" s="6"/>
      <c r="AA397" s="6"/>
      <c r="AB397" s="6"/>
      <c r="AC397" s="6"/>
      <c r="AD397" s="6"/>
    </row>
    <row r="398" spans="17:30" ht="13.2">
      <c r="Q398" s="6"/>
      <c r="Z398" s="6"/>
      <c r="AA398" s="6"/>
      <c r="AB398" s="6"/>
      <c r="AC398" s="6"/>
      <c r="AD398" s="6"/>
    </row>
    <row r="399" spans="17:30" ht="13.2">
      <c r="Q399" s="6"/>
      <c r="Z399" s="6"/>
      <c r="AA399" s="6"/>
      <c r="AB399" s="6"/>
      <c r="AC399" s="6"/>
      <c r="AD399" s="6"/>
    </row>
    <row r="400" spans="17:30" ht="13.2">
      <c r="Q400" s="6"/>
      <c r="Z400" s="6"/>
      <c r="AA400" s="6"/>
      <c r="AB400" s="6"/>
      <c r="AC400" s="6"/>
      <c r="AD400" s="6"/>
    </row>
    <row r="401" spans="17:30" ht="13.2">
      <c r="Q401" s="6"/>
      <c r="Z401" s="6"/>
      <c r="AA401" s="6"/>
      <c r="AB401" s="6"/>
      <c r="AC401" s="6"/>
      <c r="AD401" s="6"/>
    </row>
    <row r="402" spans="17:30" ht="13.2">
      <c r="Q402" s="6"/>
      <c r="Z402" s="6"/>
      <c r="AA402" s="6"/>
      <c r="AB402" s="6"/>
      <c r="AC402" s="6"/>
      <c r="AD402" s="6"/>
    </row>
    <row r="403" spans="17:30" ht="13.2">
      <c r="Q403" s="6"/>
      <c r="Z403" s="6"/>
      <c r="AA403" s="6"/>
      <c r="AB403" s="6"/>
      <c r="AC403" s="6"/>
      <c r="AD403" s="6"/>
    </row>
    <row r="404" spans="17:30" ht="13.2">
      <c r="Q404" s="6"/>
      <c r="Z404" s="6"/>
      <c r="AA404" s="6"/>
      <c r="AB404" s="6"/>
      <c r="AC404" s="6"/>
      <c r="AD404" s="6"/>
    </row>
    <row r="405" spans="17:30" ht="13.2">
      <c r="Q405" s="6"/>
      <c r="Z405" s="6"/>
      <c r="AA405" s="6"/>
      <c r="AB405" s="6"/>
      <c r="AC405" s="6"/>
      <c r="AD405" s="6"/>
    </row>
    <row r="406" spans="17:30" ht="13.2">
      <c r="Q406" s="6"/>
      <c r="Z406" s="6"/>
      <c r="AA406" s="6"/>
      <c r="AB406" s="6"/>
      <c r="AC406" s="6"/>
      <c r="AD406" s="6"/>
    </row>
    <row r="407" spans="17:30" ht="13.2">
      <c r="Q407" s="6"/>
      <c r="Z407" s="6"/>
      <c r="AA407" s="6"/>
      <c r="AB407" s="6"/>
      <c r="AC407" s="6"/>
      <c r="AD407" s="6"/>
    </row>
    <row r="408" spans="17:30" ht="13.2">
      <c r="Q408" s="6"/>
      <c r="Z408" s="6"/>
      <c r="AA408" s="6"/>
      <c r="AB408" s="6"/>
      <c r="AC408" s="6"/>
      <c r="AD408" s="6"/>
    </row>
    <row r="409" spans="17:30" ht="13.2">
      <c r="Q409" s="6"/>
      <c r="Z409" s="6"/>
      <c r="AA409" s="6"/>
      <c r="AB409" s="6"/>
      <c r="AC409" s="6"/>
      <c r="AD409" s="6"/>
    </row>
    <row r="410" spans="17:30" ht="13.2">
      <c r="Q410" s="6"/>
      <c r="Z410" s="6"/>
      <c r="AA410" s="6"/>
      <c r="AB410" s="6"/>
      <c r="AC410" s="6"/>
      <c r="AD410" s="6"/>
    </row>
    <row r="411" spans="17:30" ht="13.2">
      <c r="Q411" s="6"/>
      <c r="Z411" s="6"/>
      <c r="AA411" s="6"/>
      <c r="AB411" s="6"/>
      <c r="AC411" s="6"/>
      <c r="AD411" s="6"/>
    </row>
    <row r="412" spans="17:30" ht="13.2">
      <c r="Q412" s="6"/>
      <c r="Z412" s="6"/>
      <c r="AA412" s="6"/>
      <c r="AB412" s="6"/>
      <c r="AC412" s="6"/>
      <c r="AD412" s="6"/>
    </row>
    <row r="413" spans="17:30" ht="13.2">
      <c r="Q413" s="6"/>
      <c r="Z413" s="6"/>
      <c r="AA413" s="6"/>
      <c r="AB413" s="6"/>
      <c r="AC413" s="6"/>
      <c r="AD413" s="6"/>
    </row>
    <row r="414" spans="17:30" ht="13.2">
      <c r="Q414" s="6"/>
      <c r="Z414" s="6"/>
      <c r="AA414" s="6"/>
      <c r="AB414" s="6"/>
      <c r="AC414" s="6"/>
      <c r="AD414" s="6"/>
    </row>
    <row r="415" spans="17:30" ht="13.2">
      <c r="Q415" s="6"/>
      <c r="Z415" s="6"/>
      <c r="AA415" s="6"/>
      <c r="AB415" s="6"/>
      <c r="AC415" s="6"/>
      <c r="AD415" s="6"/>
    </row>
    <row r="416" spans="17:30" ht="13.2">
      <c r="Q416" s="6"/>
      <c r="Z416" s="6"/>
      <c r="AA416" s="6"/>
      <c r="AB416" s="6"/>
      <c r="AC416" s="6"/>
      <c r="AD416" s="6"/>
    </row>
    <row r="417" spans="17:30" ht="13.2">
      <c r="Q417" s="6"/>
      <c r="Z417" s="6"/>
      <c r="AA417" s="6"/>
      <c r="AB417" s="6"/>
      <c r="AC417" s="6"/>
      <c r="AD417" s="6"/>
    </row>
    <row r="418" spans="17:30" ht="13.2">
      <c r="Q418" s="6"/>
      <c r="Z418" s="6"/>
      <c r="AA418" s="6"/>
      <c r="AB418" s="6"/>
      <c r="AC418" s="6"/>
      <c r="AD418" s="6"/>
    </row>
    <row r="419" spans="17:30" ht="13.2">
      <c r="Q419" s="6"/>
      <c r="Z419" s="6"/>
      <c r="AA419" s="6"/>
      <c r="AB419" s="6"/>
      <c r="AC419" s="6"/>
      <c r="AD419" s="6"/>
    </row>
    <row r="420" spans="17:30" ht="13.2">
      <c r="Q420" s="6"/>
      <c r="Z420" s="6"/>
      <c r="AA420" s="6"/>
      <c r="AB420" s="6"/>
      <c r="AC420" s="6"/>
      <c r="AD420" s="6"/>
    </row>
    <row r="421" spans="17:30" ht="13.2">
      <c r="Q421" s="6"/>
      <c r="Z421" s="6"/>
      <c r="AA421" s="6"/>
      <c r="AB421" s="6"/>
      <c r="AC421" s="6"/>
      <c r="AD421" s="6"/>
    </row>
    <row r="422" spans="17:30" ht="13.2">
      <c r="Q422" s="6"/>
      <c r="Z422" s="6"/>
      <c r="AA422" s="6"/>
      <c r="AB422" s="6"/>
      <c r="AC422" s="6"/>
      <c r="AD422" s="6"/>
    </row>
    <row r="423" spans="17:30" ht="13.2">
      <c r="Q423" s="6"/>
      <c r="Z423" s="6"/>
      <c r="AA423" s="6"/>
      <c r="AB423" s="6"/>
      <c r="AC423" s="6"/>
      <c r="AD423" s="6"/>
    </row>
    <row r="424" spans="17:30" ht="13.2">
      <c r="Q424" s="6"/>
      <c r="Z424" s="6"/>
      <c r="AA424" s="6"/>
      <c r="AB424" s="6"/>
      <c r="AC424" s="6"/>
      <c r="AD424" s="6"/>
    </row>
    <row r="425" spans="17:30" ht="13.2">
      <c r="Q425" s="6"/>
      <c r="Z425" s="6"/>
      <c r="AA425" s="6"/>
      <c r="AB425" s="6"/>
      <c r="AC425" s="6"/>
      <c r="AD425" s="6"/>
    </row>
    <row r="426" spans="17:30" ht="13.2">
      <c r="Q426" s="6"/>
      <c r="Z426" s="6"/>
      <c r="AA426" s="6"/>
      <c r="AB426" s="6"/>
      <c r="AC426" s="6"/>
      <c r="AD426" s="6"/>
    </row>
    <row r="427" spans="17:30" ht="13.2">
      <c r="Q427" s="6"/>
      <c r="Z427" s="6"/>
      <c r="AA427" s="6"/>
      <c r="AB427" s="6"/>
      <c r="AC427" s="6"/>
      <c r="AD427" s="6"/>
    </row>
    <row r="428" spans="17:30" ht="13.2">
      <c r="Q428" s="6"/>
      <c r="Z428" s="6"/>
      <c r="AA428" s="6"/>
      <c r="AB428" s="6"/>
      <c r="AC428" s="6"/>
      <c r="AD428" s="6"/>
    </row>
    <row r="429" spans="17:30" ht="13.2">
      <c r="Q429" s="6"/>
      <c r="Z429" s="6"/>
      <c r="AA429" s="6"/>
      <c r="AB429" s="6"/>
      <c r="AC429" s="6"/>
      <c r="AD429" s="6"/>
    </row>
    <row r="430" spans="17:30" ht="13.2">
      <c r="Q430" s="6"/>
      <c r="Z430" s="6"/>
      <c r="AA430" s="6"/>
      <c r="AB430" s="6"/>
      <c r="AC430" s="6"/>
      <c r="AD430" s="6"/>
    </row>
    <row r="431" spans="17:30" ht="13.2">
      <c r="Q431" s="6"/>
      <c r="Z431" s="6"/>
      <c r="AA431" s="6"/>
      <c r="AB431" s="6"/>
      <c r="AC431" s="6"/>
      <c r="AD431" s="6"/>
    </row>
    <row r="432" spans="17:30" ht="13.2">
      <c r="Q432" s="6"/>
      <c r="Z432" s="6"/>
      <c r="AA432" s="6"/>
      <c r="AB432" s="6"/>
      <c r="AC432" s="6"/>
      <c r="AD432" s="6"/>
    </row>
    <row r="433" spans="17:30" ht="13.2">
      <c r="Q433" s="6"/>
      <c r="Z433" s="6"/>
      <c r="AA433" s="6"/>
      <c r="AB433" s="6"/>
      <c r="AC433" s="6"/>
      <c r="AD433" s="6"/>
    </row>
    <row r="434" spans="17:30" ht="13.2">
      <c r="Q434" s="6"/>
      <c r="Z434" s="6"/>
      <c r="AA434" s="6"/>
      <c r="AB434" s="6"/>
      <c r="AC434" s="6"/>
      <c r="AD434" s="6"/>
    </row>
    <row r="435" spans="17:30" ht="13.2">
      <c r="Q435" s="6"/>
      <c r="Z435" s="6"/>
      <c r="AA435" s="6"/>
      <c r="AB435" s="6"/>
      <c r="AC435" s="6"/>
      <c r="AD435" s="6"/>
    </row>
    <row r="436" spans="17:30" ht="13.2">
      <c r="Q436" s="6"/>
      <c r="Z436" s="6"/>
      <c r="AA436" s="6"/>
      <c r="AB436" s="6"/>
      <c r="AC436" s="6"/>
      <c r="AD436" s="6"/>
    </row>
    <row r="437" spans="17:30" ht="13.2">
      <c r="Q437" s="6"/>
      <c r="Z437" s="6"/>
      <c r="AA437" s="6"/>
      <c r="AB437" s="6"/>
      <c r="AC437" s="6"/>
      <c r="AD437" s="6"/>
    </row>
    <row r="438" spans="17:30" ht="13.2">
      <c r="Q438" s="6"/>
      <c r="Z438" s="6"/>
      <c r="AA438" s="6"/>
      <c r="AB438" s="6"/>
      <c r="AC438" s="6"/>
      <c r="AD438" s="6"/>
    </row>
    <row r="439" spans="17:30" ht="13.2">
      <c r="Q439" s="6"/>
      <c r="Z439" s="6"/>
      <c r="AA439" s="6"/>
      <c r="AB439" s="6"/>
      <c r="AC439" s="6"/>
      <c r="AD439" s="6"/>
    </row>
    <row r="440" spans="17:30" ht="13.2">
      <c r="Q440" s="6"/>
      <c r="Z440" s="6"/>
      <c r="AA440" s="6"/>
      <c r="AB440" s="6"/>
      <c r="AC440" s="6"/>
      <c r="AD440" s="6"/>
    </row>
    <row r="441" spans="17:30" ht="13.2">
      <c r="Q441" s="6"/>
      <c r="Z441" s="6"/>
      <c r="AA441" s="6"/>
      <c r="AB441" s="6"/>
      <c r="AC441" s="6"/>
      <c r="AD441" s="6"/>
    </row>
    <row r="442" spans="17:30" ht="13.2">
      <c r="Q442" s="6"/>
      <c r="Z442" s="6"/>
      <c r="AA442" s="6"/>
      <c r="AB442" s="6"/>
      <c r="AC442" s="6"/>
      <c r="AD442" s="6"/>
    </row>
    <row r="443" spans="17:30" ht="13.2">
      <c r="Q443" s="6"/>
      <c r="Z443" s="6"/>
      <c r="AA443" s="6"/>
      <c r="AB443" s="6"/>
      <c r="AC443" s="6"/>
      <c r="AD443" s="6"/>
    </row>
    <row r="444" spans="17:30" ht="13.2">
      <c r="Q444" s="6"/>
      <c r="Z444" s="6"/>
      <c r="AA444" s="6"/>
      <c r="AB444" s="6"/>
      <c r="AC444" s="6"/>
      <c r="AD444" s="6"/>
    </row>
    <row r="445" spans="17:30" ht="13.2">
      <c r="Q445" s="6"/>
      <c r="Z445" s="6"/>
      <c r="AA445" s="6"/>
      <c r="AB445" s="6"/>
      <c r="AC445" s="6"/>
      <c r="AD445" s="6"/>
    </row>
    <row r="446" spans="17:30" ht="13.2">
      <c r="Q446" s="6"/>
      <c r="Z446" s="6"/>
      <c r="AA446" s="6"/>
      <c r="AB446" s="6"/>
      <c r="AC446" s="6"/>
      <c r="AD446" s="6"/>
    </row>
    <row r="447" spans="17:30" ht="13.2">
      <c r="Q447" s="6"/>
      <c r="Z447" s="6"/>
      <c r="AA447" s="6"/>
      <c r="AB447" s="6"/>
      <c r="AC447" s="6"/>
      <c r="AD447" s="6"/>
    </row>
    <row r="448" spans="17:30" ht="13.2">
      <c r="Q448" s="6"/>
      <c r="Z448" s="6"/>
      <c r="AA448" s="6"/>
      <c r="AB448" s="6"/>
      <c r="AC448" s="6"/>
      <c r="AD448" s="6"/>
    </row>
    <row r="449" spans="17:30" ht="13.2">
      <c r="Q449" s="6"/>
      <c r="Z449" s="6"/>
      <c r="AA449" s="6"/>
      <c r="AB449" s="6"/>
      <c r="AC449" s="6"/>
      <c r="AD449" s="6"/>
    </row>
    <row r="450" spans="17:30" ht="13.2">
      <c r="Q450" s="6"/>
      <c r="Z450" s="6"/>
      <c r="AA450" s="6"/>
      <c r="AB450" s="6"/>
      <c r="AC450" s="6"/>
      <c r="AD450" s="6"/>
    </row>
    <row r="451" spans="17:30" ht="13.2">
      <c r="Q451" s="6"/>
      <c r="Z451" s="6"/>
      <c r="AA451" s="6"/>
      <c r="AB451" s="6"/>
      <c r="AC451" s="6"/>
      <c r="AD451" s="6"/>
    </row>
    <row r="452" spans="17:30" ht="13.2">
      <c r="Q452" s="6"/>
      <c r="Z452" s="6"/>
      <c r="AA452" s="6"/>
      <c r="AB452" s="6"/>
      <c r="AC452" s="6"/>
      <c r="AD452" s="6"/>
    </row>
    <row r="453" spans="17:30" ht="13.2">
      <c r="Q453" s="6"/>
      <c r="Z453" s="6"/>
      <c r="AA453" s="6"/>
      <c r="AB453" s="6"/>
      <c r="AC453" s="6"/>
      <c r="AD453" s="6"/>
    </row>
    <row r="454" spans="17:30" ht="13.2">
      <c r="Q454" s="6"/>
      <c r="Z454" s="6"/>
      <c r="AA454" s="6"/>
      <c r="AB454" s="6"/>
      <c r="AC454" s="6"/>
      <c r="AD454" s="6"/>
    </row>
    <row r="455" spans="17:30" ht="13.2">
      <c r="Q455" s="6"/>
      <c r="Z455" s="6"/>
      <c r="AA455" s="6"/>
      <c r="AB455" s="6"/>
      <c r="AC455" s="6"/>
      <c r="AD455" s="6"/>
    </row>
    <row r="456" spans="17:30" ht="13.2">
      <c r="Q456" s="6"/>
      <c r="Z456" s="6"/>
      <c r="AA456" s="6"/>
      <c r="AB456" s="6"/>
      <c r="AC456" s="6"/>
      <c r="AD456" s="6"/>
    </row>
    <row r="457" spans="17:30" ht="13.2">
      <c r="Q457" s="6"/>
      <c r="Z457" s="6"/>
      <c r="AA457" s="6"/>
      <c r="AB457" s="6"/>
      <c r="AC457" s="6"/>
      <c r="AD457" s="6"/>
    </row>
    <row r="458" spans="17:30" ht="13.2">
      <c r="Q458" s="6"/>
      <c r="Z458" s="6"/>
      <c r="AA458" s="6"/>
      <c r="AB458" s="6"/>
      <c r="AC458" s="6"/>
      <c r="AD458" s="6"/>
    </row>
    <row r="459" spans="17:30" ht="13.2">
      <c r="Q459" s="6"/>
      <c r="Z459" s="6"/>
      <c r="AA459" s="6"/>
      <c r="AB459" s="6"/>
      <c r="AC459" s="6"/>
      <c r="AD459" s="6"/>
    </row>
    <row r="460" spans="17:30" ht="13.2">
      <c r="Q460" s="6"/>
      <c r="Z460" s="6"/>
      <c r="AA460" s="6"/>
      <c r="AB460" s="6"/>
      <c r="AC460" s="6"/>
      <c r="AD460" s="6"/>
    </row>
    <row r="461" spans="17:30" ht="13.2">
      <c r="Q461" s="6"/>
      <c r="Z461" s="6"/>
      <c r="AA461" s="6"/>
      <c r="AB461" s="6"/>
      <c r="AC461" s="6"/>
      <c r="AD461" s="6"/>
    </row>
    <row r="462" spans="17:30" ht="13.2">
      <c r="Q462" s="6"/>
      <c r="Z462" s="6"/>
      <c r="AA462" s="6"/>
      <c r="AB462" s="6"/>
      <c r="AC462" s="6"/>
      <c r="AD462" s="6"/>
    </row>
    <row r="463" spans="17:30" ht="13.2">
      <c r="Q463" s="6"/>
      <c r="Z463" s="6"/>
      <c r="AA463" s="6"/>
      <c r="AB463" s="6"/>
      <c r="AC463" s="6"/>
      <c r="AD463" s="6"/>
    </row>
    <row r="464" spans="17:30" ht="13.2">
      <c r="Q464" s="6"/>
      <c r="Z464" s="6"/>
      <c r="AA464" s="6"/>
      <c r="AB464" s="6"/>
      <c r="AC464" s="6"/>
      <c r="AD464" s="6"/>
    </row>
    <row r="465" spans="17:30" ht="13.2">
      <c r="Q465" s="6"/>
      <c r="Z465" s="6"/>
      <c r="AA465" s="6"/>
      <c r="AB465" s="6"/>
      <c r="AC465" s="6"/>
      <c r="AD465" s="6"/>
    </row>
    <row r="466" spans="17:30" ht="13.2">
      <c r="Q466" s="6"/>
      <c r="Z466" s="6"/>
      <c r="AA466" s="6"/>
      <c r="AB466" s="6"/>
      <c r="AC466" s="6"/>
      <c r="AD466" s="6"/>
    </row>
    <row r="467" spans="17:30" ht="13.2">
      <c r="Q467" s="6"/>
      <c r="Z467" s="6"/>
      <c r="AA467" s="6"/>
      <c r="AB467" s="6"/>
      <c r="AC467" s="6"/>
      <c r="AD467" s="6"/>
    </row>
    <row r="468" spans="17:30" ht="13.2">
      <c r="Q468" s="6"/>
      <c r="Z468" s="6"/>
      <c r="AA468" s="6"/>
      <c r="AB468" s="6"/>
      <c r="AC468" s="6"/>
      <c r="AD468" s="6"/>
    </row>
    <row r="469" spans="17:30" ht="13.2">
      <c r="Q469" s="6"/>
      <c r="Z469" s="6"/>
      <c r="AA469" s="6"/>
      <c r="AB469" s="6"/>
      <c r="AC469" s="6"/>
      <c r="AD469" s="6"/>
    </row>
    <row r="470" spans="17:30" ht="13.2">
      <c r="Q470" s="6"/>
      <c r="Z470" s="6"/>
      <c r="AA470" s="6"/>
      <c r="AB470" s="6"/>
      <c r="AC470" s="6"/>
      <c r="AD470" s="6"/>
    </row>
    <row r="471" spans="17:30" ht="13.2">
      <c r="Q471" s="6"/>
      <c r="Z471" s="6"/>
      <c r="AA471" s="6"/>
      <c r="AB471" s="6"/>
      <c r="AC471" s="6"/>
      <c r="AD471" s="6"/>
    </row>
    <row r="472" spans="17:30" ht="13.2">
      <c r="Q472" s="6"/>
      <c r="Z472" s="6"/>
      <c r="AA472" s="6"/>
      <c r="AB472" s="6"/>
      <c r="AC472" s="6"/>
      <c r="AD472" s="6"/>
    </row>
    <row r="473" spans="17:30" ht="13.2">
      <c r="Q473" s="6"/>
      <c r="Z473" s="6"/>
      <c r="AA473" s="6"/>
      <c r="AB473" s="6"/>
      <c r="AC473" s="6"/>
      <c r="AD473" s="6"/>
    </row>
    <row r="474" spans="17:30" ht="13.2">
      <c r="Q474" s="6"/>
      <c r="Z474" s="6"/>
      <c r="AA474" s="6"/>
      <c r="AB474" s="6"/>
      <c r="AC474" s="6"/>
      <c r="AD474" s="6"/>
    </row>
    <row r="475" spans="17:30" ht="13.2">
      <c r="Q475" s="6"/>
      <c r="Z475" s="6"/>
      <c r="AA475" s="6"/>
      <c r="AB475" s="6"/>
      <c r="AC475" s="6"/>
      <c r="AD475" s="6"/>
    </row>
    <row r="476" spans="17:30" ht="13.2">
      <c r="Q476" s="6"/>
      <c r="Z476" s="6"/>
      <c r="AA476" s="6"/>
      <c r="AB476" s="6"/>
      <c r="AC476" s="6"/>
      <c r="AD476" s="6"/>
    </row>
    <row r="477" spans="17:30" ht="13.2">
      <c r="Q477" s="6"/>
      <c r="Z477" s="6"/>
      <c r="AA477" s="6"/>
      <c r="AB477" s="6"/>
      <c r="AC477" s="6"/>
      <c r="AD477" s="6"/>
    </row>
    <row r="478" spans="17:30" ht="13.2">
      <c r="Q478" s="6"/>
      <c r="Z478" s="6"/>
      <c r="AA478" s="6"/>
      <c r="AB478" s="6"/>
      <c r="AC478" s="6"/>
      <c r="AD478" s="6"/>
    </row>
    <row r="479" spans="17:30" ht="13.2">
      <c r="Q479" s="6"/>
      <c r="Z479" s="6"/>
      <c r="AA479" s="6"/>
      <c r="AB479" s="6"/>
      <c r="AC479" s="6"/>
      <c r="AD479" s="6"/>
    </row>
    <row r="480" spans="17:30" ht="13.2">
      <c r="Q480" s="6"/>
      <c r="Z480" s="6"/>
      <c r="AA480" s="6"/>
      <c r="AB480" s="6"/>
      <c r="AC480" s="6"/>
      <c r="AD480" s="6"/>
    </row>
    <row r="481" spans="17:30" ht="13.2">
      <c r="Q481" s="6"/>
      <c r="Z481" s="6"/>
      <c r="AA481" s="6"/>
      <c r="AB481" s="6"/>
      <c r="AC481" s="6"/>
      <c r="AD481" s="6"/>
    </row>
    <row r="482" spans="17:30" ht="13.2">
      <c r="Q482" s="6"/>
      <c r="Z482" s="6"/>
      <c r="AA482" s="6"/>
      <c r="AB482" s="6"/>
      <c r="AC482" s="6"/>
      <c r="AD482" s="6"/>
    </row>
    <row r="483" spans="17:30" ht="13.2">
      <c r="Q483" s="6"/>
      <c r="Z483" s="6"/>
      <c r="AA483" s="6"/>
      <c r="AB483" s="6"/>
      <c r="AC483" s="6"/>
      <c r="AD483" s="6"/>
    </row>
    <row r="484" spans="17:30" ht="13.2">
      <c r="Q484" s="6"/>
      <c r="Z484" s="6"/>
      <c r="AA484" s="6"/>
      <c r="AB484" s="6"/>
      <c r="AC484" s="6"/>
      <c r="AD484" s="6"/>
    </row>
    <row r="485" spans="17:30" ht="13.2">
      <c r="Q485" s="6"/>
      <c r="Z485" s="6"/>
      <c r="AA485" s="6"/>
      <c r="AB485" s="6"/>
      <c r="AC485" s="6"/>
      <c r="AD485" s="6"/>
    </row>
    <row r="486" spans="17:30" ht="13.2">
      <c r="Q486" s="6"/>
      <c r="Z486" s="6"/>
      <c r="AA486" s="6"/>
      <c r="AB486" s="6"/>
      <c r="AC486" s="6"/>
      <c r="AD486" s="6"/>
    </row>
    <row r="487" spans="17:30" ht="13.2">
      <c r="Q487" s="6"/>
      <c r="Z487" s="6"/>
      <c r="AA487" s="6"/>
      <c r="AB487" s="6"/>
      <c r="AC487" s="6"/>
      <c r="AD487" s="6"/>
    </row>
    <row r="488" spans="17:30" ht="13.2">
      <c r="Q488" s="6"/>
      <c r="Z488" s="6"/>
      <c r="AA488" s="6"/>
      <c r="AB488" s="6"/>
      <c r="AC488" s="6"/>
      <c r="AD488" s="6"/>
    </row>
    <row r="489" spans="17:30" ht="13.2">
      <c r="Q489" s="6"/>
      <c r="Z489" s="6"/>
      <c r="AA489" s="6"/>
      <c r="AB489" s="6"/>
      <c r="AC489" s="6"/>
      <c r="AD489" s="6"/>
    </row>
    <row r="490" spans="17:30" ht="13.2">
      <c r="Q490" s="6"/>
      <c r="Z490" s="6"/>
      <c r="AA490" s="6"/>
      <c r="AB490" s="6"/>
      <c r="AC490" s="6"/>
      <c r="AD490" s="6"/>
    </row>
    <row r="491" spans="17:30" ht="13.2">
      <c r="Q491" s="6"/>
      <c r="Z491" s="6"/>
      <c r="AA491" s="6"/>
      <c r="AB491" s="6"/>
      <c r="AC491" s="6"/>
      <c r="AD491" s="6"/>
    </row>
    <row r="492" spans="17:30" ht="13.2">
      <c r="Q492" s="6"/>
      <c r="Z492" s="6"/>
      <c r="AA492" s="6"/>
      <c r="AB492" s="6"/>
      <c r="AC492" s="6"/>
      <c r="AD492" s="6"/>
    </row>
    <row r="493" spans="17:30" ht="13.2">
      <c r="Q493" s="6"/>
      <c r="Z493" s="6"/>
      <c r="AA493" s="6"/>
      <c r="AB493" s="6"/>
      <c r="AC493" s="6"/>
      <c r="AD493" s="6"/>
    </row>
    <row r="494" spans="17:30" ht="13.2">
      <c r="Q494" s="6"/>
      <c r="Z494" s="6"/>
      <c r="AA494" s="6"/>
      <c r="AB494" s="6"/>
      <c r="AC494" s="6"/>
      <c r="AD494" s="6"/>
    </row>
    <row r="495" spans="17:30" ht="13.2">
      <c r="Q495" s="6"/>
      <c r="Z495" s="6"/>
      <c r="AA495" s="6"/>
      <c r="AB495" s="6"/>
      <c r="AC495" s="6"/>
      <c r="AD495" s="6"/>
    </row>
    <row r="496" spans="17:30" ht="13.2">
      <c r="Q496" s="6"/>
      <c r="Z496" s="6"/>
      <c r="AA496" s="6"/>
      <c r="AB496" s="6"/>
      <c r="AC496" s="6"/>
      <c r="AD496" s="6"/>
    </row>
    <row r="497" spans="17:30" ht="13.2">
      <c r="Q497" s="6"/>
      <c r="Z497" s="6"/>
      <c r="AA497" s="6"/>
      <c r="AB497" s="6"/>
      <c r="AC497" s="6"/>
      <c r="AD497" s="6"/>
    </row>
    <row r="498" spans="17:30" ht="13.2">
      <c r="Q498" s="6"/>
      <c r="Z498" s="6"/>
      <c r="AA498" s="6"/>
      <c r="AB498" s="6"/>
      <c r="AC498" s="6"/>
      <c r="AD498" s="6"/>
    </row>
    <row r="499" spans="17:30" ht="13.2">
      <c r="Q499" s="6"/>
      <c r="Z499" s="6"/>
      <c r="AA499" s="6"/>
      <c r="AB499" s="6"/>
      <c r="AC499" s="6"/>
      <c r="AD499" s="6"/>
    </row>
    <row r="500" spans="17:30" ht="13.2">
      <c r="Q500" s="6"/>
      <c r="Z500" s="6"/>
      <c r="AA500" s="6"/>
      <c r="AB500" s="6"/>
      <c r="AC500" s="6"/>
      <c r="AD500" s="6"/>
    </row>
    <row r="501" spans="17:30" ht="13.2">
      <c r="Q501" s="6"/>
      <c r="Z501" s="6"/>
      <c r="AA501" s="6"/>
      <c r="AB501" s="6"/>
      <c r="AC501" s="6"/>
      <c r="AD501" s="6"/>
    </row>
    <row r="502" spans="17:30" ht="13.2">
      <c r="Q502" s="6"/>
      <c r="Z502" s="6"/>
      <c r="AA502" s="6"/>
      <c r="AB502" s="6"/>
      <c r="AC502" s="6"/>
      <c r="AD502" s="6"/>
    </row>
    <row r="503" spans="17:30" ht="13.2">
      <c r="Q503" s="6"/>
      <c r="Z503" s="6"/>
      <c r="AA503" s="6"/>
      <c r="AB503" s="6"/>
      <c r="AC503" s="6"/>
      <c r="AD503" s="6"/>
    </row>
    <row r="504" spans="17:30" ht="13.2">
      <c r="Q504" s="6"/>
      <c r="Z504" s="6"/>
      <c r="AA504" s="6"/>
      <c r="AB504" s="6"/>
      <c r="AC504" s="6"/>
      <c r="AD504" s="6"/>
    </row>
    <row r="505" spans="17:30" ht="13.2">
      <c r="Q505" s="6"/>
      <c r="Z505" s="6"/>
      <c r="AA505" s="6"/>
      <c r="AB505" s="6"/>
      <c r="AC505" s="6"/>
      <c r="AD505" s="6"/>
    </row>
    <row r="506" spans="17:30" ht="13.2">
      <c r="Q506" s="6"/>
      <c r="Z506" s="6"/>
      <c r="AA506" s="6"/>
      <c r="AB506" s="6"/>
      <c r="AC506" s="6"/>
      <c r="AD506" s="6"/>
    </row>
    <row r="507" spans="17:30" ht="13.2">
      <c r="Q507" s="6"/>
      <c r="Z507" s="6"/>
      <c r="AA507" s="6"/>
      <c r="AB507" s="6"/>
      <c r="AC507" s="6"/>
      <c r="AD507" s="6"/>
    </row>
    <row r="508" spans="17:30" ht="13.2">
      <c r="Q508" s="6"/>
      <c r="Z508" s="6"/>
      <c r="AA508" s="6"/>
      <c r="AB508" s="6"/>
      <c r="AC508" s="6"/>
      <c r="AD508" s="6"/>
    </row>
    <row r="509" spans="17:30" ht="13.2">
      <c r="Q509" s="6"/>
      <c r="Z509" s="6"/>
      <c r="AA509" s="6"/>
      <c r="AB509" s="6"/>
      <c r="AC509" s="6"/>
      <c r="AD509" s="6"/>
    </row>
    <row r="510" spans="17:30" ht="13.2">
      <c r="Q510" s="6"/>
      <c r="Z510" s="6"/>
      <c r="AA510" s="6"/>
      <c r="AB510" s="6"/>
      <c r="AC510" s="6"/>
      <c r="AD510" s="6"/>
    </row>
    <row r="511" spans="17:30" ht="13.2">
      <c r="Q511" s="6"/>
      <c r="Z511" s="6"/>
      <c r="AA511" s="6"/>
      <c r="AB511" s="6"/>
      <c r="AC511" s="6"/>
      <c r="AD511" s="6"/>
    </row>
    <row r="512" spans="17:30" ht="13.2">
      <c r="Q512" s="6"/>
      <c r="Z512" s="6"/>
      <c r="AA512" s="6"/>
      <c r="AB512" s="6"/>
      <c r="AC512" s="6"/>
      <c r="AD512" s="6"/>
    </row>
    <row r="513" spans="17:30" ht="13.2">
      <c r="Q513" s="6"/>
      <c r="Z513" s="6"/>
      <c r="AA513" s="6"/>
      <c r="AB513" s="6"/>
      <c r="AC513" s="6"/>
      <c r="AD513" s="6"/>
    </row>
    <row r="514" spans="17:30" ht="13.2">
      <c r="Q514" s="6"/>
      <c r="Z514" s="6"/>
      <c r="AA514" s="6"/>
      <c r="AB514" s="6"/>
      <c r="AC514" s="6"/>
      <c r="AD514" s="6"/>
    </row>
    <row r="515" spans="17:30" ht="13.2">
      <c r="Q515" s="6"/>
      <c r="Z515" s="6"/>
      <c r="AA515" s="6"/>
      <c r="AB515" s="6"/>
      <c r="AC515" s="6"/>
      <c r="AD515" s="6"/>
    </row>
    <row r="516" spans="17:30" ht="13.2">
      <c r="Q516" s="6"/>
      <c r="Z516" s="6"/>
      <c r="AA516" s="6"/>
      <c r="AB516" s="6"/>
      <c r="AC516" s="6"/>
      <c r="AD516" s="6"/>
    </row>
    <row r="517" spans="17:30" ht="13.2">
      <c r="Q517" s="6"/>
      <c r="Z517" s="6"/>
      <c r="AA517" s="6"/>
      <c r="AB517" s="6"/>
      <c r="AC517" s="6"/>
      <c r="AD517" s="6"/>
    </row>
    <row r="518" spans="17:30" ht="13.2">
      <c r="Q518" s="6"/>
      <c r="Z518" s="6"/>
      <c r="AA518" s="6"/>
      <c r="AB518" s="6"/>
      <c r="AC518" s="6"/>
      <c r="AD518" s="6"/>
    </row>
    <row r="519" spans="17:30" ht="13.2">
      <c r="Q519" s="6"/>
      <c r="Z519" s="6"/>
      <c r="AA519" s="6"/>
      <c r="AB519" s="6"/>
      <c r="AC519" s="6"/>
      <c r="AD519" s="6"/>
    </row>
    <row r="520" spans="17:30" ht="13.2">
      <c r="Q520" s="6"/>
      <c r="Z520" s="6"/>
      <c r="AA520" s="6"/>
      <c r="AB520" s="6"/>
      <c r="AC520" s="6"/>
      <c r="AD520" s="6"/>
    </row>
    <row r="521" spans="17:30" ht="13.2">
      <c r="Q521" s="6"/>
      <c r="Z521" s="6"/>
      <c r="AA521" s="6"/>
      <c r="AB521" s="6"/>
      <c r="AC521" s="6"/>
      <c r="AD521" s="6"/>
    </row>
    <row r="522" spans="17:30" ht="13.2">
      <c r="Q522" s="6"/>
      <c r="Z522" s="6"/>
      <c r="AA522" s="6"/>
      <c r="AB522" s="6"/>
      <c r="AC522" s="6"/>
      <c r="AD522" s="6"/>
    </row>
    <row r="523" spans="17:30" ht="13.2">
      <c r="Q523" s="6"/>
      <c r="Z523" s="6"/>
      <c r="AA523" s="6"/>
      <c r="AB523" s="6"/>
      <c r="AC523" s="6"/>
      <c r="AD523" s="6"/>
    </row>
    <row r="524" spans="17:30" ht="13.2">
      <c r="Q524" s="6"/>
      <c r="Z524" s="6"/>
      <c r="AA524" s="6"/>
      <c r="AB524" s="6"/>
      <c r="AC524" s="6"/>
      <c r="AD524" s="6"/>
    </row>
    <row r="525" spans="17:30" ht="13.2">
      <c r="Q525" s="6"/>
      <c r="Z525" s="6"/>
      <c r="AA525" s="6"/>
      <c r="AB525" s="6"/>
      <c r="AC525" s="6"/>
      <c r="AD525" s="6"/>
    </row>
    <row r="526" spans="17:30" ht="13.2">
      <c r="Q526" s="6"/>
      <c r="Z526" s="6"/>
      <c r="AA526" s="6"/>
      <c r="AB526" s="6"/>
      <c r="AC526" s="6"/>
      <c r="AD526" s="6"/>
    </row>
    <row r="527" spans="17:30" ht="13.2">
      <c r="Q527" s="6"/>
      <c r="Z527" s="6"/>
      <c r="AA527" s="6"/>
      <c r="AB527" s="6"/>
      <c r="AC527" s="6"/>
      <c r="AD527" s="6"/>
    </row>
    <row r="528" spans="17:30" ht="13.2">
      <c r="Q528" s="6"/>
      <c r="Z528" s="6"/>
      <c r="AA528" s="6"/>
      <c r="AB528" s="6"/>
      <c r="AC528" s="6"/>
      <c r="AD528" s="6"/>
    </row>
    <row r="529" spans="17:30" ht="13.2">
      <c r="Q529" s="6"/>
      <c r="Z529" s="6"/>
      <c r="AA529" s="6"/>
      <c r="AB529" s="6"/>
      <c r="AC529" s="6"/>
      <c r="AD529" s="6"/>
    </row>
    <row r="530" spans="17:30" ht="13.2">
      <c r="Q530" s="6"/>
      <c r="Z530" s="6"/>
      <c r="AA530" s="6"/>
      <c r="AB530" s="6"/>
      <c r="AC530" s="6"/>
      <c r="AD530" s="6"/>
    </row>
    <row r="531" spans="17:30" ht="13.2">
      <c r="Q531" s="6"/>
      <c r="Z531" s="6"/>
      <c r="AA531" s="6"/>
      <c r="AB531" s="6"/>
      <c r="AC531" s="6"/>
      <c r="AD531" s="6"/>
    </row>
    <row r="532" spans="17:30" ht="13.2">
      <c r="Q532" s="6"/>
      <c r="Z532" s="6"/>
      <c r="AA532" s="6"/>
      <c r="AB532" s="6"/>
      <c r="AC532" s="6"/>
      <c r="AD532" s="6"/>
    </row>
    <row r="533" spans="17:30" ht="13.2">
      <c r="Q533" s="6"/>
      <c r="Z533" s="6"/>
      <c r="AA533" s="6"/>
      <c r="AB533" s="6"/>
      <c r="AC533" s="6"/>
      <c r="AD533" s="6"/>
    </row>
    <row r="534" spans="17:30" ht="13.2">
      <c r="Q534" s="6"/>
      <c r="Z534" s="6"/>
      <c r="AA534" s="6"/>
      <c r="AB534" s="6"/>
      <c r="AC534" s="6"/>
      <c r="AD534" s="6"/>
    </row>
    <row r="535" spans="17:30" ht="13.2">
      <c r="Q535" s="6"/>
      <c r="Z535" s="6"/>
      <c r="AA535" s="6"/>
      <c r="AB535" s="6"/>
      <c r="AC535" s="6"/>
      <c r="AD535" s="6"/>
    </row>
    <row r="536" spans="17:30" ht="13.2">
      <c r="Q536" s="6"/>
      <c r="Z536" s="6"/>
      <c r="AA536" s="6"/>
      <c r="AB536" s="6"/>
      <c r="AC536" s="6"/>
      <c r="AD536" s="6"/>
    </row>
    <row r="537" spans="17:30" ht="13.2">
      <c r="Q537" s="6"/>
      <c r="Z537" s="6"/>
      <c r="AA537" s="6"/>
      <c r="AB537" s="6"/>
      <c r="AC537" s="6"/>
      <c r="AD537" s="6"/>
    </row>
    <row r="538" spans="17:30" ht="13.2">
      <c r="Q538" s="6"/>
      <c r="Z538" s="6"/>
      <c r="AA538" s="6"/>
      <c r="AB538" s="6"/>
      <c r="AC538" s="6"/>
      <c r="AD538" s="6"/>
    </row>
    <row r="539" spans="17:30" ht="13.2">
      <c r="Q539" s="6"/>
      <c r="Z539" s="6"/>
      <c r="AA539" s="6"/>
      <c r="AB539" s="6"/>
      <c r="AC539" s="6"/>
      <c r="AD539" s="6"/>
    </row>
    <row r="540" spans="17:30" ht="13.2">
      <c r="Q540" s="6"/>
      <c r="Z540" s="6"/>
      <c r="AA540" s="6"/>
      <c r="AB540" s="6"/>
      <c r="AC540" s="6"/>
      <c r="AD540" s="6"/>
    </row>
    <row r="541" spans="17:30" ht="13.2">
      <c r="Q541" s="6"/>
      <c r="Z541" s="6"/>
      <c r="AA541" s="6"/>
      <c r="AB541" s="6"/>
      <c r="AC541" s="6"/>
      <c r="AD541" s="6"/>
    </row>
    <row r="542" spans="17:30" ht="13.2">
      <c r="Q542" s="6"/>
      <c r="Z542" s="6"/>
      <c r="AA542" s="6"/>
      <c r="AB542" s="6"/>
      <c r="AC542" s="6"/>
      <c r="AD542" s="6"/>
    </row>
    <row r="543" spans="17:30" ht="13.2">
      <c r="Q543" s="6"/>
      <c r="Z543" s="6"/>
      <c r="AA543" s="6"/>
      <c r="AB543" s="6"/>
      <c r="AC543" s="6"/>
      <c r="AD543" s="6"/>
    </row>
    <row r="544" spans="17:30" ht="13.2">
      <c r="Q544" s="6"/>
      <c r="Z544" s="6"/>
      <c r="AA544" s="6"/>
      <c r="AB544" s="6"/>
      <c r="AC544" s="6"/>
      <c r="AD544" s="6"/>
    </row>
    <row r="545" spans="17:30" ht="13.2">
      <c r="Q545" s="6"/>
      <c r="Z545" s="6"/>
      <c r="AA545" s="6"/>
      <c r="AB545" s="6"/>
      <c r="AC545" s="6"/>
      <c r="AD545" s="6"/>
    </row>
    <row r="546" spans="17:30" ht="13.2">
      <c r="Q546" s="6"/>
      <c r="Z546" s="6"/>
      <c r="AA546" s="6"/>
      <c r="AB546" s="6"/>
      <c r="AC546" s="6"/>
      <c r="AD546" s="6"/>
    </row>
    <row r="547" spans="17:30" ht="13.2">
      <c r="Q547" s="6"/>
      <c r="Z547" s="6"/>
      <c r="AA547" s="6"/>
      <c r="AB547" s="6"/>
      <c r="AC547" s="6"/>
      <c r="AD547" s="6"/>
    </row>
    <row r="548" spans="17:30" ht="13.2">
      <c r="Q548" s="6"/>
      <c r="Z548" s="6"/>
      <c r="AA548" s="6"/>
      <c r="AB548" s="6"/>
      <c r="AC548" s="6"/>
      <c r="AD548" s="6"/>
    </row>
    <row r="549" spans="17:30" ht="13.2">
      <c r="Q549" s="6"/>
      <c r="Z549" s="6"/>
      <c r="AA549" s="6"/>
      <c r="AB549" s="6"/>
      <c r="AC549" s="6"/>
      <c r="AD549" s="6"/>
    </row>
    <row r="550" spans="17:30" ht="13.2">
      <c r="Q550" s="6"/>
      <c r="Z550" s="6"/>
      <c r="AA550" s="6"/>
      <c r="AB550" s="6"/>
      <c r="AC550" s="6"/>
      <c r="AD550" s="6"/>
    </row>
    <row r="551" spans="17:30" ht="13.2">
      <c r="Q551" s="6"/>
      <c r="Z551" s="6"/>
      <c r="AA551" s="6"/>
      <c r="AB551" s="6"/>
      <c r="AC551" s="6"/>
      <c r="AD551" s="6"/>
    </row>
    <row r="552" spans="17:30" ht="13.2">
      <c r="Q552" s="6"/>
      <c r="Z552" s="6"/>
      <c r="AA552" s="6"/>
      <c r="AB552" s="6"/>
      <c r="AC552" s="6"/>
      <c r="AD552" s="6"/>
    </row>
    <row r="553" spans="17:30" ht="13.2">
      <c r="Q553" s="6"/>
      <c r="Z553" s="6"/>
      <c r="AA553" s="6"/>
      <c r="AB553" s="6"/>
      <c r="AC553" s="6"/>
      <c r="AD553" s="6"/>
    </row>
    <row r="554" spans="17:30" ht="13.2">
      <c r="Q554" s="6"/>
      <c r="Z554" s="6"/>
      <c r="AA554" s="6"/>
      <c r="AB554" s="6"/>
      <c r="AC554" s="6"/>
      <c r="AD554" s="6"/>
    </row>
    <row r="555" spans="17:30" ht="13.2">
      <c r="Q555" s="6"/>
      <c r="Z555" s="6"/>
      <c r="AA555" s="6"/>
      <c r="AB555" s="6"/>
      <c r="AC555" s="6"/>
      <c r="AD555" s="6"/>
    </row>
    <row r="556" spans="17:30" ht="13.2">
      <c r="Q556" s="6"/>
      <c r="Z556" s="6"/>
      <c r="AA556" s="6"/>
      <c r="AB556" s="6"/>
      <c r="AC556" s="6"/>
      <c r="AD556" s="6"/>
    </row>
    <row r="557" spans="17:30" ht="13.2">
      <c r="Q557" s="6"/>
      <c r="Z557" s="6"/>
      <c r="AA557" s="6"/>
      <c r="AB557" s="6"/>
      <c r="AC557" s="6"/>
      <c r="AD557" s="6"/>
    </row>
    <row r="558" spans="17:30" ht="13.2">
      <c r="Q558" s="6"/>
      <c r="Z558" s="6"/>
      <c r="AA558" s="6"/>
      <c r="AB558" s="6"/>
      <c r="AC558" s="6"/>
      <c r="AD558" s="6"/>
    </row>
    <row r="559" spans="17:30" ht="13.2">
      <c r="Q559" s="6"/>
      <c r="Z559" s="6"/>
      <c r="AA559" s="6"/>
      <c r="AB559" s="6"/>
      <c r="AC559" s="6"/>
      <c r="AD559" s="6"/>
    </row>
    <row r="560" spans="17:30" ht="13.2">
      <c r="Q560" s="6"/>
      <c r="Z560" s="6"/>
      <c r="AA560" s="6"/>
      <c r="AB560" s="6"/>
      <c r="AC560" s="6"/>
      <c r="AD560" s="6"/>
    </row>
    <row r="561" spans="17:30" ht="13.2">
      <c r="Q561" s="6"/>
      <c r="Z561" s="6"/>
      <c r="AA561" s="6"/>
      <c r="AB561" s="6"/>
      <c r="AC561" s="6"/>
      <c r="AD561" s="6"/>
    </row>
    <row r="562" spans="17:30" ht="13.2">
      <c r="Q562" s="6"/>
      <c r="Z562" s="6"/>
      <c r="AA562" s="6"/>
      <c r="AB562" s="6"/>
      <c r="AC562" s="6"/>
      <c r="AD562" s="6"/>
    </row>
    <row r="563" spans="17:30" ht="13.2">
      <c r="Q563" s="6"/>
      <c r="Z563" s="6"/>
      <c r="AA563" s="6"/>
      <c r="AB563" s="6"/>
      <c r="AC563" s="6"/>
      <c r="AD563" s="6"/>
    </row>
    <row r="564" spans="17:30" ht="13.2">
      <c r="Q564" s="6"/>
      <c r="Z564" s="6"/>
      <c r="AA564" s="6"/>
      <c r="AB564" s="6"/>
      <c r="AC564" s="6"/>
      <c r="AD564" s="6"/>
    </row>
    <row r="565" spans="17:30" ht="13.2">
      <c r="Q565" s="6"/>
      <c r="Z565" s="6"/>
      <c r="AA565" s="6"/>
      <c r="AB565" s="6"/>
      <c r="AC565" s="6"/>
      <c r="AD565" s="6"/>
    </row>
    <row r="566" spans="17:30" ht="13.2">
      <c r="Q566" s="6"/>
      <c r="Z566" s="6"/>
      <c r="AA566" s="6"/>
      <c r="AB566" s="6"/>
      <c r="AC566" s="6"/>
      <c r="AD566" s="6"/>
    </row>
    <row r="567" spans="17:30" ht="13.2">
      <c r="Q567" s="6"/>
      <c r="Z567" s="6"/>
      <c r="AA567" s="6"/>
      <c r="AB567" s="6"/>
      <c r="AC567" s="6"/>
      <c r="AD567" s="6"/>
    </row>
    <row r="568" spans="17:30" ht="13.2">
      <c r="Q568" s="6"/>
      <c r="Z568" s="6"/>
      <c r="AA568" s="6"/>
      <c r="AB568" s="6"/>
      <c r="AC568" s="6"/>
      <c r="AD568" s="6"/>
    </row>
    <row r="569" spans="17:30" ht="13.2">
      <c r="Q569" s="6"/>
      <c r="Z569" s="6"/>
      <c r="AA569" s="6"/>
      <c r="AB569" s="6"/>
      <c r="AC569" s="6"/>
      <c r="AD569" s="6"/>
    </row>
    <row r="570" spans="17:30" ht="13.2">
      <c r="Q570" s="6"/>
      <c r="Z570" s="6"/>
      <c r="AA570" s="6"/>
      <c r="AB570" s="6"/>
      <c r="AC570" s="6"/>
      <c r="AD570" s="6"/>
    </row>
    <row r="571" spans="17:30" ht="13.2">
      <c r="Q571" s="6"/>
      <c r="Z571" s="6"/>
      <c r="AA571" s="6"/>
      <c r="AB571" s="6"/>
      <c r="AC571" s="6"/>
      <c r="AD571" s="6"/>
    </row>
    <row r="572" spans="17:30" ht="13.2">
      <c r="Q572" s="6"/>
      <c r="Z572" s="6"/>
      <c r="AA572" s="6"/>
      <c r="AB572" s="6"/>
      <c r="AC572" s="6"/>
      <c r="AD572" s="6"/>
    </row>
    <row r="573" spans="17:30" ht="13.2">
      <c r="Q573" s="6"/>
      <c r="Z573" s="6"/>
      <c r="AA573" s="6"/>
      <c r="AB573" s="6"/>
      <c r="AC573" s="6"/>
      <c r="AD573" s="6"/>
    </row>
    <row r="574" spans="17:30" ht="13.2">
      <c r="Q574" s="6"/>
      <c r="Z574" s="6"/>
      <c r="AA574" s="6"/>
      <c r="AB574" s="6"/>
      <c r="AC574" s="6"/>
      <c r="AD574" s="6"/>
    </row>
    <row r="575" spans="17:30" ht="13.2">
      <c r="Q575" s="6"/>
      <c r="Z575" s="6"/>
      <c r="AA575" s="6"/>
      <c r="AB575" s="6"/>
      <c r="AC575" s="6"/>
      <c r="AD575" s="6"/>
    </row>
    <row r="576" spans="17:30" ht="13.2">
      <c r="Q576" s="6"/>
      <c r="Z576" s="6"/>
      <c r="AA576" s="6"/>
      <c r="AB576" s="6"/>
      <c r="AC576" s="6"/>
      <c r="AD576" s="6"/>
    </row>
    <row r="577" spans="17:30" ht="13.2">
      <c r="Q577" s="6"/>
      <c r="Z577" s="6"/>
      <c r="AA577" s="6"/>
      <c r="AB577" s="6"/>
      <c r="AC577" s="6"/>
      <c r="AD577" s="6"/>
    </row>
    <row r="578" spans="17:30" ht="13.2">
      <c r="Q578" s="6"/>
      <c r="Z578" s="6"/>
      <c r="AA578" s="6"/>
      <c r="AB578" s="6"/>
      <c r="AC578" s="6"/>
      <c r="AD578" s="6"/>
    </row>
    <row r="579" spans="17:30" ht="13.2">
      <c r="Q579" s="6"/>
      <c r="Z579" s="6"/>
      <c r="AA579" s="6"/>
      <c r="AB579" s="6"/>
      <c r="AC579" s="6"/>
      <c r="AD579" s="6"/>
    </row>
    <row r="580" spans="17:30" ht="13.2">
      <c r="Q580" s="6"/>
      <c r="Z580" s="6"/>
      <c r="AA580" s="6"/>
      <c r="AB580" s="6"/>
      <c r="AC580" s="6"/>
      <c r="AD580" s="6"/>
    </row>
    <row r="581" spans="17:30" ht="13.2">
      <c r="Q581" s="6"/>
    </row>
    <row r="582" spans="17:30" ht="13.2">
      <c r="Q582" s="6"/>
    </row>
    <row r="583" spans="17:30" ht="13.2">
      <c r="Q583" s="6"/>
    </row>
    <row r="584" spans="17:30" ht="13.2">
      <c r="Q584" s="6"/>
    </row>
    <row r="585" spans="17:30" ht="13.2">
      <c r="Q585" s="6"/>
    </row>
    <row r="586" spans="17:30" ht="13.2">
      <c r="Q586" s="6"/>
    </row>
    <row r="587" spans="17:30" ht="13.2">
      <c r="Q587" s="6"/>
    </row>
    <row r="588" spans="17:30" ht="13.2">
      <c r="Q588" s="6"/>
    </row>
    <row r="589" spans="17:30" ht="13.2">
      <c r="Q589" s="6"/>
    </row>
    <row r="590" spans="17:30" ht="13.2">
      <c r="Q590" s="6"/>
    </row>
    <row r="591" spans="17:30" ht="13.2">
      <c r="Q591" s="6"/>
    </row>
    <row r="592" spans="17:30" ht="13.2">
      <c r="Q592" s="6"/>
    </row>
    <row r="593" spans="17:17" ht="13.2">
      <c r="Q593" s="6"/>
    </row>
    <row r="594" spans="17:17" ht="13.2">
      <c r="Q594" s="6"/>
    </row>
    <row r="595" spans="17:17" ht="13.2">
      <c r="Q595" s="6"/>
    </row>
    <row r="596" spans="17:17" ht="13.2">
      <c r="Q596" s="6"/>
    </row>
    <row r="597" spans="17:17" ht="13.2">
      <c r="Q597" s="6"/>
    </row>
    <row r="598" spans="17:17" ht="13.2">
      <c r="Q598" s="6"/>
    </row>
    <row r="599" spans="17:17" ht="13.2">
      <c r="Q599" s="6"/>
    </row>
    <row r="600" spans="17:17" ht="13.2">
      <c r="Q600" s="6"/>
    </row>
    <row r="601" spans="17:17" ht="13.2">
      <c r="Q601" s="6"/>
    </row>
    <row r="602" spans="17:17" ht="13.2">
      <c r="Q602" s="6"/>
    </row>
    <row r="603" spans="17:17" ht="13.2">
      <c r="Q603" s="6"/>
    </row>
    <row r="604" spans="17:17" ht="13.2">
      <c r="Q604" s="6"/>
    </row>
    <row r="605" spans="17:17" ht="13.2">
      <c r="Q605" s="6"/>
    </row>
    <row r="606" spans="17:17" ht="13.2">
      <c r="Q606" s="6"/>
    </row>
    <row r="607" spans="17:17" ht="13.2">
      <c r="Q607" s="6"/>
    </row>
    <row r="608" spans="17:17" ht="13.2">
      <c r="Q608" s="6"/>
    </row>
    <row r="609" spans="17:17" ht="13.2">
      <c r="Q609" s="6"/>
    </row>
    <row r="610" spans="17:17" ht="13.2">
      <c r="Q610" s="6"/>
    </row>
    <row r="611" spans="17:17" ht="13.2">
      <c r="Q611" s="6"/>
    </row>
    <row r="612" spans="17:17" ht="13.2">
      <c r="Q612" s="6"/>
    </row>
    <row r="613" spans="17:17" ht="13.2">
      <c r="Q613" s="6"/>
    </row>
    <row r="614" spans="17:17" ht="13.2">
      <c r="Q614" s="6"/>
    </row>
    <row r="615" spans="17:17" ht="13.2">
      <c r="Q615" s="6"/>
    </row>
    <row r="616" spans="17:17" ht="13.2">
      <c r="Q616" s="6"/>
    </row>
    <row r="617" spans="17:17" ht="13.2">
      <c r="Q617" s="6"/>
    </row>
    <row r="618" spans="17:17" ht="13.2">
      <c r="Q618" s="6"/>
    </row>
    <row r="619" spans="17:17" ht="13.2">
      <c r="Q619" s="6"/>
    </row>
    <row r="620" spans="17:17" ht="13.2">
      <c r="Q620" s="6"/>
    </row>
    <row r="621" spans="17:17" ht="13.2">
      <c r="Q621" s="6"/>
    </row>
    <row r="622" spans="17:17" ht="13.2">
      <c r="Q622" s="6"/>
    </row>
    <row r="623" spans="17:17" ht="13.2">
      <c r="Q623" s="6"/>
    </row>
    <row r="624" spans="17:17" ht="13.2">
      <c r="Q624" s="6"/>
    </row>
    <row r="625" spans="17:17" ht="13.2">
      <c r="Q625" s="6"/>
    </row>
    <row r="626" spans="17:17" ht="13.2">
      <c r="Q626" s="6"/>
    </row>
    <row r="627" spans="17:17" ht="13.2">
      <c r="Q627" s="6"/>
    </row>
    <row r="628" spans="17:17" ht="13.2">
      <c r="Q628" s="6"/>
    </row>
    <row r="629" spans="17:17" ht="13.2">
      <c r="Q629" s="6"/>
    </row>
    <row r="630" spans="17:17" ht="13.2">
      <c r="Q630" s="6"/>
    </row>
    <row r="631" spans="17:17" ht="13.2">
      <c r="Q631" s="6"/>
    </row>
    <row r="632" spans="17:17" ht="13.2">
      <c r="Q632" s="6"/>
    </row>
    <row r="633" spans="17:17" ht="13.2">
      <c r="Q633" s="6"/>
    </row>
    <row r="634" spans="17:17" ht="13.2">
      <c r="Q634" s="6"/>
    </row>
    <row r="635" spans="17:17" ht="13.2">
      <c r="Q635" s="6"/>
    </row>
    <row r="636" spans="17:17" ht="13.2">
      <c r="Q636" s="6"/>
    </row>
    <row r="637" spans="17:17" ht="13.2">
      <c r="Q637" s="6"/>
    </row>
    <row r="638" spans="17:17" ht="13.2">
      <c r="Q638" s="6"/>
    </row>
    <row r="639" spans="17:17" ht="13.2">
      <c r="Q639" s="6"/>
    </row>
    <row r="640" spans="17:17" ht="13.2">
      <c r="Q640" s="6"/>
    </row>
    <row r="641" spans="17:17" ht="13.2">
      <c r="Q641" s="6"/>
    </row>
    <row r="642" spans="17:17" ht="13.2">
      <c r="Q642" s="6"/>
    </row>
    <row r="643" spans="17:17" ht="13.2">
      <c r="Q643" s="6"/>
    </row>
    <row r="644" spans="17:17" ht="13.2">
      <c r="Q644" s="6"/>
    </row>
    <row r="645" spans="17:17" ht="13.2">
      <c r="Q645" s="6"/>
    </row>
    <row r="646" spans="17:17" ht="13.2">
      <c r="Q646" s="6"/>
    </row>
    <row r="647" spans="17:17" ht="13.2">
      <c r="Q647" s="6"/>
    </row>
    <row r="648" spans="17:17" ht="13.2">
      <c r="Q648" s="6"/>
    </row>
    <row r="649" spans="17:17" ht="13.2">
      <c r="Q649" s="6"/>
    </row>
    <row r="650" spans="17:17" ht="13.2">
      <c r="Q650" s="6"/>
    </row>
    <row r="651" spans="17:17" ht="13.2">
      <c r="Q651" s="6"/>
    </row>
    <row r="652" spans="17:17" ht="13.2">
      <c r="Q652" s="6"/>
    </row>
    <row r="653" spans="17:17" ht="13.2">
      <c r="Q653" s="6"/>
    </row>
    <row r="654" spans="17:17" ht="13.2">
      <c r="Q654" s="6"/>
    </row>
    <row r="655" spans="17:17" ht="13.2">
      <c r="Q655" s="6"/>
    </row>
    <row r="656" spans="17:17" ht="13.2">
      <c r="Q656" s="6"/>
    </row>
    <row r="657" spans="17:17" ht="13.2">
      <c r="Q657" s="6"/>
    </row>
    <row r="658" spans="17:17" ht="13.2">
      <c r="Q658" s="6"/>
    </row>
    <row r="659" spans="17:17" ht="13.2">
      <c r="Q659" s="6"/>
    </row>
    <row r="660" spans="17:17" ht="13.2">
      <c r="Q660" s="6"/>
    </row>
    <row r="661" spans="17:17" ht="13.2">
      <c r="Q661" s="6"/>
    </row>
    <row r="662" spans="17:17" ht="13.2">
      <c r="Q662" s="6"/>
    </row>
    <row r="663" spans="17:17" ht="13.2">
      <c r="Q663" s="6"/>
    </row>
    <row r="664" spans="17:17" ht="13.2">
      <c r="Q664" s="6"/>
    </row>
    <row r="665" spans="17:17" ht="13.2">
      <c r="Q665" s="6"/>
    </row>
    <row r="666" spans="17:17" ht="13.2">
      <c r="Q666" s="6"/>
    </row>
    <row r="667" spans="17:17" ht="13.2">
      <c r="Q667" s="6"/>
    </row>
    <row r="668" spans="17:17" ht="13.2">
      <c r="Q668" s="6"/>
    </row>
    <row r="669" spans="17:17" ht="13.2">
      <c r="Q669" s="6"/>
    </row>
    <row r="670" spans="17:17" ht="13.2">
      <c r="Q670" s="6"/>
    </row>
    <row r="671" spans="17:17" ht="13.2">
      <c r="Q671" s="6"/>
    </row>
    <row r="672" spans="17:17" ht="13.2">
      <c r="Q672" s="6"/>
    </row>
    <row r="673" spans="17:17" ht="13.2">
      <c r="Q673" s="6"/>
    </row>
    <row r="674" spans="17:17" ht="13.2">
      <c r="Q674" s="6"/>
    </row>
    <row r="675" spans="17:17" ht="13.2">
      <c r="Q675" s="6"/>
    </row>
    <row r="676" spans="17:17" ht="13.2">
      <c r="Q676" s="6"/>
    </row>
    <row r="677" spans="17:17" ht="13.2">
      <c r="Q677" s="6"/>
    </row>
    <row r="678" spans="17:17" ht="13.2">
      <c r="Q678" s="6"/>
    </row>
    <row r="679" spans="17:17" ht="13.2">
      <c r="Q679" s="6"/>
    </row>
    <row r="680" spans="17:17" ht="13.2">
      <c r="Q680" s="6"/>
    </row>
    <row r="681" spans="17:17" ht="13.2">
      <c r="Q681" s="6"/>
    </row>
    <row r="682" spans="17:17" ht="13.2">
      <c r="Q682" s="6"/>
    </row>
    <row r="683" spans="17:17" ht="13.2">
      <c r="Q683" s="6"/>
    </row>
    <row r="684" spans="17:17" ht="13.2">
      <c r="Q684" s="6"/>
    </row>
    <row r="685" spans="17:17" ht="13.2">
      <c r="Q685" s="6"/>
    </row>
    <row r="686" spans="17:17" ht="13.2">
      <c r="Q686" s="6"/>
    </row>
    <row r="687" spans="17:17" ht="13.2">
      <c r="Q687" s="6"/>
    </row>
    <row r="688" spans="17:17" ht="13.2">
      <c r="Q688" s="6"/>
    </row>
    <row r="689" spans="17:17" ht="13.2">
      <c r="Q689" s="6"/>
    </row>
    <row r="690" spans="17:17" ht="13.2">
      <c r="Q690" s="6"/>
    </row>
    <row r="691" spans="17:17" ht="13.2">
      <c r="Q691" s="6"/>
    </row>
    <row r="692" spans="17:17" ht="13.2">
      <c r="Q692" s="6"/>
    </row>
    <row r="693" spans="17:17" ht="13.2">
      <c r="Q693" s="6"/>
    </row>
    <row r="694" spans="17:17" ht="13.2">
      <c r="Q694" s="6"/>
    </row>
    <row r="695" spans="17:17" ht="13.2">
      <c r="Q695" s="6"/>
    </row>
    <row r="696" spans="17:17" ht="13.2">
      <c r="Q696" s="6"/>
    </row>
    <row r="697" spans="17:17" ht="13.2">
      <c r="Q697" s="6"/>
    </row>
    <row r="698" spans="17:17" ht="13.2">
      <c r="Q698" s="6"/>
    </row>
    <row r="699" spans="17:17" ht="13.2">
      <c r="Q699" s="6"/>
    </row>
    <row r="700" spans="17:17" ht="13.2">
      <c r="Q700" s="6"/>
    </row>
    <row r="701" spans="17:17" ht="13.2">
      <c r="Q701" s="6"/>
    </row>
    <row r="702" spans="17:17" ht="13.2">
      <c r="Q702" s="6"/>
    </row>
    <row r="703" spans="17:17" ht="13.2">
      <c r="Q703" s="6"/>
    </row>
    <row r="704" spans="17:17" ht="13.2">
      <c r="Q704" s="6"/>
    </row>
    <row r="705" spans="17:17" ht="13.2">
      <c r="Q705" s="6"/>
    </row>
    <row r="706" spans="17:17" ht="13.2">
      <c r="Q706" s="6"/>
    </row>
    <row r="707" spans="17:17" ht="13.2">
      <c r="Q707" s="6"/>
    </row>
    <row r="708" spans="17:17" ht="13.2">
      <c r="Q708" s="6"/>
    </row>
    <row r="709" spans="17:17" ht="13.2">
      <c r="Q709" s="6"/>
    </row>
    <row r="710" spans="17:17" ht="13.2">
      <c r="Q710" s="6"/>
    </row>
    <row r="711" spans="17:17" ht="13.2">
      <c r="Q711" s="6"/>
    </row>
    <row r="712" spans="17:17" ht="13.2">
      <c r="Q712" s="6"/>
    </row>
    <row r="713" spans="17:17" ht="13.2">
      <c r="Q713" s="6"/>
    </row>
    <row r="714" spans="17:17" ht="13.2">
      <c r="Q714" s="6"/>
    </row>
    <row r="715" spans="17:17" ht="13.2">
      <c r="Q715" s="6"/>
    </row>
    <row r="716" spans="17:17" ht="13.2">
      <c r="Q716" s="6"/>
    </row>
    <row r="717" spans="17:17" ht="13.2">
      <c r="Q717" s="6"/>
    </row>
    <row r="718" spans="17:17" ht="13.2">
      <c r="Q718" s="6"/>
    </row>
    <row r="719" spans="17:17" ht="13.2">
      <c r="Q719" s="6"/>
    </row>
    <row r="720" spans="17:17" ht="13.2">
      <c r="Q720" s="6"/>
    </row>
    <row r="721" spans="17:17" ht="13.2">
      <c r="Q721" s="6"/>
    </row>
    <row r="722" spans="17:17" ht="13.2">
      <c r="Q722" s="6"/>
    </row>
    <row r="723" spans="17:17" ht="13.2">
      <c r="Q723" s="6"/>
    </row>
    <row r="724" spans="17:17" ht="13.2">
      <c r="Q724" s="6"/>
    </row>
    <row r="725" spans="17:17" ht="13.2">
      <c r="Q725" s="6"/>
    </row>
    <row r="726" spans="17:17" ht="13.2">
      <c r="Q726" s="6"/>
    </row>
    <row r="727" spans="17:17" ht="13.2">
      <c r="Q727" s="6"/>
    </row>
    <row r="728" spans="17:17" ht="13.2">
      <c r="Q728" s="6"/>
    </row>
    <row r="729" spans="17:17" ht="13.2">
      <c r="Q729" s="6"/>
    </row>
    <row r="730" spans="17:17" ht="13.2">
      <c r="Q730" s="6"/>
    </row>
    <row r="731" spans="17:17" ht="13.2">
      <c r="Q731" s="6"/>
    </row>
    <row r="732" spans="17:17" ht="13.2">
      <c r="Q732" s="6"/>
    </row>
    <row r="733" spans="17:17" ht="13.2">
      <c r="Q733" s="6"/>
    </row>
    <row r="734" spans="17:17" ht="13.2">
      <c r="Q734" s="6"/>
    </row>
    <row r="735" spans="17:17" ht="13.2">
      <c r="Q735" s="6"/>
    </row>
    <row r="736" spans="17:17" ht="13.2">
      <c r="Q736" s="6"/>
    </row>
    <row r="737" spans="17:17" ht="13.2">
      <c r="Q737" s="6"/>
    </row>
    <row r="738" spans="17:17" ht="13.2">
      <c r="Q738" s="6"/>
    </row>
    <row r="739" spans="17:17" ht="13.2">
      <c r="Q739" s="6"/>
    </row>
    <row r="740" spans="17:17" ht="13.2">
      <c r="Q740" s="6"/>
    </row>
    <row r="741" spans="17:17" ht="13.2">
      <c r="Q741" s="6"/>
    </row>
    <row r="742" spans="17:17" ht="13.2">
      <c r="Q742" s="6"/>
    </row>
    <row r="743" spans="17:17" ht="13.2">
      <c r="Q743" s="6"/>
    </row>
    <row r="744" spans="17:17" ht="13.2">
      <c r="Q744" s="6"/>
    </row>
    <row r="745" spans="17:17" ht="13.2">
      <c r="Q745" s="6"/>
    </row>
    <row r="746" spans="17:17" ht="13.2">
      <c r="Q746" s="6"/>
    </row>
    <row r="747" spans="17:17" ht="13.2">
      <c r="Q747" s="6"/>
    </row>
    <row r="748" spans="17:17" ht="13.2">
      <c r="Q748" s="6"/>
    </row>
    <row r="749" spans="17:17" ht="13.2">
      <c r="Q749" s="6"/>
    </row>
    <row r="750" spans="17:17" ht="13.2">
      <c r="Q750" s="6"/>
    </row>
    <row r="751" spans="17:17" ht="13.2">
      <c r="Q751" s="6"/>
    </row>
    <row r="752" spans="17:17" ht="13.2">
      <c r="Q752" s="6"/>
    </row>
    <row r="753" spans="17:17" ht="13.2">
      <c r="Q753" s="6"/>
    </row>
    <row r="754" spans="17:17" ht="13.2">
      <c r="Q754" s="6"/>
    </row>
    <row r="755" spans="17:17" ht="13.2">
      <c r="Q755" s="6"/>
    </row>
    <row r="756" spans="17:17" ht="13.2">
      <c r="Q756" s="6"/>
    </row>
    <row r="757" spans="17:17" ht="13.2">
      <c r="Q757" s="6"/>
    </row>
    <row r="758" spans="17:17" ht="13.2">
      <c r="Q758" s="6"/>
    </row>
    <row r="759" spans="17:17" ht="13.2">
      <c r="Q759" s="6"/>
    </row>
    <row r="760" spans="17:17" ht="13.2">
      <c r="Q760" s="6"/>
    </row>
    <row r="761" spans="17:17" ht="13.2">
      <c r="Q761" s="6"/>
    </row>
    <row r="762" spans="17:17" ht="13.2">
      <c r="Q762" s="6"/>
    </row>
    <row r="763" spans="17:17" ht="13.2">
      <c r="Q763" s="6"/>
    </row>
    <row r="764" spans="17:17" ht="13.2">
      <c r="Q764" s="6"/>
    </row>
    <row r="765" spans="17:17" ht="13.2">
      <c r="Q765" s="6"/>
    </row>
    <row r="766" spans="17:17" ht="13.2">
      <c r="Q766" s="6"/>
    </row>
    <row r="767" spans="17:17" ht="13.2">
      <c r="Q767" s="6"/>
    </row>
    <row r="768" spans="17:17" ht="13.2">
      <c r="Q768" s="6"/>
    </row>
    <row r="769" spans="17:17" ht="13.2">
      <c r="Q769" s="6"/>
    </row>
    <row r="770" spans="17:17" ht="13.2">
      <c r="Q770" s="6"/>
    </row>
    <row r="771" spans="17:17" ht="13.2">
      <c r="Q771" s="6"/>
    </row>
    <row r="772" spans="17:17" ht="13.2">
      <c r="Q772" s="6"/>
    </row>
    <row r="773" spans="17:17" ht="13.2">
      <c r="Q773" s="6"/>
    </row>
    <row r="774" spans="17:17" ht="13.2">
      <c r="Q774" s="6"/>
    </row>
    <row r="775" spans="17:17" ht="13.2">
      <c r="Q775" s="6"/>
    </row>
    <row r="776" spans="17:17" ht="13.2">
      <c r="Q776" s="6"/>
    </row>
    <row r="777" spans="17:17" ht="13.2">
      <c r="Q777" s="6"/>
    </row>
    <row r="778" spans="17:17" ht="13.2">
      <c r="Q778" s="6"/>
    </row>
    <row r="779" spans="17:17" ht="13.2">
      <c r="Q779" s="6"/>
    </row>
    <row r="780" spans="17:17" ht="13.2">
      <c r="Q780" s="6"/>
    </row>
    <row r="781" spans="17:17" ht="13.2">
      <c r="Q781" s="6"/>
    </row>
    <row r="782" spans="17:17" ht="13.2">
      <c r="Q782" s="6"/>
    </row>
    <row r="783" spans="17:17" ht="13.2">
      <c r="Q783" s="6"/>
    </row>
    <row r="784" spans="17:17" ht="13.2">
      <c r="Q784" s="6"/>
    </row>
    <row r="785" spans="17:17" ht="13.2">
      <c r="Q785" s="6"/>
    </row>
    <row r="786" spans="17:17" ht="13.2">
      <c r="Q786" s="6"/>
    </row>
    <row r="787" spans="17:17" ht="13.2">
      <c r="Q787" s="6"/>
    </row>
    <row r="788" spans="17:17" ht="13.2">
      <c r="Q788" s="6"/>
    </row>
    <row r="789" spans="17:17" ht="13.2">
      <c r="Q789" s="6"/>
    </row>
    <row r="790" spans="17:17" ht="13.2">
      <c r="Q790" s="6"/>
    </row>
    <row r="791" spans="17:17" ht="13.2">
      <c r="Q791" s="6"/>
    </row>
    <row r="792" spans="17:17" ht="13.2">
      <c r="Q792" s="6"/>
    </row>
    <row r="793" spans="17:17" ht="13.2">
      <c r="Q793" s="6"/>
    </row>
    <row r="794" spans="17:17" ht="13.2">
      <c r="Q794" s="6"/>
    </row>
    <row r="795" spans="17:17" ht="13.2">
      <c r="Q795" s="6"/>
    </row>
    <row r="796" spans="17:17" ht="13.2">
      <c r="Q796" s="6"/>
    </row>
    <row r="797" spans="17:17" ht="13.2">
      <c r="Q797" s="6"/>
    </row>
    <row r="798" spans="17:17" ht="13.2">
      <c r="Q798" s="6"/>
    </row>
    <row r="799" spans="17:17" ht="13.2">
      <c r="Q799" s="6"/>
    </row>
    <row r="800" spans="17:17" ht="13.2">
      <c r="Q800" s="6"/>
    </row>
    <row r="801" spans="17:17" ht="13.2">
      <c r="Q801" s="6"/>
    </row>
    <row r="802" spans="17:17" ht="13.2">
      <c r="Q802" s="6"/>
    </row>
    <row r="803" spans="17:17" ht="13.2">
      <c r="Q803" s="6"/>
    </row>
    <row r="804" spans="17:17" ht="13.2">
      <c r="Q804" s="6"/>
    </row>
    <row r="805" spans="17:17" ht="13.2">
      <c r="Q805" s="6"/>
    </row>
    <row r="806" spans="17:17" ht="13.2">
      <c r="Q806" s="6"/>
    </row>
    <row r="807" spans="17:17" ht="13.2">
      <c r="Q807" s="6"/>
    </row>
    <row r="808" spans="17:17" ht="13.2">
      <c r="Q808" s="6"/>
    </row>
    <row r="809" spans="17:17" ht="13.2">
      <c r="Q809" s="6"/>
    </row>
    <row r="810" spans="17:17" ht="13.2">
      <c r="Q810" s="6"/>
    </row>
    <row r="811" spans="17:17" ht="13.2">
      <c r="Q811" s="6"/>
    </row>
    <row r="812" spans="17:17" ht="13.2">
      <c r="Q812" s="6"/>
    </row>
    <row r="813" spans="17:17" ht="13.2">
      <c r="Q813" s="6"/>
    </row>
    <row r="814" spans="17:17" ht="13.2">
      <c r="Q814" s="6"/>
    </row>
    <row r="815" spans="17:17" ht="13.2">
      <c r="Q815" s="6"/>
    </row>
    <row r="816" spans="17:17" ht="13.2">
      <c r="Q816" s="6"/>
    </row>
    <row r="817" spans="17:17" ht="13.2">
      <c r="Q817" s="6"/>
    </row>
    <row r="818" spans="17:17" ht="13.2">
      <c r="Q818" s="6"/>
    </row>
    <row r="819" spans="17:17" ht="13.2">
      <c r="Q819" s="6"/>
    </row>
    <row r="820" spans="17:17" ht="13.2">
      <c r="Q820" s="6"/>
    </row>
    <row r="821" spans="17:17" ht="13.2">
      <c r="Q821" s="6"/>
    </row>
    <row r="822" spans="17:17" ht="13.2">
      <c r="Q822" s="6"/>
    </row>
    <row r="823" spans="17:17" ht="13.2">
      <c r="Q823" s="6"/>
    </row>
    <row r="824" spans="17:17" ht="13.2">
      <c r="Q824" s="6"/>
    </row>
    <row r="825" spans="17:17" ht="13.2">
      <c r="Q825" s="6"/>
    </row>
    <row r="826" spans="17:17" ht="13.2">
      <c r="Q826" s="6"/>
    </row>
    <row r="827" spans="17:17" ht="13.2">
      <c r="Q827" s="6"/>
    </row>
    <row r="828" spans="17:17" ht="13.2">
      <c r="Q828" s="6"/>
    </row>
    <row r="829" spans="17:17" ht="13.2">
      <c r="Q829" s="6"/>
    </row>
    <row r="830" spans="17:17" ht="13.2">
      <c r="Q830" s="6"/>
    </row>
    <row r="831" spans="17:17" ht="13.2">
      <c r="Q831" s="6"/>
    </row>
    <row r="832" spans="17:17" ht="13.2">
      <c r="Q832" s="6"/>
    </row>
    <row r="833" spans="17:17" ht="13.2">
      <c r="Q833" s="6"/>
    </row>
    <row r="834" spans="17:17" ht="13.2">
      <c r="Q834" s="6"/>
    </row>
    <row r="835" spans="17:17" ht="13.2">
      <c r="Q835" s="6"/>
    </row>
    <row r="836" spans="17:17" ht="13.2">
      <c r="Q836" s="6"/>
    </row>
    <row r="837" spans="17:17" ht="13.2">
      <c r="Q837" s="6"/>
    </row>
    <row r="838" spans="17:17" ht="13.2">
      <c r="Q838" s="6"/>
    </row>
    <row r="839" spans="17:17" ht="13.2">
      <c r="Q839" s="6"/>
    </row>
    <row r="840" spans="17:17" ht="13.2">
      <c r="Q840" s="6"/>
    </row>
    <row r="841" spans="17:17" ht="13.2">
      <c r="Q841" s="6"/>
    </row>
    <row r="842" spans="17:17" ht="13.2">
      <c r="Q842" s="6"/>
    </row>
    <row r="843" spans="17:17" ht="13.2">
      <c r="Q843" s="6"/>
    </row>
    <row r="844" spans="17:17" ht="13.2">
      <c r="Q844" s="6"/>
    </row>
    <row r="845" spans="17:17" ht="13.2">
      <c r="Q845" s="6"/>
    </row>
    <row r="846" spans="17:17" ht="13.2">
      <c r="Q846" s="6"/>
    </row>
    <row r="847" spans="17:17" ht="13.2">
      <c r="Q847" s="6"/>
    </row>
    <row r="848" spans="17:17" ht="13.2">
      <c r="Q848" s="6"/>
    </row>
    <row r="849" spans="17:17" ht="13.2">
      <c r="Q849" s="6"/>
    </row>
    <row r="850" spans="17:17" ht="13.2">
      <c r="Q850" s="6"/>
    </row>
    <row r="851" spans="17:17" ht="13.2">
      <c r="Q851" s="6"/>
    </row>
    <row r="852" spans="17:17" ht="13.2">
      <c r="Q852" s="6"/>
    </row>
    <row r="853" spans="17:17" ht="13.2">
      <c r="Q853" s="6"/>
    </row>
    <row r="854" spans="17:17" ht="13.2">
      <c r="Q854" s="6"/>
    </row>
    <row r="855" spans="17:17" ht="13.2">
      <c r="Q855" s="6"/>
    </row>
    <row r="856" spans="17:17" ht="13.2">
      <c r="Q856" s="6"/>
    </row>
    <row r="857" spans="17:17" ht="13.2">
      <c r="Q857" s="6"/>
    </row>
    <row r="858" spans="17:17" ht="13.2">
      <c r="Q858" s="6"/>
    </row>
    <row r="859" spans="17:17" ht="13.2">
      <c r="Q859" s="6"/>
    </row>
    <row r="860" spans="17:17" ht="13.2">
      <c r="Q860" s="6"/>
    </row>
    <row r="861" spans="17:17" ht="13.2">
      <c r="Q861" s="6"/>
    </row>
    <row r="862" spans="17:17" ht="13.2">
      <c r="Q862" s="6"/>
    </row>
    <row r="863" spans="17:17" ht="13.2">
      <c r="Q863" s="6"/>
    </row>
    <row r="864" spans="17:17" ht="13.2">
      <c r="Q864" s="6"/>
    </row>
    <row r="865" spans="17:17" ht="13.2">
      <c r="Q865" s="6"/>
    </row>
    <row r="866" spans="17:17" ht="13.2">
      <c r="Q866" s="6"/>
    </row>
    <row r="867" spans="17:17" ht="13.2">
      <c r="Q867" s="6"/>
    </row>
    <row r="868" spans="17:17" ht="13.2">
      <c r="Q868" s="6"/>
    </row>
    <row r="869" spans="17:17" ht="13.2">
      <c r="Q869" s="6"/>
    </row>
    <row r="870" spans="17:17" ht="13.2">
      <c r="Q870" s="6"/>
    </row>
    <row r="871" spans="17:17" ht="13.2">
      <c r="Q871" s="6"/>
    </row>
    <row r="872" spans="17:17" ht="13.2">
      <c r="Q872" s="6"/>
    </row>
    <row r="873" spans="17:17" ht="13.2">
      <c r="Q873" s="6"/>
    </row>
    <row r="874" spans="17:17" ht="13.2">
      <c r="Q874" s="6"/>
    </row>
    <row r="875" spans="17:17" ht="13.2">
      <c r="Q875" s="6"/>
    </row>
    <row r="876" spans="17:17" ht="13.2">
      <c r="Q876" s="6"/>
    </row>
    <row r="877" spans="17:17" ht="13.2">
      <c r="Q877" s="6"/>
    </row>
    <row r="878" spans="17:17" ht="13.2">
      <c r="Q878" s="6"/>
    </row>
    <row r="879" spans="17:17" ht="13.2">
      <c r="Q879" s="6"/>
    </row>
    <row r="880" spans="17:17" ht="13.2">
      <c r="Q880" s="6"/>
    </row>
    <row r="881" spans="17:17" ht="13.2">
      <c r="Q881" s="6"/>
    </row>
    <row r="882" spans="17:17" ht="13.2">
      <c r="Q882" s="6"/>
    </row>
    <row r="883" spans="17:17" ht="13.2">
      <c r="Q883" s="6"/>
    </row>
    <row r="884" spans="17:17" ht="13.2">
      <c r="Q884" s="6"/>
    </row>
    <row r="885" spans="17:17" ht="13.2">
      <c r="Q885" s="6"/>
    </row>
    <row r="886" spans="17:17" ht="13.2">
      <c r="Q886" s="6"/>
    </row>
    <row r="887" spans="17:17" ht="13.2">
      <c r="Q887" s="6"/>
    </row>
    <row r="888" spans="17:17" ht="13.2">
      <c r="Q888" s="6"/>
    </row>
    <row r="889" spans="17:17" ht="13.2">
      <c r="Q889" s="6"/>
    </row>
    <row r="890" spans="17:17" ht="13.2">
      <c r="Q890" s="6"/>
    </row>
    <row r="891" spans="17:17" ht="13.2">
      <c r="Q891" s="6"/>
    </row>
    <row r="892" spans="17:17" ht="13.2">
      <c r="Q892" s="6"/>
    </row>
    <row r="893" spans="17:17" ht="13.2">
      <c r="Q893" s="6"/>
    </row>
    <row r="894" spans="17:17" ht="13.2">
      <c r="Q894" s="6"/>
    </row>
    <row r="895" spans="17:17" ht="13.2">
      <c r="Q895" s="6"/>
    </row>
    <row r="896" spans="17:17" ht="13.2">
      <c r="Q896" s="6"/>
    </row>
    <row r="897" spans="17:17" ht="13.2">
      <c r="Q897" s="6"/>
    </row>
    <row r="898" spans="17:17" ht="13.2">
      <c r="Q898" s="6"/>
    </row>
    <row r="899" spans="17:17" ht="13.2">
      <c r="Q899" s="6"/>
    </row>
    <row r="900" spans="17:17" ht="13.2">
      <c r="Q900" s="6"/>
    </row>
    <row r="901" spans="17:17" ht="13.2">
      <c r="Q901" s="6"/>
    </row>
    <row r="902" spans="17:17" ht="13.2">
      <c r="Q902" s="6"/>
    </row>
    <row r="903" spans="17:17" ht="13.2">
      <c r="Q903" s="6"/>
    </row>
    <row r="904" spans="17:17" ht="13.2">
      <c r="Q904" s="6"/>
    </row>
    <row r="905" spans="17:17" ht="13.2">
      <c r="Q905" s="6"/>
    </row>
    <row r="906" spans="17:17" ht="13.2">
      <c r="Q906" s="6"/>
    </row>
    <row r="907" spans="17:17" ht="13.2">
      <c r="Q907" s="6"/>
    </row>
    <row r="908" spans="17:17" ht="13.2">
      <c r="Q908" s="6"/>
    </row>
    <row r="909" spans="17:17" ht="13.2">
      <c r="Q909" s="6"/>
    </row>
    <row r="910" spans="17:17" ht="13.2">
      <c r="Q910" s="6"/>
    </row>
    <row r="911" spans="17:17" ht="13.2">
      <c r="Q911" s="6"/>
    </row>
    <row r="912" spans="17:17" ht="13.2">
      <c r="Q912" s="6"/>
    </row>
    <row r="913" spans="17:17" ht="13.2">
      <c r="Q913" s="6"/>
    </row>
    <row r="914" spans="17:17" ht="13.2">
      <c r="Q914" s="6"/>
    </row>
    <row r="915" spans="17:17" ht="13.2">
      <c r="Q915" s="6"/>
    </row>
    <row r="916" spans="17:17" ht="13.2">
      <c r="Q916" s="6"/>
    </row>
    <row r="917" spans="17:17" ht="13.2">
      <c r="Q917" s="6"/>
    </row>
    <row r="918" spans="17:17" ht="13.2">
      <c r="Q918" s="6"/>
    </row>
    <row r="919" spans="17:17" ht="13.2">
      <c r="Q919" s="6"/>
    </row>
    <row r="920" spans="17:17" ht="13.2">
      <c r="Q920" s="6"/>
    </row>
    <row r="921" spans="17:17" ht="13.2">
      <c r="Q921" s="6"/>
    </row>
    <row r="922" spans="17:17" ht="13.2">
      <c r="Q922" s="6"/>
    </row>
    <row r="923" spans="17:17" ht="13.2">
      <c r="Q923" s="6"/>
    </row>
    <row r="924" spans="17:17" ht="13.2">
      <c r="Q924" s="6"/>
    </row>
    <row r="925" spans="17:17" ht="13.2">
      <c r="Q925" s="6"/>
    </row>
    <row r="926" spans="17:17" ht="13.2">
      <c r="Q926" s="6"/>
    </row>
    <row r="927" spans="17:17" ht="13.2">
      <c r="Q927" s="6"/>
    </row>
    <row r="928" spans="17:17" ht="13.2">
      <c r="Q928" s="6"/>
    </row>
    <row r="929" spans="17:17" ht="13.2">
      <c r="Q929" s="6"/>
    </row>
    <row r="930" spans="17:17" ht="13.2">
      <c r="Q930" s="6"/>
    </row>
    <row r="931" spans="17:17" ht="13.2">
      <c r="Q931" s="6"/>
    </row>
    <row r="932" spans="17:17" ht="13.2">
      <c r="Q932" s="6"/>
    </row>
    <row r="933" spans="17:17" ht="13.2">
      <c r="Q933" s="6"/>
    </row>
    <row r="934" spans="17:17" ht="13.2">
      <c r="Q934" s="6"/>
    </row>
    <row r="935" spans="17:17" ht="13.2">
      <c r="Q935" s="6"/>
    </row>
    <row r="936" spans="17:17" ht="13.2">
      <c r="Q936" s="6"/>
    </row>
    <row r="937" spans="17:17" ht="13.2">
      <c r="Q937" s="6"/>
    </row>
    <row r="938" spans="17:17" ht="13.2">
      <c r="Q938" s="6"/>
    </row>
    <row r="939" spans="17:17" ht="13.2">
      <c r="Q939" s="6"/>
    </row>
    <row r="940" spans="17:17" ht="13.2">
      <c r="Q940" s="6"/>
    </row>
    <row r="941" spans="17:17" ht="13.2">
      <c r="Q941" s="6"/>
    </row>
    <row r="942" spans="17:17" ht="13.2">
      <c r="Q942" s="6"/>
    </row>
    <row r="943" spans="17:17" ht="13.2">
      <c r="Q943" s="6"/>
    </row>
    <row r="944" spans="17:17" ht="13.2">
      <c r="Q944" s="6"/>
    </row>
    <row r="945" spans="17:17" ht="13.2">
      <c r="Q945" s="6"/>
    </row>
    <row r="946" spans="17:17" ht="13.2">
      <c r="Q946" s="6"/>
    </row>
    <row r="947" spans="17:17" ht="13.2">
      <c r="Q947" s="6"/>
    </row>
    <row r="948" spans="17:17" ht="13.2">
      <c r="Q948" s="6"/>
    </row>
    <row r="949" spans="17:17" ht="13.2">
      <c r="Q949" s="6"/>
    </row>
    <row r="950" spans="17:17" ht="13.2">
      <c r="Q950" s="6"/>
    </row>
    <row r="951" spans="17:17" ht="13.2">
      <c r="Q951" s="6"/>
    </row>
    <row r="952" spans="17:17" ht="13.2">
      <c r="Q952" s="6"/>
    </row>
    <row r="953" spans="17:17" ht="13.2">
      <c r="Q953" s="6"/>
    </row>
    <row r="954" spans="17:17" ht="13.2">
      <c r="Q954" s="6"/>
    </row>
    <row r="955" spans="17:17" ht="13.2">
      <c r="Q955" s="6"/>
    </row>
    <row r="956" spans="17:17" ht="13.2">
      <c r="Q956" s="6"/>
    </row>
    <row r="957" spans="17:17" ht="13.2">
      <c r="Q957" s="6"/>
    </row>
    <row r="958" spans="17:17" ht="13.2">
      <c r="Q958" s="6"/>
    </row>
    <row r="959" spans="17:17" ht="13.2">
      <c r="Q959" s="6"/>
    </row>
    <row r="960" spans="17:17" ht="13.2">
      <c r="Q960" s="6"/>
    </row>
    <row r="961" spans="17:17" ht="13.2">
      <c r="Q961" s="6"/>
    </row>
    <row r="962" spans="17:17" ht="13.2">
      <c r="Q962" s="6"/>
    </row>
    <row r="963" spans="17:17" ht="13.2">
      <c r="Q963" s="6"/>
    </row>
    <row r="964" spans="17:17" ht="13.2">
      <c r="Q964" s="6"/>
    </row>
    <row r="965" spans="17:17" ht="13.2">
      <c r="Q965" s="6"/>
    </row>
    <row r="966" spans="17:17" ht="13.2">
      <c r="Q966" s="6"/>
    </row>
    <row r="967" spans="17:17" ht="13.2">
      <c r="Q967" s="6"/>
    </row>
    <row r="968" spans="17:17" ht="13.2">
      <c r="Q968" s="6"/>
    </row>
    <row r="969" spans="17:17" ht="13.2">
      <c r="Q969" s="6"/>
    </row>
    <row r="970" spans="17:17" ht="13.2">
      <c r="Q970" s="6"/>
    </row>
    <row r="971" spans="17:17" ht="13.2">
      <c r="Q971" s="6"/>
    </row>
    <row r="972" spans="17:17" ht="13.2">
      <c r="Q972" s="6"/>
    </row>
    <row r="973" spans="17:17" ht="13.2">
      <c r="Q973" s="6"/>
    </row>
    <row r="974" spans="17:17" ht="13.2">
      <c r="Q974" s="6"/>
    </row>
    <row r="975" spans="17:17" ht="13.2">
      <c r="Q975" s="6"/>
    </row>
    <row r="976" spans="17:17" ht="13.2">
      <c r="Q976" s="6"/>
    </row>
    <row r="977" spans="17:17" ht="13.2">
      <c r="Q977" s="6"/>
    </row>
    <row r="978" spans="17:17" ht="13.2">
      <c r="Q978" s="6"/>
    </row>
    <row r="979" spans="17:17" ht="13.2">
      <c r="Q979" s="6"/>
    </row>
    <row r="980" spans="17:17" ht="13.2">
      <c r="Q980" s="6"/>
    </row>
    <row r="981" spans="17:17" ht="13.2">
      <c r="Q981" s="6"/>
    </row>
    <row r="982" spans="17:17" ht="13.2">
      <c r="Q982" s="6"/>
    </row>
    <row r="983" spans="17:17" ht="13.2">
      <c r="Q983" s="6"/>
    </row>
    <row r="984" spans="17:17" ht="13.2">
      <c r="Q984" s="6"/>
    </row>
    <row r="985" spans="17:17" ht="13.2">
      <c r="Q985" s="6"/>
    </row>
    <row r="986" spans="17:17" ht="13.2">
      <c r="Q986" s="6"/>
    </row>
    <row r="987" spans="17:17" ht="13.2">
      <c r="Q987" s="6"/>
    </row>
    <row r="988" spans="17:17" ht="13.2">
      <c r="Q988" s="6"/>
    </row>
    <row r="989" spans="17:17" ht="13.2">
      <c r="Q989" s="6"/>
    </row>
    <row r="990" spans="17:17" ht="13.2">
      <c r="Q990" s="6"/>
    </row>
    <row r="991" spans="17:17" ht="13.2">
      <c r="Q991" s="6"/>
    </row>
    <row r="992" spans="17:17" ht="13.2">
      <c r="Q992" s="6"/>
    </row>
    <row r="993" spans="17:17" ht="13.2">
      <c r="Q993" s="6"/>
    </row>
    <row r="994" spans="17:17" ht="13.2">
      <c r="Q994" s="6"/>
    </row>
    <row r="995" spans="17:17" ht="13.2">
      <c r="Q995" s="6"/>
    </row>
    <row r="996" spans="17:17" ht="13.2">
      <c r="Q996" s="6"/>
    </row>
    <row r="997" spans="17:17" ht="13.2">
      <c r="Q997" s="6"/>
    </row>
    <row r="998" spans="17:17" ht="13.2">
      <c r="Q998" s="6"/>
    </row>
    <row r="999" spans="17:17" ht="13.2">
      <c r="Q999" s="6"/>
    </row>
    <row r="1000" spans="17:17" ht="13.2">
      <c r="Q1000" s="6"/>
    </row>
    <row r="1001" spans="17:17" ht="13.2">
      <c r="Q1001" s="6"/>
    </row>
    <row r="1002" spans="17:17" ht="13.2">
      <c r="Q1002" s="6"/>
    </row>
  </sheetData>
  <conditionalFormatting sqref="B4:B136">
    <cfRule type="cellIs" dxfId="36" priority="1" operator="equal">
      <formula>"Pago"</formula>
    </cfRule>
  </conditionalFormatting>
  <conditionalFormatting sqref="C4:C172">
    <cfRule type="cellIs" dxfId="35" priority="3" operator="equal">
      <formula>"Ok"</formula>
    </cfRule>
  </conditionalFormatting>
  <conditionalFormatting sqref="D4:D208">
    <cfRule type="cellIs" dxfId="34" priority="4" operator="equal">
      <formula>"Si"</formula>
    </cfRule>
  </conditionalFormatting>
  <conditionalFormatting sqref="E4:E293">
    <cfRule type="cellIs" dxfId="33" priority="5" operator="equal">
      <formula>"Si"</formula>
    </cfRule>
  </conditionalFormatting>
  <conditionalFormatting sqref="H1 G4:G191">
    <cfRule type="cellIs" dxfId="32" priority="2" operator="equal">
      <formula>"Si"</formula>
    </cfRule>
  </conditionalFormatting>
  <conditionalFormatting sqref="AB4:AD1002">
    <cfRule type="cellIs" dxfId="31" priority="6" operator="equal">
      <formula>"Terminado"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H99"/>
  <sheetViews>
    <sheetView topLeftCell="D1" workbookViewId="0"/>
  </sheetViews>
  <sheetFormatPr defaultColWidth="12.6640625" defaultRowHeight="15.75" customHeight="1"/>
  <cols>
    <col min="1" max="1" width="12.6640625" hidden="1"/>
    <col min="4" max="4" width="14.44140625" customWidth="1"/>
    <col min="5" max="5" width="11.33203125" customWidth="1"/>
    <col min="6" max="6" width="14.33203125" customWidth="1"/>
    <col min="7" max="7" width="16.21875" hidden="1" customWidth="1"/>
    <col min="8" max="8" width="5.44140625" hidden="1" customWidth="1"/>
    <col min="9" max="9" width="6" hidden="1" customWidth="1"/>
    <col min="10" max="11" width="12.6640625" hidden="1"/>
    <col min="12" max="12" width="8.44140625" customWidth="1"/>
    <col min="13" max="13" width="10.44140625" customWidth="1"/>
    <col min="14" max="14" width="8.6640625" customWidth="1"/>
    <col min="15" max="15" width="4.44140625" hidden="1" customWidth="1"/>
    <col min="16" max="16" width="4.77734375" customWidth="1"/>
    <col min="17" max="17" width="5.6640625" customWidth="1"/>
    <col min="18" max="18" width="14.33203125" customWidth="1"/>
    <col min="19" max="19" width="20.44140625" customWidth="1"/>
    <col min="20" max="25" width="9.77734375" hidden="1" customWidth="1"/>
    <col min="26" max="26" width="6.44140625" customWidth="1"/>
    <col min="27" max="27" width="10.77734375" hidden="1" customWidth="1"/>
    <col min="28" max="28" width="9.6640625" customWidth="1"/>
    <col min="29" max="29" width="13.6640625" hidden="1" customWidth="1"/>
    <col min="30" max="30" width="10.6640625" hidden="1" customWidth="1"/>
    <col min="31" max="33" width="12.6640625" hidden="1"/>
    <col min="34" max="34" width="11.109375" customWidth="1"/>
  </cols>
  <sheetData>
    <row r="1" spans="1:34" ht="22.8">
      <c r="A1" s="40"/>
      <c r="B1" s="48" t="s">
        <v>33</v>
      </c>
      <c r="C1" s="49"/>
      <c r="D1" s="49"/>
      <c r="E1" s="49"/>
      <c r="F1" s="49"/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4" ht="15" customHeight="1">
      <c r="A2" s="40"/>
      <c r="B2" s="51" t="s">
        <v>42</v>
      </c>
      <c r="C2" s="2"/>
      <c r="D2" s="2"/>
      <c r="E2" s="2"/>
      <c r="F2" s="2" t="str">
        <f ca="1">"Inscriptos: "&amp;COUNTA(C4:C100)</f>
        <v>Inscriptos: 12</v>
      </c>
      <c r="G2" s="2"/>
      <c r="H2" s="2"/>
      <c r="I2" s="54"/>
      <c r="J2" s="54"/>
      <c r="K2" s="54"/>
      <c r="L2" s="2"/>
      <c r="M2" s="2"/>
      <c r="N2" s="2"/>
      <c r="O2" s="2"/>
      <c r="P2" s="2"/>
      <c r="Q2" s="2"/>
      <c r="R2" s="2"/>
      <c r="S2" s="54"/>
      <c r="T2" s="54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4" ht="52.8">
      <c r="A3" s="40">
        <v>420</v>
      </c>
      <c r="B3" s="71" t="str">
        <f ca="1">IFERROR(__xludf.DUMMYFUNCTION("query(Titulos)"),"Dia y Hora")</f>
        <v>Dia y Hora</v>
      </c>
      <c r="C3" s="71" t="str">
        <f ca="1">IFERROR(__xludf.DUMMYFUNCTION("""COMPUTED_VALUE"""),"Nombre")</f>
        <v>Nombre</v>
      </c>
      <c r="D3" s="71" t="str">
        <f ca="1">IFERROR(__xludf.DUMMYFUNCTION("""COMPUTED_VALUE"""),"Apellido")</f>
        <v>Apellido</v>
      </c>
      <c r="E3" s="71" t="str">
        <f ca="1">IFERROR(__xludf.DUMMYFUNCTION("""COMPUTED_VALUE"""),"Ciudad")</f>
        <v>Ciudad</v>
      </c>
      <c r="F3" s="71" t="str">
        <f ca="1">IFERROR(__xludf.DUMMYFUNCTION("""COMPUTED_VALUE"""),"Pais")</f>
        <v>Pais</v>
      </c>
      <c r="G3" s="71" t="str">
        <f ca="1">IFERROR(__xludf.DUMMYFUNCTION("""COMPUTED_VALUE"""),"DNI")</f>
        <v>DNI</v>
      </c>
      <c r="H3" s="71" t="str">
        <f ca="1">IFERROR(__xludf.DUMMYFUNCTION("""COMPUTED_VALUE"""),"Nacimiento")</f>
        <v>Nacimiento</v>
      </c>
      <c r="I3" s="71" t="str">
        <f ca="1">IFERROR(__xludf.DUMMYFUNCTION("""COMPUTED_VALUE"""),"Celular de Contacto")</f>
        <v>Celular de Contacto</v>
      </c>
      <c r="J3" s="71" t="str">
        <f ca="1">IFERROR(__xludf.DUMMYFUNCTION("""COMPUTED_VALUE"""),"Celular de Emergencias")</f>
        <v>Celular de Emergencias</v>
      </c>
      <c r="K3" s="71" t="str">
        <f ca="1">IFERROR(__xludf.DUMMYFUNCTION("""COMPUTED_VALUE"""),"email")</f>
        <v>email</v>
      </c>
      <c r="L3" s="71" t="str">
        <f ca="1">IFERROR(__xludf.DUMMYFUNCTION("""COMPUTED_VALUE"""),"Sexo")</f>
        <v>Sexo</v>
      </c>
      <c r="M3" s="71" t="str">
        <f ca="1">IFERROR(__xludf.DUMMYFUNCTION("""COMPUTED_VALUE"""),"Club")</f>
        <v>Club</v>
      </c>
      <c r="N3" s="71" t="str">
        <f ca="1">IFERROR(__xludf.DUMMYFUNCTION("""COMPUTED_VALUE"""),"Categoría")</f>
        <v>Categoría</v>
      </c>
      <c r="O3" s="71" t="str">
        <f ca="1">IFERROR(__xludf.DUMMYFUNCTION("""COMPUTED_VALUE"""),"Clase")</f>
        <v>Clase</v>
      </c>
      <c r="P3" s="71" t="str">
        <f ca="1">IFERROR(__xludf.DUMMYFUNCTION("""COMPUTED_VALUE"""),"Proa Nº")</f>
        <v>Proa Nº</v>
      </c>
      <c r="Q3" s="71" t="str">
        <f ca="1">IFERROR(__xludf.DUMMYFUNCTION("""COMPUTED_VALUE"""),"Vela")</f>
        <v>Vela</v>
      </c>
      <c r="R3" s="71" t="str">
        <f ca="1">IFERROR(__xludf.DUMMYFUNCTION("""COMPUTED_VALUE"""),"Nombre del Barco")</f>
        <v>Nombre del Barco</v>
      </c>
      <c r="S3" s="71" t="str">
        <f ca="1">IFERROR(__xludf.DUMMYFUNCTION("""COMPUTED_VALUE"""),"Tripulante 1")</f>
        <v>Tripulante 1</v>
      </c>
      <c r="T3" s="71" t="str">
        <f ca="1">IFERROR(__xludf.DUMMYFUNCTION("""COMPUTED_VALUE"""),"Tripulante 2")</f>
        <v>Tripulante 2</v>
      </c>
      <c r="U3" s="71" t="str">
        <f ca="1">IFERROR(__xludf.DUMMYFUNCTION("""COMPUTED_VALUE"""),"Tripulante 3")</f>
        <v>Tripulante 3</v>
      </c>
      <c r="V3" s="71" t="str">
        <f ca="1">IFERROR(__xludf.DUMMYFUNCTION("""COMPUTED_VALUE"""),"Tripulante 4")</f>
        <v>Tripulante 4</v>
      </c>
      <c r="W3" s="71" t="str">
        <f ca="1">IFERROR(__xludf.DUMMYFUNCTION("""COMPUTED_VALUE"""),"Tripulante 5")</f>
        <v>Tripulante 5</v>
      </c>
      <c r="X3" s="71" t="str">
        <f ca="1">IFERROR(__xludf.DUMMYFUNCTION("""COMPUTED_VALUE"""),"Tripulante 6")</f>
        <v>Tripulante 6</v>
      </c>
      <c r="Y3" s="71" t="str">
        <f ca="1">IFERROR(__xludf.DUMMYFUNCTION("""COMPUTED_VALUE"""),"Obra Social/Nº Afiliado")</f>
        <v>Obra Social/Nº Afiliado</v>
      </c>
      <c r="Z3" s="71" t="str">
        <f ca="1">IFERROR(__xludf.DUMMYFUNCTION("""COMPUTED_VALUE"""),"Bajada YCO")</f>
        <v>Bajada YCO</v>
      </c>
      <c r="AA3" s="71" t="str">
        <f ca="1">IFERROR(__xludf.DUMMYFUNCTION("""COMPUTED_VALUE"""),"Términos y Condiciones")</f>
        <v>Términos y Condiciones</v>
      </c>
      <c r="AB3" s="71" t="str">
        <f ca="1">IFERROR(__xludf.DUMMYFUNCTION("""COMPUTED_VALUE"""),"Pago")</f>
        <v>Pago</v>
      </c>
      <c r="AC3" s="71" t="str">
        <f ca="1">IFERROR(__xludf.DUMMYFUNCTION("""COMPUTED_VALUE"""),"Importe")</f>
        <v>Importe</v>
      </c>
      <c r="AD3" s="71" t="str">
        <f ca="1">IFERROR(__xludf.DUMMYFUNCTION("""COMPUTED_VALUE"""),"RECIBO")</f>
        <v>RECIBO</v>
      </c>
      <c r="AE3" s="72"/>
      <c r="AF3" s="72"/>
      <c r="AG3" s="72"/>
      <c r="AH3" s="72" t="s">
        <v>43</v>
      </c>
    </row>
    <row r="4" spans="1:34" ht="13.2" hidden="1">
      <c r="B4" s="73">
        <f ca="1">IFERROR(__xludf.DUMMYFUNCTION("filter(Datos,Clases=A3)"),45539.7366687384)</f>
        <v>45539.736668738398</v>
      </c>
      <c r="C4" s="74" t="str">
        <f ca="1">IFERROR(__xludf.DUMMYFUNCTION("""COMPUTED_VALUE"""),"NOMBRE")</f>
        <v>NOMBRE</v>
      </c>
      <c r="D4" s="74" t="str">
        <f ca="1">IFERROR(__xludf.DUMMYFUNCTION("""COMPUTED_VALUE"""),"APELLIDO")</f>
        <v>APELLIDO</v>
      </c>
      <c r="E4" s="74" t="str">
        <f ca="1">IFERROR(__xludf.DUMMYFUNCTION("""COMPUTED_VALUE"""),"OLIVOS")</f>
        <v>OLIVOS</v>
      </c>
      <c r="F4" s="75" t="str">
        <f ca="1">IFERROR(__xludf.DUMMYFUNCTION("""COMPUTED_VALUE"""),"ARG")</f>
        <v>ARG</v>
      </c>
      <c r="G4" s="75">
        <f ca="1">IFERROR(__xludf.DUMMYFUNCTION("""COMPUTED_VALUE"""),11111111)</f>
        <v>11111111</v>
      </c>
      <c r="H4" s="76">
        <f ca="1">IFERROR(__xludf.DUMMYFUNCTION("""COMPUTED_VALUE"""),25323)</f>
        <v>25323</v>
      </c>
      <c r="I4" s="77">
        <f ca="1">IFERROR(__xludf.DUMMYFUNCTION("""COMPUTED_VALUE"""),1122226666)</f>
        <v>1122226666</v>
      </c>
      <c r="J4" s="77">
        <f ca="1">IFERROR(__xludf.DUMMYFUNCTION("""COMPUTED_VALUE"""),1166668888)</f>
        <v>1166668888</v>
      </c>
      <c r="K4" s="77" t="str">
        <f ca="1">IFERROR(__xludf.DUMMYFUNCTION("""COMPUTED_VALUE"""),"MAIL@OTRO.COM")</f>
        <v>MAIL@OTRO.COM</v>
      </c>
      <c r="L4" s="77" t="str">
        <f ca="1">IFERROR(__xludf.DUMMYFUNCTION("""COMPUTED_VALUE"""),"Femenino")</f>
        <v>Femenino</v>
      </c>
      <c r="M4" s="77" t="str">
        <f ca="1">IFERROR(__xludf.DUMMYFUNCTION("""COMPUTED_VALUE"""),"YCO")</f>
        <v>YCO</v>
      </c>
      <c r="N4" s="77" t="str">
        <f ca="1">IFERROR(__xludf.DUMMYFUNCTION("""COMPUTED_VALUE"""),"PRUEBA CATE")</f>
        <v>PRUEBA CATE</v>
      </c>
      <c r="O4" s="77">
        <f ca="1">IFERROR(__xludf.DUMMYFUNCTION("""COMPUTED_VALUE"""),420)</f>
        <v>420</v>
      </c>
      <c r="P4" s="77">
        <f ca="1">IFERROR(__xludf.DUMMYFUNCTION("""COMPUTED_VALUE"""),6)</f>
        <v>6</v>
      </c>
      <c r="Q4" s="77">
        <f ca="1">IFERROR(__xludf.DUMMYFUNCTION("""COMPUTED_VALUE"""),1111)</f>
        <v>1111</v>
      </c>
      <c r="R4" s="77" t="str">
        <f ca="1">IFERROR(__xludf.DUMMYFUNCTION("""COMPUTED_VALUE"""),"UNO")</f>
        <v>UNO</v>
      </c>
      <c r="S4" s="77" t="str">
        <f ca="1">IFERROR(__xludf.DUMMYFUNCTION("""COMPUTED_VALUE"""),"UNO")</f>
        <v>UNO</v>
      </c>
      <c r="T4" s="77" t="str">
        <f ca="1">IFERROR(__xludf.DUMMYFUNCTION("""COMPUTED_VALUE"""),"DOS")</f>
        <v>DOS</v>
      </c>
      <c r="U4" s="77" t="str">
        <f ca="1">IFERROR(__xludf.DUMMYFUNCTION("""COMPUTED_VALUE"""),"TRTES")</f>
        <v>TRTES</v>
      </c>
      <c r="V4" s="77" t="str">
        <f ca="1">IFERROR(__xludf.DUMMYFUNCTION("""COMPUTED_VALUE"""),"CUATO")</f>
        <v>CUATO</v>
      </c>
      <c r="W4" s="77" t="str">
        <f ca="1">IFERROR(__xludf.DUMMYFUNCTION("""COMPUTED_VALUE"""),"FIVE")</f>
        <v>FIVE</v>
      </c>
      <c r="X4" s="77" t="str">
        <f ca="1">IFERROR(__xludf.DUMMYFUNCTION("""COMPUTED_VALUE"""),"SIX")</f>
        <v>SIX</v>
      </c>
      <c r="Y4" s="77">
        <f ca="1">IFERROR(__xludf.DUMMYFUNCTION("""COMPUTED_VALUE"""),22)</f>
        <v>22</v>
      </c>
      <c r="Z4" s="75" t="str">
        <f ca="1">IFERROR(__xludf.DUMMYFUNCTION("""COMPUTED_VALUE"""),"Si")</f>
        <v>Si</v>
      </c>
      <c r="AA4" s="75" t="str">
        <f ca="1">IFERROR(__xludf.DUMMYFUNCTION("""COMPUTED_VALUE"""),"Acepto")</f>
        <v>Acepto</v>
      </c>
      <c r="AB4" s="75" t="str">
        <f ca="1">IFERROR(__xludf.DUMMYFUNCTION("""COMPUTED_VALUE"""),"Pendiente")</f>
        <v>Pendiente</v>
      </c>
      <c r="AC4" s="77"/>
      <c r="AD4" s="77"/>
      <c r="AE4" s="77"/>
      <c r="AF4" s="77"/>
      <c r="AG4" s="77"/>
      <c r="AH4" s="77"/>
    </row>
    <row r="5" spans="1:34" ht="13.2">
      <c r="B5" s="73">
        <f ca="1">IFERROR(__xludf.DUMMYFUNCTION("""COMPUTED_VALUE"""),45534.3967717361)</f>
        <v>45534.396771736101</v>
      </c>
      <c r="C5" s="74" t="str">
        <f ca="1">IFERROR(__xludf.DUMMYFUNCTION("""COMPUTED_VALUE"""),"Agustín")</f>
        <v>Agustín</v>
      </c>
      <c r="D5" s="74" t="str">
        <f ca="1">IFERROR(__xludf.DUMMYFUNCTION("""COMPUTED_VALUE"""),"Bianchi")</f>
        <v>Bianchi</v>
      </c>
      <c r="E5" s="74" t="str">
        <f ca="1">IFERROR(__xludf.DUMMYFUNCTION("""COMPUTED_VALUE"""),"Tigre")</f>
        <v>Tigre</v>
      </c>
      <c r="F5" s="75" t="str">
        <f ca="1">IFERROR(__xludf.DUMMYFUNCTION("""COMPUTED_VALUE"""),"ARG")</f>
        <v>ARG</v>
      </c>
      <c r="G5" s="75">
        <f ca="1">IFERROR(__xludf.DUMMYFUNCTION("""COMPUTED_VALUE"""),26523170)</f>
        <v>26523170</v>
      </c>
      <c r="H5" s="76">
        <f ca="1">IFERROR(__xludf.DUMMYFUNCTION("""COMPUTED_VALUE"""),28645)</f>
        <v>28645</v>
      </c>
      <c r="I5" s="77">
        <f ca="1">IFERROR(__xludf.DUMMYFUNCTION("""COMPUTED_VALUE"""),1159648285)</f>
        <v>1159648285</v>
      </c>
      <c r="J5" s="77">
        <f ca="1">IFERROR(__xludf.DUMMYFUNCTION("""COMPUTED_VALUE"""),1168302939)</f>
        <v>1168302939</v>
      </c>
      <c r="K5" s="77" t="str">
        <f ca="1">IFERROR(__xludf.DUMMYFUNCTION("""COMPUTED_VALUE"""),"agustinbian@hotmail.com")</f>
        <v>agustinbian@hotmail.com</v>
      </c>
      <c r="L5" s="77" t="str">
        <f ca="1">IFERROR(__xludf.DUMMYFUNCTION("""COMPUTED_VALUE"""),"Masculino")</f>
        <v>Masculino</v>
      </c>
      <c r="M5" s="77" t="str">
        <f ca="1">IFERROR(__xludf.DUMMYFUNCTION("""COMPUTED_VALUE"""),"YCA")</f>
        <v>YCA</v>
      </c>
      <c r="N5" s="77"/>
      <c r="O5" s="77">
        <f ca="1">IFERROR(__xludf.DUMMYFUNCTION("""COMPUTED_VALUE"""),420)</f>
        <v>420</v>
      </c>
      <c r="P5" s="77">
        <f ca="1">IFERROR(__xludf.DUMMYFUNCTION("""COMPUTED_VALUE"""),41)</f>
        <v>41</v>
      </c>
      <c r="Q5" s="77">
        <f ca="1">IFERROR(__xludf.DUMMYFUNCTION("""COMPUTED_VALUE"""),52654)</f>
        <v>52654</v>
      </c>
      <c r="R5" s="77" t="str">
        <f ca="1">IFERROR(__xludf.DUMMYFUNCTION("""COMPUTED_VALUE"""),"Vecchia Scuola")</f>
        <v>Vecchia Scuola</v>
      </c>
      <c r="S5" s="77" t="str">
        <f ca="1">IFERROR(__xludf.DUMMYFUNCTION("""COMPUTED_VALUE"""),"Nicole De Leone")</f>
        <v>Nicole De Leone</v>
      </c>
      <c r="T5" s="77"/>
      <c r="U5" s="77"/>
      <c r="V5" s="77"/>
      <c r="W5" s="77"/>
      <c r="X5" s="77"/>
      <c r="Y5" s="77" t="str">
        <f ca="1">IFERROR(__xludf.DUMMYFUNCTION("""COMPUTED_VALUE"""),"Medicus")</f>
        <v>Medicus</v>
      </c>
      <c r="Z5" s="75" t="str">
        <f ca="1">IFERROR(__xludf.DUMMYFUNCTION("""COMPUTED_VALUE"""),"No")</f>
        <v>No</v>
      </c>
      <c r="AA5" s="75" t="str">
        <f ca="1">IFERROR(__xludf.DUMMYFUNCTION("""COMPUTED_VALUE"""),"Acepto")</f>
        <v>Acepto</v>
      </c>
      <c r="AB5" s="75" t="str">
        <f ca="1">IFERROR(__xludf.DUMMYFUNCTION("""COMPUTED_VALUE"""),"Terminado")</f>
        <v>Terminado</v>
      </c>
      <c r="AC5" s="77">
        <f ca="1">IFERROR(__xludf.DUMMYFUNCTION("""COMPUTED_VALUE"""),75000)</f>
        <v>75000</v>
      </c>
      <c r="AD5" s="77">
        <f ca="1">IFERROR(__xludf.DUMMYFUNCTION("""COMPUTED_VALUE"""),205094)</f>
        <v>205094</v>
      </c>
      <c r="AE5" s="77" t="str">
        <f ca="1">IFERROR(__xludf.DUMMYFUNCTION("""COMPUTED_VALUE"""),"TRF 30-08")</f>
        <v>TRF 30-08</v>
      </c>
      <c r="AF5" s="77"/>
      <c r="AG5" s="77"/>
      <c r="AH5" s="77"/>
    </row>
    <row r="6" spans="1:34" ht="13.2">
      <c r="B6" s="73">
        <f ca="1">IFERROR(__xludf.DUMMYFUNCTION("""COMPUTED_VALUE"""),45535.5005953472)</f>
        <v>45535.500595347199</v>
      </c>
      <c r="C6" s="74" t="str">
        <f ca="1">IFERROR(__xludf.DUMMYFUNCTION("""COMPUTED_VALUE"""),"Pedro")</f>
        <v>Pedro</v>
      </c>
      <c r="D6" s="74" t="str">
        <f ca="1">IFERROR(__xludf.DUMMYFUNCTION("""COMPUTED_VALUE"""),"Bianchi")</f>
        <v>Bianchi</v>
      </c>
      <c r="E6" s="74" t="str">
        <f ca="1">IFERROR(__xludf.DUMMYFUNCTION("""COMPUTED_VALUE"""),"Buenos Aires")</f>
        <v>Buenos Aires</v>
      </c>
      <c r="F6" s="75" t="str">
        <f ca="1">IFERROR(__xludf.DUMMYFUNCTION("""COMPUTED_VALUE"""),"ARG")</f>
        <v>ARG</v>
      </c>
      <c r="G6" s="75">
        <f ca="1">IFERROR(__xludf.DUMMYFUNCTION("""COMPUTED_VALUE"""),48704974)</f>
        <v>48704974</v>
      </c>
      <c r="H6" s="76">
        <f ca="1">IFERROR(__xludf.DUMMYFUNCTION("""COMPUTED_VALUE"""),39537)</f>
        <v>39537</v>
      </c>
      <c r="I6" s="77" t="str">
        <f ca="1">IFERROR(__xludf.DUMMYFUNCTION("""COMPUTED_VALUE"""),"+5491166579475")</f>
        <v>+5491166579475</v>
      </c>
      <c r="J6" s="77" t="str">
        <f ca="1">IFERROR(__xludf.DUMMYFUNCTION("""COMPUTED_VALUE"""),"+5491168302939")</f>
        <v>+5491168302939</v>
      </c>
      <c r="K6" s="77" t="str">
        <f ca="1">IFERROR(__xludf.DUMMYFUNCTION("""COMPUTED_VALUE"""),"pedro.bianchi.yca@gmail.com")</f>
        <v>pedro.bianchi.yca@gmail.com</v>
      </c>
      <c r="L6" s="77" t="str">
        <f ca="1">IFERROR(__xludf.DUMMYFUNCTION("""COMPUTED_VALUE"""),"Masculino")</f>
        <v>Masculino</v>
      </c>
      <c r="M6" s="77" t="str">
        <f ca="1">IFERROR(__xludf.DUMMYFUNCTION("""COMPUTED_VALUE"""),"YCA")</f>
        <v>YCA</v>
      </c>
      <c r="N6" s="77"/>
      <c r="O6" s="77">
        <f ca="1">IFERROR(__xludf.DUMMYFUNCTION("""COMPUTED_VALUE"""),420)</f>
        <v>420</v>
      </c>
      <c r="P6" s="77">
        <f ca="1">IFERROR(__xludf.DUMMYFUNCTION("""COMPUTED_VALUE"""),59)</f>
        <v>59</v>
      </c>
      <c r="Q6" s="77">
        <f ca="1">IFERROR(__xludf.DUMMYFUNCTION("""COMPUTED_VALUE"""),54838)</f>
        <v>54838</v>
      </c>
      <c r="R6" s="77" t="str">
        <f ca="1">IFERROR(__xludf.DUMMYFUNCTION("""COMPUTED_VALUE"""),"Sensei")</f>
        <v>Sensei</v>
      </c>
      <c r="S6" s="77" t="str">
        <f ca="1">IFERROR(__xludf.DUMMYFUNCTION("""COMPUTED_VALUE"""),"Magdalena Caranti")</f>
        <v>Magdalena Caranti</v>
      </c>
      <c r="T6" s="77"/>
      <c r="U6" s="77"/>
      <c r="V6" s="77"/>
      <c r="W6" s="77"/>
      <c r="X6" s="77"/>
      <c r="Y6" s="77" t="str">
        <f ca="1">IFERROR(__xludf.DUMMYFUNCTION("""COMPUTED_VALUE"""),"Medicus")</f>
        <v>Medicus</v>
      </c>
      <c r="Z6" s="75" t="str">
        <f ca="1">IFERROR(__xludf.DUMMYFUNCTION("""COMPUTED_VALUE"""),"No")</f>
        <v>No</v>
      </c>
      <c r="AA6" s="75" t="str">
        <f ca="1">IFERROR(__xludf.DUMMYFUNCTION("""COMPUTED_VALUE"""),"Acepto")</f>
        <v>Acepto</v>
      </c>
      <c r="AB6" s="75" t="str">
        <f ca="1">IFERROR(__xludf.DUMMYFUNCTION("""COMPUTED_VALUE"""),"Terminado")</f>
        <v>Terminado</v>
      </c>
      <c r="AC6" s="77">
        <f ca="1">IFERROR(__xludf.DUMMYFUNCTION("""COMPUTED_VALUE"""),75000)</f>
        <v>75000</v>
      </c>
      <c r="AD6" s="77">
        <f ca="1">IFERROR(__xludf.DUMMYFUNCTION("""COMPUTED_VALUE"""),205491)</f>
        <v>205491</v>
      </c>
      <c r="AE6" s="77" t="str">
        <f ca="1">IFERROR(__xludf.DUMMYFUNCTION("""COMPUTED_VALUE"""),"TRF 31-08")</f>
        <v>TRF 31-08</v>
      </c>
      <c r="AF6" s="77"/>
      <c r="AG6" s="77"/>
      <c r="AH6" s="77"/>
    </row>
    <row r="7" spans="1:34" ht="13.2">
      <c r="B7" s="73">
        <f ca="1">IFERROR(__xludf.DUMMYFUNCTION("""COMPUTED_VALUE"""),45538.8574748379)</f>
        <v>45538.857474837903</v>
      </c>
      <c r="C7" s="74" t="str">
        <f ca="1">IFERROR(__xludf.DUMMYFUNCTION("""COMPUTED_VALUE"""),"Joaquin")</f>
        <v>Joaquin</v>
      </c>
      <c r="D7" s="74" t="str">
        <f ca="1">IFERROR(__xludf.DUMMYFUNCTION("""COMPUTED_VALUE"""),"Blousson")</f>
        <v>Blousson</v>
      </c>
      <c r="E7" s="74" t="str">
        <f ca="1">IFERROR(__xludf.DUMMYFUNCTION("""COMPUTED_VALUE"""),"CABA")</f>
        <v>CABA</v>
      </c>
      <c r="F7" s="75" t="str">
        <f ca="1">IFERROR(__xludf.DUMMYFUNCTION("""COMPUTED_VALUE"""),"ARG")</f>
        <v>ARG</v>
      </c>
      <c r="G7" s="75">
        <f ca="1">IFERROR(__xludf.DUMMYFUNCTION("""COMPUTED_VALUE"""),48857390)</f>
        <v>48857390</v>
      </c>
      <c r="H7" s="76">
        <f ca="1">IFERROR(__xludf.DUMMYFUNCTION("""COMPUTED_VALUE"""),-690812)</f>
        <v>-690812</v>
      </c>
      <c r="I7" s="77">
        <f ca="1">IFERROR(__xludf.DUMMYFUNCTION("""COMPUTED_VALUE"""),1158179367)</f>
        <v>1158179367</v>
      </c>
      <c r="J7" s="77"/>
      <c r="K7" s="77" t="str">
        <f ca="1">IFERROR(__xludf.DUMMYFUNCTION("""COMPUTED_VALUE"""),"jblousson@gmail.com")</f>
        <v>jblousson@gmail.com</v>
      </c>
      <c r="L7" s="77" t="str">
        <f ca="1">IFERROR(__xludf.DUMMYFUNCTION("""COMPUTED_VALUE"""),"Masculino")</f>
        <v>Masculino</v>
      </c>
      <c r="M7" s="77" t="str">
        <f ca="1">IFERROR(__xludf.DUMMYFUNCTION("""COMPUTED_VALUE"""),"YCA")</f>
        <v>YCA</v>
      </c>
      <c r="N7" s="77"/>
      <c r="O7" s="77">
        <f ca="1">IFERROR(__xludf.DUMMYFUNCTION("""COMPUTED_VALUE"""),420)</f>
        <v>420</v>
      </c>
      <c r="P7" s="77">
        <f ca="1">IFERROR(__xludf.DUMMYFUNCTION("""COMPUTED_VALUE"""),63)</f>
        <v>63</v>
      </c>
      <c r="Q7" s="77">
        <f ca="1">IFERROR(__xludf.DUMMYFUNCTION("""COMPUTED_VALUE"""),54842)</f>
        <v>54842</v>
      </c>
      <c r="R7" s="77" t="str">
        <f ca="1">IFERROR(__xludf.DUMMYFUNCTION("""COMPUTED_VALUE"""),"Sonia")</f>
        <v>Sonia</v>
      </c>
      <c r="S7" s="77" t="str">
        <f ca="1">IFERROR(__xludf.DUMMYFUNCTION("""COMPUTED_VALUE"""),"Joaquin Blousson")</f>
        <v>Joaquin Blousson</v>
      </c>
      <c r="T7" s="77" t="str">
        <f ca="1">IFERROR(__xludf.DUMMYFUNCTION("""COMPUTED_VALUE"""),"Franco Blousson")</f>
        <v>Franco Blousson</v>
      </c>
      <c r="U7" s="77"/>
      <c r="V7" s="77"/>
      <c r="W7" s="77"/>
      <c r="X7" s="77"/>
      <c r="Y7" s="77" t="str">
        <f ca="1">IFERROR(__xludf.DUMMYFUNCTION("""COMPUTED_VALUE"""),"OSDE")</f>
        <v>OSDE</v>
      </c>
      <c r="Z7" s="75" t="str">
        <f ca="1">IFERROR(__xludf.DUMMYFUNCTION("""COMPUTED_VALUE"""),"No")</f>
        <v>No</v>
      </c>
      <c r="AA7" s="75" t="str">
        <f ca="1">IFERROR(__xludf.DUMMYFUNCTION("""COMPUTED_VALUE"""),"Acepto")</f>
        <v>Acepto</v>
      </c>
      <c r="AB7" s="75" t="str">
        <f ca="1">IFERROR(__xludf.DUMMYFUNCTION("""COMPUTED_VALUE"""),"Terminado")</f>
        <v>Terminado</v>
      </c>
      <c r="AC7" s="77">
        <f ca="1">IFERROR(__xludf.DUMMYFUNCTION("""COMPUTED_VALUE"""),80000)</f>
        <v>80000</v>
      </c>
      <c r="AD7" s="77">
        <f ca="1">IFERROR(__xludf.DUMMYFUNCTION("""COMPUTED_VALUE"""),205407)</f>
        <v>205407</v>
      </c>
      <c r="AE7" s="77" t="str">
        <f ca="1">IFERROR(__xludf.DUMMYFUNCTION("""COMPUTED_VALUE"""),"TRF 03-09")</f>
        <v>TRF 03-09</v>
      </c>
      <c r="AF7" s="77"/>
      <c r="AG7" s="77"/>
      <c r="AH7" s="77"/>
    </row>
    <row r="8" spans="1:34" ht="13.2">
      <c r="B8" s="73">
        <f ca="1">IFERROR(__xludf.DUMMYFUNCTION("""COMPUTED_VALUE"""),45537.414796875)</f>
        <v>45537.414796874997</v>
      </c>
      <c r="C8" s="74" t="str">
        <f ca="1">IFERROR(__xludf.DUMMYFUNCTION("""COMPUTED_VALUE"""),"Camila")</f>
        <v>Camila</v>
      </c>
      <c r="D8" s="74" t="str">
        <f ca="1">IFERROR(__xludf.DUMMYFUNCTION("""COMPUTED_VALUE"""),"Del carril")</f>
        <v>Del carril</v>
      </c>
      <c r="E8" s="74" t="str">
        <f ca="1">IFERROR(__xludf.DUMMYFUNCTION("""COMPUTED_VALUE"""),"Buenos aires")</f>
        <v>Buenos aires</v>
      </c>
      <c r="F8" s="75" t="str">
        <f ca="1">IFERROR(__xludf.DUMMYFUNCTION("""COMPUTED_VALUE"""),"ARG")</f>
        <v>ARG</v>
      </c>
      <c r="G8" s="75">
        <f ca="1">IFERROR(__xludf.DUMMYFUNCTION("""COMPUTED_VALUE"""),48793632)</f>
        <v>48793632</v>
      </c>
      <c r="H8" s="76">
        <f ca="1">IFERROR(__xludf.DUMMYFUNCTION("""COMPUTED_VALUE"""),39631)</f>
        <v>39631</v>
      </c>
      <c r="I8" s="77">
        <f ca="1">IFERROR(__xludf.DUMMYFUNCTION("""COMPUTED_VALUE"""),1165318147)</f>
        <v>1165318147</v>
      </c>
      <c r="J8" s="77">
        <f ca="1">IFERROR(__xludf.DUMMYFUNCTION("""COMPUTED_VALUE"""),150575173)</f>
        <v>150575173</v>
      </c>
      <c r="K8" s="77" t="str">
        <f ca="1">IFERROR(__xludf.DUMMYFUNCTION("""COMPUTED_VALUE"""),"camiladelcarril55@gmail.com")</f>
        <v>camiladelcarril55@gmail.com</v>
      </c>
      <c r="L8" s="77" t="str">
        <f ca="1">IFERROR(__xludf.DUMMYFUNCTION("""COMPUTED_VALUE"""),"Femenino")</f>
        <v>Femenino</v>
      </c>
      <c r="M8" s="77" t="str">
        <f ca="1">IFERROR(__xludf.DUMMYFUNCTION("""COMPUTED_VALUE"""),"CNSI")</f>
        <v>CNSI</v>
      </c>
      <c r="N8" s="77"/>
      <c r="O8" s="77">
        <f ca="1">IFERROR(__xludf.DUMMYFUNCTION("""COMPUTED_VALUE"""),420)</f>
        <v>420</v>
      </c>
      <c r="P8" s="77" t="str">
        <f ca="1">IFERROR(__xludf.DUMMYFUNCTION("""COMPUTED_VALUE"""),"04")</f>
        <v>04</v>
      </c>
      <c r="Q8" s="77">
        <f ca="1">IFERROR(__xludf.DUMMYFUNCTION("""COMPUTED_VALUE"""),551819)</f>
        <v>551819</v>
      </c>
      <c r="R8" s="77"/>
      <c r="S8" s="77" t="str">
        <f ca="1">IFERROR(__xludf.DUMMYFUNCTION("""COMPUTED_VALUE"""),"Eugenio bradley")</f>
        <v>Eugenio bradley</v>
      </c>
      <c r="T8" s="77"/>
      <c r="U8" s="77"/>
      <c r="V8" s="77"/>
      <c r="W8" s="77"/>
      <c r="X8" s="77"/>
      <c r="Y8" s="77" t="str">
        <f ca="1">IFERROR(__xludf.DUMMYFUNCTION("""COMPUTED_VALUE"""),"Hospital alemán 10639810773803")</f>
        <v>Hospital alemán 10639810773803</v>
      </c>
      <c r="Z8" s="75" t="str">
        <f ca="1">IFERROR(__xludf.DUMMYFUNCTION("""COMPUTED_VALUE"""),"No")</f>
        <v>No</v>
      </c>
      <c r="AA8" s="75" t="str">
        <f ca="1">IFERROR(__xludf.DUMMYFUNCTION("""COMPUTED_VALUE"""),"Acepto")</f>
        <v>Acepto</v>
      </c>
      <c r="AB8" s="75" t="str">
        <f ca="1">IFERROR(__xludf.DUMMYFUNCTION("""COMPUTED_VALUE"""),"Pendiente")</f>
        <v>Pendiente</v>
      </c>
      <c r="AC8" s="77"/>
      <c r="AD8" s="77"/>
      <c r="AE8" s="77"/>
      <c r="AF8" s="77"/>
      <c r="AG8" s="77"/>
      <c r="AH8" s="77"/>
    </row>
    <row r="9" spans="1:34" ht="13.2">
      <c r="B9" s="73">
        <f ca="1">IFERROR(__xludf.DUMMYFUNCTION("""COMPUTED_VALUE"""),45535.520852743)</f>
        <v>45535.520852743</v>
      </c>
      <c r="C9" s="74" t="str">
        <f ca="1">IFERROR(__xludf.DUMMYFUNCTION("""COMPUTED_VALUE"""),"Beltran ")</f>
        <v xml:space="preserve">Beltran </v>
      </c>
      <c r="D9" s="74" t="str">
        <f ca="1">IFERROR(__xludf.DUMMYFUNCTION("""COMPUTED_VALUE"""),"Lepori")</f>
        <v>Lepori</v>
      </c>
      <c r="E9" s="74" t="str">
        <f ca="1">IFERROR(__xludf.DUMMYFUNCTION("""COMPUTED_VALUE"""),"CABA")</f>
        <v>CABA</v>
      </c>
      <c r="F9" s="75" t="str">
        <f ca="1">IFERROR(__xludf.DUMMYFUNCTION("""COMPUTED_VALUE"""),"ARG")</f>
        <v>ARG</v>
      </c>
      <c r="G9" s="75">
        <f ca="1">IFERROR(__xludf.DUMMYFUNCTION("""COMPUTED_VALUE"""),47436729)</f>
        <v>47436729</v>
      </c>
      <c r="H9" s="76">
        <f ca="1">IFERROR(__xludf.DUMMYFUNCTION("""COMPUTED_VALUE"""),38946)</f>
        <v>38946</v>
      </c>
      <c r="I9" s="77">
        <f ca="1">IFERROR(__xludf.DUMMYFUNCTION("""COMPUTED_VALUE"""),1163353841)</f>
        <v>1163353841</v>
      </c>
      <c r="J9" s="77">
        <f ca="1">IFERROR(__xludf.DUMMYFUNCTION("""COMPUTED_VALUE"""),1561528948)</f>
        <v>1561528948</v>
      </c>
      <c r="K9" s="77" t="str">
        <f ca="1">IFERROR(__xludf.DUMMYFUNCTION("""COMPUTED_VALUE"""),"bi.lepori@scms.edu.ar")</f>
        <v>bi.lepori@scms.edu.ar</v>
      </c>
      <c r="L9" s="77" t="str">
        <f ca="1">IFERROR(__xludf.DUMMYFUNCTION("""COMPUTED_VALUE"""),"Masculino")</f>
        <v>Masculino</v>
      </c>
      <c r="M9" s="77" t="str">
        <f ca="1">IFERROR(__xludf.DUMMYFUNCTION("""COMPUTED_VALUE"""),"YCA")</f>
        <v>YCA</v>
      </c>
      <c r="N9" s="77"/>
      <c r="O9" s="77">
        <f ca="1">IFERROR(__xludf.DUMMYFUNCTION("""COMPUTED_VALUE"""),420)</f>
        <v>420</v>
      </c>
      <c r="P9" s="77" t="str">
        <f ca="1">IFERROR(__xludf.DUMMYFUNCTION("""COMPUTED_VALUE"""),"02")</f>
        <v>02</v>
      </c>
      <c r="Q9" s="77">
        <f ca="1">IFERROR(__xludf.DUMMYFUNCTION("""COMPUTED_VALUE"""),57295)</f>
        <v>57295</v>
      </c>
      <c r="R9" s="77" t="str">
        <f ca="1">IFERROR(__xludf.DUMMYFUNCTION("""COMPUTED_VALUE"""),"KATANGA")</f>
        <v>KATANGA</v>
      </c>
      <c r="S9" s="77" t="str">
        <f ca="1">IFERROR(__xludf.DUMMYFUNCTION("""COMPUTED_VALUE"""),"Celeste Parini")</f>
        <v>Celeste Parini</v>
      </c>
      <c r="T9" s="77"/>
      <c r="U9" s="77"/>
      <c r="V9" s="77"/>
      <c r="W9" s="77"/>
      <c r="X9" s="77"/>
      <c r="Y9" s="77" t="str">
        <f ca="1">IFERROR(__xludf.DUMMYFUNCTION("""COMPUTED_VALUE"""),"OSDE")</f>
        <v>OSDE</v>
      </c>
      <c r="Z9" s="75" t="str">
        <f ca="1">IFERROR(__xludf.DUMMYFUNCTION("""COMPUTED_VALUE"""),"No")</f>
        <v>No</v>
      </c>
      <c r="AA9" s="75" t="str">
        <f ca="1">IFERROR(__xludf.DUMMYFUNCTION("""COMPUTED_VALUE"""),"Acepto")</f>
        <v>Acepto</v>
      </c>
      <c r="AB9" s="75" t="str">
        <f ca="1">IFERROR(__xludf.DUMMYFUNCTION("""COMPUTED_VALUE"""),"Repetido")</f>
        <v>Repetido</v>
      </c>
      <c r="AC9" s="77"/>
      <c r="AD9" s="77"/>
      <c r="AE9" s="77"/>
      <c r="AF9" s="77"/>
      <c r="AG9" s="77"/>
      <c r="AH9" s="77"/>
    </row>
    <row r="10" spans="1:34" ht="13.2">
      <c r="B10" s="73">
        <f ca="1">IFERROR(__xludf.DUMMYFUNCTION("""COMPUTED_VALUE"""),45536.8186180324)</f>
        <v>45536.818618032397</v>
      </c>
      <c r="C10" s="74" t="str">
        <f ca="1">IFERROR(__xludf.DUMMYFUNCTION("""COMPUTED_VALUE"""),"Beltran ")</f>
        <v xml:space="preserve">Beltran </v>
      </c>
      <c r="D10" s="74" t="str">
        <f ca="1">IFERROR(__xludf.DUMMYFUNCTION("""COMPUTED_VALUE"""),"Lepori")</f>
        <v>Lepori</v>
      </c>
      <c r="E10" s="74" t="str">
        <f ca="1">IFERROR(__xludf.DUMMYFUNCTION("""COMPUTED_VALUE"""),"CABA")</f>
        <v>CABA</v>
      </c>
      <c r="F10" s="75" t="str">
        <f ca="1">IFERROR(__xludf.DUMMYFUNCTION("""COMPUTED_VALUE"""),"ARG")</f>
        <v>ARG</v>
      </c>
      <c r="G10" s="75">
        <f ca="1">IFERROR(__xludf.DUMMYFUNCTION("""COMPUTED_VALUE"""),47436729)</f>
        <v>47436729</v>
      </c>
      <c r="H10" s="76">
        <f ca="1">IFERROR(__xludf.DUMMYFUNCTION("""COMPUTED_VALUE"""),38946)</f>
        <v>38946</v>
      </c>
      <c r="I10" s="77" t="str">
        <f ca="1">IFERROR(__xludf.DUMMYFUNCTION("""COMPUTED_VALUE"""),"6335-3841")</f>
        <v>6335-3841</v>
      </c>
      <c r="J10" s="77">
        <f ca="1">IFERROR(__xludf.DUMMYFUNCTION("""COMPUTED_VALUE"""),1561528948)</f>
        <v>1561528948</v>
      </c>
      <c r="K10" s="77" t="str">
        <f ca="1">IFERROR(__xludf.DUMMYFUNCTION("""COMPUTED_VALUE"""),"bi.lepori@scms.edu.ar")</f>
        <v>bi.lepori@scms.edu.ar</v>
      </c>
      <c r="L10" s="77" t="str">
        <f ca="1">IFERROR(__xludf.DUMMYFUNCTION("""COMPUTED_VALUE"""),"Masculino")</f>
        <v>Masculino</v>
      </c>
      <c r="M10" s="77" t="str">
        <f ca="1">IFERROR(__xludf.DUMMYFUNCTION("""COMPUTED_VALUE"""),"YCA")</f>
        <v>YCA</v>
      </c>
      <c r="N10" s="77"/>
      <c r="O10" s="77">
        <f ca="1">IFERROR(__xludf.DUMMYFUNCTION("""COMPUTED_VALUE"""),420)</f>
        <v>420</v>
      </c>
      <c r="P10" s="77" t="str">
        <f ca="1">IFERROR(__xludf.DUMMYFUNCTION("""COMPUTED_VALUE"""),"02")</f>
        <v>02</v>
      </c>
      <c r="Q10" s="77">
        <f ca="1">IFERROR(__xludf.DUMMYFUNCTION("""COMPUTED_VALUE"""),57295)</f>
        <v>57295</v>
      </c>
      <c r="R10" s="77" t="str">
        <f ca="1">IFERROR(__xludf.DUMMYFUNCTION("""COMPUTED_VALUE"""),"KATANGA")</f>
        <v>KATANGA</v>
      </c>
      <c r="S10" s="77" t="str">
        <f ca="1">IFERROR(__xludf.DUMMYFUNCTION("""COMPUTED_VALUE"""),"Celeste Parini")</f>
        <v>Celeste Parini</v>
      </c>
      <c r="T10" s="77"/>
      <c r="U10" s="77"/>
      <c r="V10" s="77"/>
      <c r="W10" s="77"/>
      <c r="X10" s="77"/>
      <c r="Y10" s="77"/>
      <c r="Z10" s="75" t="str">
        <f ca="1">IFERROR(__xludf.DUMMYFUNCTION("""COMPUTED_VALUE"""),"No")</f>
        <v>No</v>
      </c>
      <c r="AA10" s="75" t="str">
        <f ca="1">IFERROR(__xludf.DUMMYFUNCTION("""COMPUTED_VALUE"""),"Acepto")</f>
        <v>Acepto</v>
      </c>
      <c r="AB10" s="75" t="str">
        <f ca="1">IFERROR(__xludf.DUMMYFUNCTION("""COMPUTED_VALUE"""),"Terminado")</f>
        <v>Terminado</v>
      </c>
      <c r="AC10" s="77">
        <f ca="1">IFERROR(__xludf.DUMMYFUNCTION("""COMPUTED_VALUE"""),65000)</f>
        <v>65000</v>
      </c>
      <c r="AD10" s="77">
        <f ca="1">IFERROR(__xludf.DUMMYFUNCTION("""COMPUTED_VALUE"""),205548)</f>
        <v>205548</v>
      </c>
      <c r="AE10" s="77" t="str">
        <f ca="1">IFERROR(__xludf.DUMMYFUNCTION("""COMPUTED_VALUE"""),"TRF 06-09")</f>
        <v>TRF 06-09</v>
      </c>
      <c r="AF10" s="77"/>
      <c r="AG10" s="77"/>
      <c r="AH10" s="77"/>
    </row>
    <row r="11" spans="1:34" ht="13.2">
      <c r="B11" s="73">
        <f ca="1">IFERROR(__xludf.DUMMYFUNCTION("""COMPUTED_VALUE"""),45534.9511546064)</f>
        <v>45534.951154606402</v>
      </c>
      <c r="C11" s="74" t="str">
        <f ca="1">IFERROR(__xludf.DUMMYFUNCTION("""COMPUTED_VALUE"""),"Sofia")</f>
        <v>Sofia</v>
      </c>
      <c r="D11" s="74" t="str">
        <f ca="1">IFERROR(__xludf.DUMMYFUNCTION("""COMPUTED_VALUE"""),"Orella")</f>
        <v>Orella</v>
      </c>
      <c r="E11" s="74" t="str">
        <f ca="1">IFERROR(__xludf.DUMMYFUNCTION("""COMPUTED_VALUE"""),"Buenos Aires")</f>
        <v>Buenos Aires</v>
      </c>
      <c r="F11" s="75" t="str">
        <f ca="1">IFERROR(__xludf.DUMMYFUNCTION("""COMPUTED_VALUE"""),"ARG")</f>
        <v>ARG</v>
      </c>
      <c r="G11" s="75">
        <f ca="1">IFERROR(__xludf.DUMMYFUNCTION("""COMPUTED_VALUE"""),48801008)</f>
        <v>48801008</v>
      </c>
      <c r="H11" s="76">
        <f ca="1">IFERROR(__xludf.DUMMYFUNCTION("""COMPUTED_VALUE"""),39617)</f>
        <v>39617</v>
      </c>
      <c r="I11" s="77" t="str">
        <f ca="1">IFERROR(__xludf.DUMMYFUNCTION("""COMPUTED_VALUE"""),"+54 9 11 6929-9731")</f>
        <v>+54 9 11 6929-9731</v>
      </c>
      <c r="J11" s="77" t="str">
        <f ca="1">IFERROR(__xludf.DUMMYFUNCTION("""COMPUTED_VALUE"""),"+54 9 11 4028-5075")</f>
        <v>+54 9 11 4028-5075</v>
      </c>
      <c r="K11" s="77" t="str">
        <f ca="1">IFERROR(__xludf.DUMMYFUNCTION("""COMPUTED_VALUE"""),"morellamail@gmail.com")</f>
        <v>morellamail@gmail.com</v>
      </c>
      <c r="L11" s="77" t="str">
        <f ca="1">IFERROR(__xludf.DUMMYFUNCTION("""COMPUTED_VALUE"""),"Femenino")</f>
        <v>Femenino</v>
      </c>
      <c r="M11" s="77" t="str">
        <f ca="1">IFERROR(__xludf.DUMMYFUNCTION("""COMPUTED_VALUE"""),"CNSI")</f>
        <v>CNSI</v>
      </c>
      <c r="N11" s="77" t="str">
        <f ca="1">IFERROR(__xludf.DUMMYFUNCTION("""COMPUTED_VALUE"""),"Femenino")</f>
        <v>Femenino</v>
      </c>
      <c r="O11" s="77">
        <f ca="1">IFERROR(__xludf.DUMMYFUNCTION("""COMPUTED_VALUE"""),420)</f>
        <v>420</v>
      </c>
      <c r="P11" s="77">
        <f ca="1">IFERROR(__xludf.DUMMYFUNCTION("""COMPUTED_VALUE"""),29)</f>
        <v>29</v>
      </c>
      <c r="Q11" s="77">
        <f ca="1">IFERROR(__xludf.DUMMYFUNCTION("""COMPUTED_VALUE"""),50794)</f>
        <v>50794</v>
      </c>
      <c r="R11" s="77" t="str">
        <f ca="1">IFERROR(__xludf.DUMMYFUNCTION("""COMPUTED_VALUE"""),"N/A")</f>
        <v>N/A</v>
      </c>
      <c r="S11" s="77" t="str">
        <f ca="1">IFERROR(__xludf.DUMMYFUNCTION("""COMPUTED_VALUE"""),"Trinidad Tommasi")</f>
        <v>Trinidad Tommasi</v>
      </c>
      <c r="T11" s="77"/>
      <c r="U11" s="77"/>
      <c r="V11" s="77"/>
      <c r="W11" s="77"/>
      <c r="X11" s="77"/>
      <c r="Y11" s="77" t="str">
        <f ca="1">IFERROR(__xludf.DUMMYFUNCTION("""COMPUTED_VALUE"""),"OSDE 310 60595657904")</f>
        <v>OSDE 310 60595657904</v>
      </c>
      <c r="Z11" s="75" t="str">
        <f ca="1">IFERROR(__xludf.DUMMYFUNCTION("""COMPUTED_VALUE"""),"No")</f>
        <v>No</v>
      </c>
      <c r="AA11" s="75" t="str">
        <f ca="1">IFERROR(__xludf.DUMMYFUNCTION("""COMPUTED_VALUE"""),"Acepto")</f>
        <v>Acepto</v>
      </c>
      <c r="AB11" s="75" t="str">
        <f ca="1">IFERROR(__xludf.DUMMYFUNCTION("""COMPUTED_VALUE"""),"Terminado")</f>
        <v>Terminado</v>
      </c>
      <c r="AC11" s="77">
        <f ca="1">IFERROR(__xludf.DUMMYFUNCTION("""COMPUTED_VALUE"""),65000)</f>
        <v>65000</v>
      </c>
      <c r="AD11" s="77">
        <f ca="1">IFERROR(__xludf.DUMMYFUNCTION("""COMPUTED_VALUE"""),205118)</f>
        <v>205118</v>
      </c>
      <c r="AE11" s="77" t="str">
        <f ca="1">IFERROR(__xludf.DUMMYFUNCTION("""COMPUTED_VALUE"""),"Tarj.31-08")</f>
        <v>Tarj.31-08</v>
      </c>
      <c r="AF11" s="77"/>
      <c r="AG11" s="77"/>
      <c r="AH11" s="77"/>
    </row>
    <row r="12" spans="1:34" ht="13.2">
      <c r="B12" s="73">
        <f ca="1">IFERROR(__xludf.DUMMYFUNCTION("""COMPUTED_VALUE"""),45534.7308323148)</f>
        <v>45534.730832314803</v>
      </c>
      <c r="C12" s="74" t="str">
        <f ca="1">IFERROR(__xludf.DUMMYFUNCTION("""COMPUTED_VALUE"""),"Pelado ")</f>
        <v xml:space="preserve">Pelado </v>
      </c>
      <c r="D12" s="74" t="str">
        <f ca="1">IFERROR(__xludf.DUMMYFUNCTION("""COMPUTED_VALUE"""),"Roldán ")</f>
        <v xml:space="preserve">Roldán </v>
      </c>
      <c r="E12" s="74" t="str">
        <f ca="1">IFERROR(__xludf.DUMMYFUNCTION("""COMPUTED_VALUE"""),"SAN ISIDRO - SAN ISIDRO")</f>
        <v>SAN ISIDRO - SAN ISIDRO</v>
      </c>
      <c r="F12" s="75" t="str">
        <f ca="1">IFERROR(__xludf.DUMMYFUNCTION("""COMPUTED_VALUE"""),"ARG")</f>
        <v>ARG</v>
      </c>
      <c r="G12" s="75">
        <f ca="1">IFERROR(__xludf.DUMMYFUNCTION("""COMPUTED_VALUE"""),41213730)</f>
        <v>41213730</v>
      </c>
      <c r="H12" s="76">
        <f ca="1">IFERROR(__xludf.DUMMYFUNCTION("""COMPUTED_VALUE"""),35993)</f>
        <v>35993</v>
      </c>
      <c r="I12" s="77">
        <f ca="1">IFERROR(__xludf.DUMMYFUNCTION("""COMPUTED_VALUE"""),1153082589)</f>
        <v>1153082589</v>
      </c>
      <c r="J12" s="77"/>
      <c r="K12" s="77" t="str">
        <f ca="1">IFERROR(__xludf.DUMMYFUNCTION("""COMPUTED_VALUE"""),"roldanmatu@gmail.com")</f>
        <v>roldanmatu@gmail.com</v>
      </c>
      <c r="L12" s="77" t="str">
        <f ca="1">IFERROR(__xludf.DUMMYFUNCTION("""COMPUTED_VALUE"""),"Masculino")</f>
        <v>Masculino</v>
      </c>
      <c r="M12" s="77" t="str">
        <f ca="1">IFERROR(__xludf.DUMMYFUNCTION("""COMPUTED_VALUE"""),"CNSI ")</f>
        <v xml:space="preserve">CNSI </v>
      </c>
      <c r="N12" s="77"/>
      <c r="O12" s="77">
        <f ca="1">IFERROR(__xludf.DUMMYFUNCTION("""COMPUTED_VALUE"""),420)</f>
        <v>420</v>
      </c>
      <c r="P12" s="77">
        <f ca="1">IFERROR(__xludf.DUMMYFUNCTION("""COMPUTED_VALUE"""),89)</f>
        <v>89</v>
      </c>
      <c r="Q12" s="77">
        <f ca="1">IFERROR(__xludf.DUMMYFUNCTION("""COMPUTED_VALUE"""),52651)</f>
        <v>52651</v>
      </c>
      <c r="R12" s="77" t="str">
        <f ca="1">IFERROR(__xludf.DUMMYFUNCTION("""COMPUTED_VALUE"""),"La rata")</f>
        <v>La rata</v>
      </c>
      <c r="S12" s="77" t="str">
        <f ca="1">IFERROR(__xludf.DUMMYFUNCTION("""COMPUTED_VALUE"""),"Indigo")</f>
        <v>Indigo</v>
      </c>
      <c r="T12" s="77"/>
      <c r="U12" s="77"/>
      <c r="V12" s="77"/>
      <c r="W12" s="77"/>
      <c r="X12" s="77"/>
      <c r="Y12" s="77"/>
      <c r="Z12" s="75" t="str">
        <f ca="1">IFERROR(__xludf.DUMMYFUNCTION("""COMPUTED_VALUE"""),"No")</f>
        <v>No</v>
      </c>
      <c r="AA12" s="75" t="str">
        <f ca="1">IFERROR(__xludf.DUMMYFUNCTION("""COMPUTED_VALUE"""),"Acepto")</f>
        <v>Acepto</v>
      </c>
      <c r="AB12" s="75" t="str">
        <f ca="1">IFERROR(__xludf.DUMMYFUNCTION("""COMPUTED_VALUE"""),"Terminado")</f>
        <v>Terminado</v>
      </c>
      <c r="AC12" s="77">
        <f ca="1">IFERROR(__xludf.DUMMYFUNCTION("""COMPUTED_VALUE"""),65000)</f>
        <v>65000</v>
      </c>
      <c r="AD12" s="77">
        <f ca="1">IFERROR(__xludf.DUMMYFUNCTION("""COMPUTED_VALUE"""),205544)</f>
        <v>205544</v>
      </c>
      <c r="AE12" s="77" t="str">
        <f ca="1">IFERROR(__xludf.DUMMYFUNCTION("""COMPUTED_VALUE"""),"TRF 06-09")</f>
        <v>TRF 06-09</v>
      </c>
      <c r="AF12" s="77"/>
      <c r="AG12" s="77"/>
      <c r="AH12" s="77"/>
    </row>
    <row r="13" spans="1:34" ht="13.2">
      <c r="B13" s="73">
        <f ca="1">IFERROR(__xludf.DUMMYFUNCTION("""COMPUTED_VALUE"""),45537.4126075115)</f>
        <v>45537.412607511498</v>
      </c>
      <c r="C13" s="74" t="str">
        <f ca="1">IFERROR(__xludf.DUMMYFUNCTION("""COMPUTED_VALUE"""),"Tiago")</f>
        <v>Tiago</v>
      </c>
      <c r="D13" s="74" t="str">
        <f ca="1">IFERROR(__xludf.DUMMYFUNCTION("""COMPUTED_VALUE"""),"Troilo")</f>
        <v>Troilo</v>
      </c>
      <c r="E13" s="74" t="str">
        <f ca="1">IFERROR(__xludf.DUMMYFUNCTION("""COMPUTED_VALUE"""),"Tigre ")</f>
        <v xml:space="preserve">Tigre </v>
      </c>
      <c r="F13" s="75" t="str">
        <f ca="1">IFERROR(__xludf.DUMMYFUNCTION("""COMPUTED_VALUE"""),"ARG")</f>
        <v>ARG</v>
      </c>
      <c r="G13" s="75">
        <f ca="1">IFERROR(__xludf.DUMMYFUNCTION("""COMPUTED_VALUE"""),48231861)</f>
        <v>48231861</v>
      </c>
      <c r="H13" s="76">
        <f ca="1">IFERROR(__xludf.DUMMYFUNCTION("""COMPUTED_VALUE"""),39455)</f>
        <v>39455</v>
      </c>
      <c r="I13" s="77" t="str">
        <f ca="1">IFERROR(__xludf.DUMMYFUNCTION("""COMPUTED_VALUE"""),"11 49749551")</f>
        <v>11 49749551</v>
      </c>
      <c r="J13" s="77" t="str">
        <f ca="1">IFERROR(__xludf.DUMMYFUNCTION("""COMPUTED_VALUE"""),"11 65452744")</f>
        <v>11 65452744</v>
      </c>
      <c r="K13" s="77" t="str">
        <f ca="1">IFERROR(__xludf.DUMMYFUNCTION("""COMPUTED_VALUE"""),"Tiagofedetf08@gmail.com")</f>
        <v>Tiagofedetf08@gmail.com</v>
      </c>
      <c r="L13" s="77" t="str">
        <f ca="1">IFERROR(__xludf.DUMMYFUNCTION("""COMPUTED_VALUE"""),"Masculino")</f>
        <v>Masculino</v>
      </c>
      <c r="M13" s="77" t="str">
        <f ca="1">IFERROR(__xludf.DUMMYFUNCTION("""COMPUTED_VALUE"""),"CPNLB")</f>
        <v>CPNLB</v>
      </c>
      <c r="N13" s="77"/>
      <c r="O13" s="77">
        <f ca="1">IFERROR(__xludf.DUMMYFUNCTION("""COMPUTED_VALUE"""),420)</f>
        <v>420</v>
      </c>
      <c r="P13" s="77">
        <f ca="1">IFERROR(__xludf.DUMMYFUNCTION("""COMPUTED_VALUE"""),73)</f>
        <v>73</v>
      </c>
      <c r="Q13" s="77">
        <f ca="1">IFERROR(__xludf.DUMMYFUNCTION("""COMPUTED_VALUE"""),55348)</f>
        <v>55348</v>
      </c>
      <c r="R13" s="77"/>
      <c r="S13" s="77" t="str">
        <f ca="1">IFERROR(__xludf.DUMMYFUNCTION("""COMPUTED_VALUE"""),"Tomas lopez")</f>
        <v>Tomas lopez</v>
      </c>
      <c r="T13" s="77"/>
      <c r="U13" s="77"/>
      <c r="V13" s="77"/>
      <c r="W13" s="77"/>
      <c r="X13" s="77"/>
      <c r="Y13" s="77"/>
      <c r="Z13" s="75" t="str">
        <f ca="1">IFERROR(__xludf.DUMMYFUNCTION("""COMPUTED_VALUE"""),"No")</f>
        <v>No</v>
      </c>
      <c r="AA13" s="75" t="str">
        <f ca="1">IFERROR(__xludf.DUMMYFUNCTION("""COMPUTED_VALUE"""),"Acepto")</f>
        <v>Acepto</v>
      </c>
      <c r="AB13" s="75" t="str">
        <f ca="1">IFERROR(__xludf.DUMMYFUNCTION("""COMPUTED_VALUE"""),"Pendiente")</f>
        <v>Pendiente</v>
      </c>
      <c r="AC13" s="77"/>
      <c r="AD13" s="77"/>
      <c r="AE13" s="77"/>
      <c r="AF13" s="77"/>
      <c r="AG13" s="77"/>
      <c r="AH13" s="77"/>
    </row>
    <row r="14" spans="1:34" ht="13.2">
      <c r="B14" s="73">
        <f ca="1">IFERROR(__xludf.DUMMYFUNCTION("""COMPUTED_VALUE"""),45537.4030704166)</f>
        <v>45537.4030704166</v>
      </c>
      <c r="C14" s="74" t="str">
        <f ca="1">IFERROR(__xludf.DUMMYFUNCTION("""COMPUTED_VALUE"""),"Lola")</f>
        <v>Lola</v>
      </c>
      <c r="D14" s="74" t="str">
        <f ca="1">IFERROR(__xludf.DUMMYFUNCTION("""COMPUTED_VALUE"""),"Varela")</f>
        <v>Varela</v>
      </c>
      <c r="E14" s="74" t="str">
        <f ca="1">IFERROR(__xludf.DUMMYFUNCTION("""COMPUTED_VALUE"""),"Buenos aires")</f>
        <v>Buenos aires</v>
      </c>
      <c r="F14" s="75" t="str">
        <f ca="1">IFERROR(__xludf.DUMMYFUNCTION("""COMPUTED_VALUE"""),"ARG")</f>
        <v>ARG</v>
      </c>
      <c r="G14" s="75">
        <f ca="1">IFERROR(__xludf.DUMMYFUNCTION("""COMPUTED_VALUE"""),48801719)</f>
        <v>48801719</v>
      </c>
      <c r="H14" s="76">
        <f ca="1">IFERROR(__xludf.DUMMYFUNCTION("""COMPUTED_VALUE"""),39609)</f>
        <v>39609</v>
      </c>
      <c r="I14" s="77">
        <f ca="1">IFERROR(__xludf.DUMMYFUNCTION("""COMPUTED_VALUE"""),58733548)</f>
        <v>58733548</v>
      </c>
      <c r="J14" s="77"/>
      <c r="K14" s="77" t="str">
        <f ca="1">IFERROR(__xludf.DUMMYFUNCTION("""COMPUTED_VALUE"""),"Lolavarelacardinali@gmail.com")</f>
        <v>Lolavarelacardinali@gmail.com</v>
      </c>
      <c r="L14" s="77" t="str">
        <f ca="1">IFERROR(__xludf.DUMMYFUNCTION("""COMPUTED_VALUE"""),"Femenino")</f>
        <v>Femenino</v>
      </c>
      <c r="M14" s="77" t="str">
        <f ca="1">IFERROR(__xludf.DUMMYFUNCTION("""COMPUTED_VALUE"""),"Cnsi")</f>
        <v>Cnsi</v>
      </c>
      <c r="N14" s="77" t="str">
        <f ca="1">IFERROR(__xludf.DUMMYFUNCTION("""COMPUTED_VALUE"""),"Femenino")</f>
        <v>Femenino</v>
      </c>
      <c r="O14" s="77">
        <f ca="1">IFERROR(__xludf.DUMMYFUNCTION("""COMPUTED_VALUE"""),420)</f>
        <v>420</v>
      </c>
      <c r="P14" s="77">
        <f ca="1">IFERROR(__xludf.DUMMYFUNCTION("""COMPUTED_VALUE"""),68)</f>
        <v>68</v>
      </c>
      <c r="Q14" s="77">
        <f ca="1">IFERROR(__xludf.DUMMYFUNCTION("""COMPUTED_VALUE"""),55343)</f>
        <v>55343</v>
      </c>
      <c r="R14" s="77"/>
      <c r="S14" s="77" t="str">
        <f ca="1">IFERROR(__xludf.DUMMYFUNCTION("""COMPUTED_VALUE"""),"Faustina busch")</f>
        <v>Faustina busch</v>
      </c>
      <c r="T14" s="77"/>
      <c r="U14" s="77"/>
      <c r="V14" s="77"/>
      <c r="W14" s="77"/>
      <c r="X14" s="77"/>
      <c r="Y14" s="77"/>
      <c r="Z14" s="75" t="str">
        <f ca="1">IFERROR(__xludf.DUMMYFUNCTION("""COMPUTED_VALUE"""),"No")</f>
        <v>No</v>
      </c>
      <c r="AA14" s="75" t="str">
        <f ca="1">IFERROR(__xludf.DUMMYFUNCTION("""COMPUTED_VALUE"""),"Acepto")</f>
        <v>Acepto</v>
      </c>
      <c r="AB14" s="75" t="str">
        <f ca="1">IFERROR(__xludf.DUMMYFUNCTION("""COMPUTED_VALUE"""),"Terminado")</f>
        <v>Terminado</v>
      </c>
      <c r="AC14" s="77">
        <f ca="1">IFERROR(__xludf.DUMMYFUNCTION("""COMPUTED_VALUE"""),65000)</f>
        <v>65000</v>
      </c>
      <c r="AD14" s="77">
        <f ca="1">IFERROR(__xludf.DUMMYFUNCTION("""COMPUTED_VALUE"""),205400)</f>
        <v>205400</v>
      </c>
      <c r="AE14" s="77" t="str">
        <f ca="1">IFERROR(__xludf.DUMMYFUNCTION("""COMPUTED_VALUE"""),"TRF 02-09")</f>
        <v>TRF 02-09</v>
      </c>
      <c r="AF14" s="77"/>
      <c r="AG14" s="77"/>
      <c r="AH14" s="77"/>
    </row>
    <row r="15" spans="1:34" ht="13.2">
      <c r="B15" s="73">
        <f ca="1">IFERROR(__xludf.DUMMYFUNCTION("""COMPUTED_VALUE"""),45541.8629086342)</f>
        <v>45541.862908634197</v>
      </c>
      <c r="C15" s="74" t="str">
        <f ca="1">IFERROR(__xludf.DUMMYFUNCTION("""COMPUTED_VALUE"""),"Félix ")</f>
        <v xml:space="preserve">Félix </v>
      </c>
      <c r="D15" s="74" t="str">
        <f ca="1">IFERROR(__xludf.DUMMYFUNCTION("""COMPUTED_VALUE"""),"Ballestrin")</f>
        <v>Ballestrin</v>
      </c>
      <c r="E15" s="74" t="str">
        <f ca="1">IFERROR(__xludf.DUMMYFUNCTION("""COMPUTED_VALUE"""),"CABA")</f>
        <v>CABA</v>
      </c>
      <c r="F15" s="75" t="str">
        <f ca="1">IFERROR(__xludf.DUMMYFUNCTION("""COMPUTED_VALUE"""),"ARG")</f>
        <v>ARG</v>
      </c>
      <c r="G15" s="75">
        <f ca="1">IFERROR(__xludf.DUMMYFUNCTION("""COMPUTED_VALUE"""),47866930)</f>
        <v>47866930</v>
      </c>
      <c r="H15" s="76">
        <f ca="1">IFERROR(__xludf.DUMMYFUNCTION("""COMPUTED_VALUE"""),39310)</f>
        <v>39310</v>
      </c>
      <c r="I15" s="77">
        <f ca="1">IFERROR(__xludf.DUMMYFUNCTION("""COMPUTED_VALUE"""),91128805595)</f>
        <v>91128805595</v>
      </c>
      <c r="J15" s="77">
        <f ca="1">IFERROR(__xludf.DUMMYFUNCTION("""COMPUTED_VALUE"""),91128805595)</f>
        <v>91128805595</v>
      </c>
      <c r="K15" s="77" t="str">
        <f ca="1">IFERROR(__xludf.DUMMYFUNCTION("""COMPUTED_VALUE"""),"felixballestrin2@gmail.com")</f>
        <v>felixballestrin2@gmail.com</v>
      </c>
      <c r="L15" s="77" t="str">
        <f ca="1">IFERROR(__xludf.DUMMYFUNCTION("""COMPUTED_VALUE"""),"Masculino")</f>
        <v>Masculino</v>
      </c>
      <c r="M15" s="77" t="str">
        <f ca="1">IFERROR(__xludf.DUMMYFUNCTION("""COMPUTED_VALUE"""),"CUBA")</f>
        <v>CUBA</v>
      </c>
      <c r="N15" s="77"/>
      <c r="O15" s="77">
        <f ca="1">IFERROR(__xludf.DUMMYFUNCTION("""COMPUTED_VALUE"""),420)</f>
        <v>420</v>
      </c>
      <c r="P15" s="77">
        <f ca="1">IFERROR(__xludf.DUMMYFUNCTION("""COMPUTED_VALUE"""),70)</f>
        <v>70</v>
      </c>
      <c r="Q15" s="77">
        <f ca="1">IFERROR(__xludf.DUMMYFUNCTION("""COMPUTED_VALUE"""),55345)</f>
        <v>55345</v>
      </c>
      <c r="R15" s="77"/>
      <c r="S15" s="77" t="str">
        <f ca="1">IFERROR(__xludf.DUMMYFUNCTION("""COMPUTED_VALUE"""),"Alejo stern")</f>
        <v>Alejo stern</v>
      </c>
      <c r="T15" s="77" t="str">
        <f ca="1">IFERROR(__xludf.DUMMYFUNCTION("""COMPUTED_VALUE"""),"Félix Ballestrin")</f>
        <v>Félix Ballestrin</v>
      </c>
      <c r="U15" s="77"/>
      <c r="V15" s="77"/>
      <c r="W15" s="77"/>
      <c r="X15" s="77"/>
      <c r="Y15" s="77" t="str">
        <f ca="1">IFERROR(__xludf.DUMMYFUNCTION("""COMPUTED_VALUE"""),"Osde ")</f>
        <v xml:space="preserve">Osde </v>
      </c>
      <c r="Z15" s="75" t="str">
        <f ca="1">IFERROR(__xludf.DUMMYFUNCTION("""COMPUTED_VALUE"""),"No")</f>
        <v>No</v>
      </c>
      <c r="AA15" s="75" t="str">
        <f ca="1">IFERROR(__xludf.DUMMYFUNCTION("""COMPUTED_VALUE"""),"Acepto")</f>
        <v>Acepto</v>
      </c>
      <c r="AB15" s="75" t="str">
        <f ca="1">IFERROR(__xludf.DUMMYFUNCTION("""COMPUTED_VALUE"""),"Pendiente")</f>
        <v>Pendiente</v>
      </c>
      <c r="AC15" s="77"/>
      <c r="AD15" s="77"/>
      <c r="AE15" s="77"/>
      <c r="AF15" s="77"/>
      <c r="AG15" s="77"/>
      <c r="AH15" s="77"/>
    </row>
    <row r="16" spans="1:34" ht="13.2">
      <c r="B16" s="77"/>
      <c r="C16" s="74"/>
      <c r="D16" s="74"/>
      <c r="E16" s="74"/>
      <c r="F16" s="75"/>
      <c r="G16" s="75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5"/>
      <c r="AA16" s="75"/>
      <c r="AB16" s="75"/>
      <c r="AC16" s="77"/>
      <c r="AD16" s="77"/>
      <c r="AE16" s="77"/>
      <c r="AF16" s="77"/>
      <c r="AG16" s="77"/>
      <c r="AH16" s="77"/>
    </row>
    <row r="17" spans="2:34" ht="13.2">
      <c r="B17" s="77"/>
      <c r="C17" s="74"/>
      <c r="D17" s="74"/>
      <c r="E17" s="74"/>
      <c r="F17" s="75"/>
      <c r="G17" s="75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5"/>
      <c r="AA17" s="75"/>
      <c r="AB17" s="75"/>
      <c r="AC17" s="77"/>
      <c r="AD17" s="77"/>
      <c r="AE17" s="77"/>
      <c r="AF17" s="77"/>
      <c r="AG17" s="77"/>
      <c r="AH17" s="77"/>
    </row>
    <row r="18" spans="2:34" ht="13.2">
      <c r="C18" s="36"/>
      <c r="D18" s="36"/>
      <c r="E18" s="36"/>
      <c r="F18" s="6"/>
      <c r="G18" s="6"/>
      <c r="Z18" s="6"/>
      <c r="AA18" s="6"/>
      <c r="AB18" s="6"/>
    </row>
    <row r="19" spans="2:34" ht="13.2">
      <c r="C19" s="36"/>
      <c r="D19" s="36"/>
      <c r="E19" s="36"/>
      <c r="F19" s="6"/>
      <c r="G19" s="6"/>
      <c r="Z19" s="6"/>
      <c r="AA19" s="6"/>
      <c r="AB19" s="6"/>
    </row>
    <row r="20" spans="2:34" ht="13.2">
      <c r="C20" s="36"/>
      <c r="D20" s="36"/>
      <c r="E20" s="36"/>
      <c r="F20" s="6"/>
      <c r="G20" s="6"/>
      <c r="Z20" s="6"/>
      <c r="AA20" s="6"/>
      <c r="AB20" s="6"/>
    </row>
    <row r="21" spans="2:34" ht="13.2">
      <c r="B21" s="36"/>
      <c r="C21" s="36"/>
      <c r="D21" s="36"/>
      <c r="E21" s="36"/>
      <c r="F21" s="6"/>
      <c r="G21" s="6"/>
      <c r="Z21" s="6"/>
      <c r="AA21" s="6"/>
      <c r="AB21" s="6"/>
    </row>
    <row r="22" spans="2:34" ht="13.2">
      <c r="B22" s="36"/>
      <c r="C22" s="36"/>
      <c r="D22" s="36"/>
      <c r="E22" s="36"/>
      <c r="F22" s="6"/>
      <c r="G22" s="6"/>
      <c r="Z22" s="6"/>
      <c r="AA22" s="6"/>
      <c r="AB22" s="6"/>
    </row>
    <row r="23" spans="2:34" ht="13.2">
      <c r="B23" s="36"/>
      <c r="C23" s="36"/>
      <c r="D23" s="36"/>
      <c r="E23" s="36"/>
      <c r="F23" s="6"/>
      <c r="G23" s="6"/>
      <c r="Z23" s="6"/>
      <c r="AA23" s="6"/>
      <c r="AB23" s="6"/>
    </row>
    <row r="24" spans="2:34" ht="13.2">
      <c r="B24" s="36"/>
      <c r="C24" s="36"/>
      <c r="D24" s="36"/>
      <c r="E24" s="36"/>
      <c r="F24" s="6"/>
      <c r="G24" s="6"/>
      <c r="Z24" s="6"/>
      <c r="AA24" s="6"/>
      <c r="AB24" s="6"/>
    </row>
    <row r="25" spans="2:34" ht="13.2">
      <c r="B25" s="36"/>
      <c r="C25" s="36"/>
      <c r="D25" s="36"/>
      <c r="E25" s="36"/>
      <c r="F25" s="6"/>
      <c r="G25" s="6"/>
      <c r="Z25" s="6"/>
      <c r="AA25" s="6"/>
      <c r="AB25" s="6"/>
    </row>
    <row r="26" spans="2:34" ht="13.2">
      <c r="D26" s="36"/>
      <c r="E26" s="6"/>
      <c r="F26" s="6"/>
      <c r="G26" s="6"/>
      <c r="Z26" s="6"/>
      <c r="AA26" s="6"/>
      <c r="AB26" s="6"/>
    </row>
    <row r="27" spans="2:34" ht="13.2">
      <c r="C27" s="36"/>
      <c r="D27" s="36"/>
      <c r="E27" s="36"/>
      <c r="F27" s="6"/>
      <c r="G27" s="6"/>
      <c r="Z27" s="6"/>
      <c r="AA27" s="6"/>
      <c r="AB27" s="6"/>
    </row>
    <row r="28" spans="2:34" ht="13.2">
      <c r="C28" s="36"/>
      <c r="D28" s="36"/>
      <c r="E28" s="36"/>
      <c r="F28" s="6"/>
      <c r="G28" s="6"/>
      <c r="Z28" s="6"/>
      <c r="AA28" s="6"/>
      <c r="AB28" s="6"/>
    </row>
    <row r="29" spans="2:34" ht="13.2"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Z29" s="6"/>
      <c r="AA29" s="6"/>
      <c r="AB29" s="6"/>
    </row>
    <row r="30" spans="2:34" ht="13.2"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Z30" s="6"/>
      <c r="AA30" s="6"/>
      <c r="AB30" s="6"/>
    </row>
    <row r="31" spans="2:34" ht="13.2"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Z31" s="6"/>
      <c r="AA31" s="6"/>
      <c r="AB31" s="6"/>
    </row>
    <row r="32" spans="2:34" ht="13.2">
      <c r="D32" s="6"/>
      <c r="E32" s="6"/>
      <c r="F32" s="6"/>
      <c r="G32" s="6"/>
      <c r="Z32" s="6"/>
      <c r="AA32" s="6"/>
      <c r="AB32" s="6"/>
    </row>
    <row r="33" spans="4:28" ht="13.2">
      <c r="D33" s="6"/>
      <c r="E33" s="6"/>
      <c r="F33" s="6"/>
      <c r="G33" s="6"/>
      <c r="Z33" s="6"/>
      <c r="AA33" s="6"/>
      <c r="AB33" s="6"/>
    </row>
    <row r="34" spans="4:28" ht="13.2">
      <c r="D34" s="6"/>
      <c r="E34" s="6"/>
      <c r="F34" s="6"/>
      <c r="G34" s="6"/>
      <c r="Z34" s="6"/>
      <c r="AA34" s="6"/>
      <c r="AB34" s="6"/>
    </row>
    <row r="35" spans="4:28" ht="13.2">
      <c r="D35" s="6"/>
      <c r="E35" s="6"/>
      <c r="F35" s="6"/>
      <c r="G35" s="6"/>
    </row>
    <row r="36" spans="4:28" ht="13.2">
      <c r="D36" s="6"/>
      <c r="E36" s="6"/>
      <c r="F36" s="6"/>
      <c r="G36" s="6"/>
    </row>
    <row r="37" spans="4:28" ht="13.2">
      <c r="D37" s="6"/>
      <c r="E37" s="6"/>
      <c r="F37" s="6"/>
      <c r="G37" s="6"/>
    </row>
    <row r="38" spans="4:28" ht="13.2">
      <c r="D38" s="6"/>
      <c r="E38" s="6"/>
      <c r="F38" s="6"/>
      <c r="G38" s="6"/>
    </row>
    <row r="39" spans="4:28" ht="13.2">
      <c r="D39" s="6"/>
      <c r="E39" s="6"/>
      <c r="F39" s="6"/>
      <c r="G39" s="6"/>
    </row>
    <row r="40" spans="4:28" ht="13.2">
      <c r="D40" s="6"/>
      <c r="E40" s="6"/>
      <c r="F40" s="6"/>
      <c r="G40" s="6"/>
    </row>
    <row r="41" spans="4:28" ht="13.2">
      <c r="D41" s="6"/>
      <c r="E41" s="6"/>
      <c r="F41" s="6"/>
      <c r="G41" s="6"/>
    </row>
    <row r="42" spans="4:28" ht="13.2">
      <c r="D42" s="6"/>
      <c r="E42" s="6"/>
      <c r="F42" s="6"/>
      <c r="G42" s="6"/>
    </row>
    <row r="43" spans="4:28" ht="13.2">
      <c r="D43" s="6"/>
      <c r="E43" s="6"/>
      <c r="F43" s="6"/>
      <c r="G43" s="6"/>
    </row>
    <row r="44" spans="4:28" ht="13.2">
      <c r="D44" s="6"/>
      <c r="E44" s="6"/>
      <c r="F44" s="6"/>
      <c r="G44" s="6"/>
    </row>
    <row r="45" spans="4:28" ht="13.2">
      <c r="D45" s="6"/>
      <c r="E45" s="6"/>
      <c r="F45" s="6"/>
      <c r="G45" s="6"/>
    </row>
    <row r="46" spans="4:28" ht="13.2">
      <c r="D46" s="6"/>
      <c r="E46" s="6"/>
      <c r="F46" s="6"/>
      <c r="G46" s="6"/>
    </row>
    <row r="47" spans="4:28" ht="13.2">
      <c r="D47" s="6"/>
      <c r="E47" s="6"/>
      <c r="F47" s="6"/>
      <c r="G47" s="6"/>
    </row>
    <row r="48" spans="4:28" ht="13.2">
      <c r="E48" s="6"/>
      <c r="F48" s="6"/>
      <c r="G48" s="6"/>
    </row>
    <row r="49" spans="5:7" ht="13.2">
      <c r="E49" s="6"/>
      <c r="F49" s="6"/>
      <c r="G49" s="6"/>
    </row>
    <row r="50" spans="5:7" ht="13.2">
      <c r="E50" s="6"/>
      <c r="F50" s="6"/>
      <c r="G50" s="6"/>
    </row>
    <row r="51" spans="5:7" ht="13.2">
      <c r="E51" s="6"/>
      <c r="F51" s="6"/>
      <c r="G51" s="6"/>
    </row>
    <row r="52" spans="5:7" ht="13.2">
      <c r="E52" s="6"/>
      <c r="F52" s="6"/>
      <c r="G52" s="6"/>
    </row>
    <row r="53" spans="5:7" ht="13.2">
      <c r="E53" s="6"/>
      <c r="F53" s="6"/>
      <c r="G53" s="6"/>
    </row>
    <row r="54" spans="5:7" ht="13.2">
      <c r="E54" s="6"/>
      <c r="F54" s="6"/>
      <c r="G54" s="6"/>
    </row>
    <row r="55" spans="5:7" ht="13.2">
      <c r="E55" s="6"/>
      <c r="F55" s="6"/>
      <c r="G55" s="6"/>
    </row>
    <row r="56" spans="5:7" ht="13.2">
      <c r="E56" s="6"/>
      <c r="F56" s="6"/>
      <c r="G56" s="6"/>
    </row>
    <row r="57" spans="5:7" ht="13.2">
      <c r="E57" s="6"/>
      <c r="F57" s="6"/>
      <c r="G57" s="6"/>
    </row>
    <row r="58" spans="5:7" ht="13.2">
      <c r="E58" s="6"/>
      <c r="F58" s="6"/>
      <c r="G58" s="6"/>
    </row>
    <row r="59" spans="5:7" ht="13.2">
      <c r="E59" s="6"/>
      <c r="F59" s="6"/>
      <c r="G59" s="6"/>
    </row>
    <row r="60" spans="5:7" ht="13.2">
      <c r="E60" s="6"/>
      <c r="F60" s="6"/>
      <c r="G60" s="6"/>
    </row>
    <row r="61" spans="5:7" ht="13.2">
      <c r="E61" s="6"/>
      <c r="F61" s="6"/>
      <c r="G61" s="6"/>
    </row>
    <row r="62" spans="5:7" ht="13.2">
      <c r="E62" s="6"/>
      <c r="F62" s="6"/>
      <c r="G62" s="6"/>
    </row>
    <row r="63" spans="5:7" ht="13.2">
      <c r="E63" s="6"/>
      <c r="F63" s="6"/>
      <c r="G63" s="6"/>
    </row>
    <row r="64" spans="5:7" ht="13.2">
      <c r="E64" s="6"/>
      <c r="F64" s="6"/>
      <c r="G64" s="6"/>
    </row>
    <row r="65" spans="5:7" ht="13.2">
      <c r="E65" s="6"/>
      <c r="F65" s="6"/>
      <c r="G65" s="6"/>
    </row>
    <row r="66" spans="5:7" ht="13.2">
      <c r="E66" s="6"/>
      <c r="F66" s="6"/>
      <c r="G66" s="6"/>
    </row>
    <row r="67" spans="5:7" ht="13.2">
      <c r="E67" s="6"/>
      <c r="F67" s="6"/>
      <c r="G67" s="6"/>
    </row>
    <row r="68" spans="5:7" ht="13.2">
      <c r="E68" s="6"/>
      <c r="F68" s="6"/>
      <c r="G68" s="6"/>
    </row>
    <row r="69" spans="5:7" ht="13.2">
      <c r="E69" s="6"/>
      <c r="F69" s="6"/>
      <c r="G69" s="6"/>
    </row>
    <row r="70" spans="5:7" ht="13.2">
      <c r="E70" s="6"/>
      <c r="F70" s="6"/>
      <c r="G70" s="6"/>
    </row>
    <row r="71" spans="5:7" ht="13.2">
      <c r="E71" s="6"/>
      <c r="F71" s="6"/>
      <c r="G71" s="6"/>
    </row>
    <row r="72" spans="5:7" ht="13.2">
      <c r="E72" s="6"/>
      <c r="F72" s="6"/>
      <c r="G72" s="6"/>
    </row>
    <row r="73" spans="5:7" ht="13.2">
      <c r="E73" s="6"/>
      <c r="F73" s="6"/>
      <c r="G73" s="6"/>
    </row>
    <row r="74" spans="5:7" ht="13.2">
      <c r="E74" s="6"/>
      <c r="F74" s="6"/>
      <c r="G74" s="6"/>
    </row>
    <row r="75" spans="5:7" ht="13.2">
      <c r="E75" s="6"/>
      <c r="F75" s="6"/>
      <c r="G75" s="6"/>
    </row>
    <row r="76" spans="5:7" ht="13.2">
      <c r="E76" s="6"/>
      <c r="F76" s="6"/>
      <c r="G76" s="6"/>
    </row>
    <row r="77" spans="5:7" ht="13.2">
      <c r="E77" s="6"/>
      <c r="F77" s="6"/>
      <c r="G77" s="6"/>
    </row>
    <row r="78" spans="5:7" ht="13.2">
      <c r="E78" s="6"/>
      <c r="F78" s="6"/>
      <c r="G78" s="6"/>
    </row>
    <row r="79" spans="5:7" ht="13.2">
      <c r="E79" s="6"/>
      <c r="F79" s="6"/>
      <c r="G79" s="6"/>
    </row>
    <row r="80" spans="5:7" ht="13.2">
      <c r="E80" s="6"/>
      <c r="F80" s="6"/>
      <c r="G80" s="6"/>
    </row>
    <row r="81" spans="5:7" ht="13.2">
      <c r="E81" s="6"/>
      <c r="F81" s="6"/>
      <c r="G81" s="6"/>
    </row>
    <row r="82" spans="5:7" ht="13.2">
      <c r="E82" s="6"/>
      <c r="F82" s="6"/>
      <c r="G82" s="6"/>
    </row>
    <row r="83" spans="5:7" ht="13.2">
      <c r="E83" s="6"/>
      <c r="F83" s="6"/>
      <c r="G83" s="6"/>
    </row>
    <row r="84" spans="5:7" ht="13.2">
      <c r="E84" s="6"/>
      <c r="F84" s="6"/>
      <c r="G84" s="6"/>
    </row>
    <row r="85" spans="5:7" ht="13.2">
      <c r="E85" s="6"/>
      <c r="F85" s="6"/>
      <c r="G85" s="6"/>
    </row>
    <row r="86" spans="5:7" ht="13.2">
      <c r="E86" s="6"/>
      <c r="F86" s="6"/>
      <c r="G86" s="6"/>
    </row>
    <row r="87" spans="5:7" ht="13.2">
      <c r="E87" s="6"/>
      <c r="F87" s="6"/>
      <c r="G87" s="6"/>
    </row>
    <row r="88" spans="5:7" ht="13.2">
      <c r="E88" s="6"/>
      <c r="F88" s="6"/>
      <c r="G88" s="6"/>
    </row>
    <row r="89" spans="5:7" ht="13.2">
      <c r="E89" s="6"/>
      <c r="F89" s="6"/>
      <c r="G89" s="6"/>
    </row>
    <row r="90" spans="5:7" ht="13.2">
      <c r="E90" s="6"/>
      <c r="F90" s="6"/>
      <c r="G90" s="6"/>
    </row>
    <row r="91" spans="5:7" ht="13.2">
      <c r="E91" s="6"/>
      <c r="F91" s="6"/>
      <c r="G91" s="6"/>
    </row>
    <row r="92" spans="5:7" ht="13.2">
      <c r="E92" s="6"/>
      <c r="F92" s="6"/>
      <c r="G92" s="6"/>
    </row>
    <row r="93" spans="5:7" ht="13.2">
      <c r="E93" s="6"/>
      <c r="F93" s="6"/>
      <c r="G93" s="6"/>
    </row>
    <row r="94" spans="5:7" ht="13.2">
      <c r="E94" s="6"/>
      <c r="F94" s="6"/>
      <c r="G94" s="6"/>
    </row>
    <row r="95" spans="5:7" ht="13.2">
      <c r="E95" s="6"/>
      <c r="F95" s="6"/>
      <c r="G95" s="6"/>
    </row>
    <row r="96" spans="5:7" ht="13.2">
      <c r="E96" s="6"/>
      <c r="F96" s="6"/>
      <c r="G96" s="6"/>
    </row>
    <row r="97" spans="5:7" ht="13.2">
      <c r="E97" s="6"/>
      <c r="F97" s="6"/>
      <c r="G97" s="6"/>
    </row>
    <row r="98" spans="5:7" ht="13.2">
      <c r="E98" s="6"/>
      <c r="F98" s="6"/>
      <c r="G98" s="6"/>
    </row>
    <row r="99" spans="5:7" ht="13.2">
      <c r="E99" s="6"/>
      <c r="F99" s="6"/>
      <c r="G99" s="6"/>
    </row>
  </sheetData>
  <conditionalFormatting sqref="B4:B136">
    <cfRule type="cellIs" dxfId="30" priority="1" operator="equal">
      <formula>"Pago"</formula>
    </cfRule>
  </conditionalFormatting>
  <conditionalFormatting sqref="G1 I2 G4:G65">
    <cfRule type="cellIs" dxfId="29" priority="2" operator="equal">
      <formula>"Si"</formula>
    </cfRule>
  </conditionalFormatting>
  <conditionalFormatting sqref="AB3:AB53">
    <cfRule type="cellIs" dxfId="28" priority="3" operator="equal">
      <formula>"Terminado"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H99"/>
  <sheetViews>
    <sheetView topLeftCell="B1" workbookViewId="0"/>
  </sheetViews>
  <sheetFormatPr defaultColWidth="12.6640625" defaultRowHeight="15.75" customHeight="1"/>
  <cols>
    <col min="1" max="1" width="12.6640625" hidden="1"/>
    <col min="3" max="3" width="10" customWidth="1"/>
    <col min="4" max="4" width="12.6640625" customWidth="1"/>
    <col min="5" max="5" width="21" customWidth="1"/>
    <col min="6" max="6" width="6.6640625" customWidth="1"/>
    <col min="7" max="7" width="6.6640625" hidden="1" customWidth="1"/>
    <col min="8" max="8" width="4.33203125" hidden="1" customWidth="1"/>
    <col min="9" max="9" width="12.6640625" hidden="1"/>
    <col min="10" max="10" width="6.44140625" hidden="1" customWidth="1"/>
    <col min="11" max="11" width="12.6640625" hidden="1"/>
    <col min="12" max="12" width="8.44140625" customWidth="1"/>
    <col min="13" max="13" width="9.77734375" customWidth="1"/>
    <col min="14" max="14" width="17" customWidth="1"/>
    <col min="15" max="15" width="12.6640625" hidden="1"/>
    <col min="16" max="16" width="7" hidden="1" customWidth="1"/>
    <col min="17" max="17" width="6.44140625" customWidth="1"/>
    <col min="18" max="18" width="10.109375" hidden="1" customWidth="1"/>
    <col min="19" max="24" width="12.6640625" hidden="1"/>
    <col min="25" max="25" width="10.21875" hidden="1" customWidth="1"/>
    <col min="26" max="26" width="6.88671875" customWidth="1"/>
    <col min="27" max="27" width="12.6640625" hidden="1"/>
    <col min="28" max="28" width="13" customWidth="1"/>
    <col min="29" max="29" width="11.109375" hidden="1" customWidth="1"/>
    <col min="30" max="30" width="10.6640625" hidden="1" customWidth="1"/>
    <col min="31" max="33" width="12.6640625" hidden="1"/>
  </cols>
  <sheetData>
    <row r="1" spans="1:34" ht="22.8">
      <c r="A1" s="40"/>
      <c r="B1" s="48" t="s">
        <v>33</v>
      </c>
      <c r="C1" s="49"/>
      <c r="D1" s="49"/>
      <c r="E1" s="49"/>
      <c r="F1" s="49"/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4" ht="15" customHeight="1">
      <c r="A2" s="40"/>
      <c r="B2" s="51" t="s">
        <v>44</v>
      </c>
      <c r="C2" s="2"/>
      <c r="D2" s="2"/>
      <c r="E2" s="2"/>
      <c r="F2" s="63" t="str">
        <f ca="1">"Inscriptos: "&amp;COUNTA(C4:C100)</f>
        <v>Inscriptos: 7</v>
      </c>
      <c r="G2" s="2"/>
      <c r="H2" s="2"/>
      <c r="I2" s="54"/>
      <c r="J2" s="54"/>
      <c r="K2" s="54"/>
      <c r="L2" s="2"/>
      <c r="M2" s="2"/>
      <c r="N2" s="2"/>
      <c r="O2" s="2"/>
      <c r="P2" s="2"/>
      <c r="Q2" s="2"/>
      <c r="R2" s="2"/>
      <c r="S2" s="54"/>
      <c r="T2" s="54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4" ht="66">
      <c r="A3" s="40" t="s">
        <v>45</v>
      </c>
      <c r="B3" s="56" t="str">
        <f ca="1">IFERROR(__xludf.DUMMYFUNCTION("query(Titulos)"),"Dia y Hora")</f>
        <v>Dia y Hora</v>
      </c>
      <c r="C3" s="56" t="str">
        <f ca="1">IFERROR(__xludf.DUMMYFUNCTION("""COMPUTED_VALUE"""),"Nombre")</f>
        <v>Nombre</v>
      </c>
      <c r="D3" s="56" t="str">
        <f ca="1">IFERROR(__xludf.DUMMYFUNCTION("""COMPUTED_VALUE"""),"Apellido")</f>
        <v>Apellido</v>
      </c>
      <c r="E3" s="56" t="str">
        <f ca="1">IFERROR(__xludf.DUMMYFUNCTION("""COMPUTED_VALUE"""),"Ciudad")</f>
        <v>Ciudad</v>
      </c>
      <c r="F3" s="56" t="str">
        <f ca="1">IFERROR(__xludf.DUMMYFUNCTION("""COMPUTED_VALUE"""),"Pais")</f>
        <v>Pais</v>
      </c>
      <c r="G3" s="56" t="str">
        <f ca="1">IFERROR(__xludf.DUMMYFUNCTION("""COMPUTED_VALUE"""),"DNI")</f>
        <v>DNI</v>
      </c>
      <c r="H3" s="56" t="str">
        <f ca="1">IFERROR(__xludf.DUMMYFUNCTION("""COMPUTED_VALUE"""),"Nacimiento")</f>
        <v>Nacimiento</v>
      </c>
      <c r="I3" s="56" t="str">
        <f ca="1">IFERROR(__xludf.DUMMYFUNCTION("""COMPUTED_VALUE"""),"Celular de Contacto")</f>
        <v>Celular de Contacto</v>
      </c>
      <c r="J3" s="56" t="str">
        <f ca="1">IFERROR(__xludf.DUMMYFUNCTION("""COMPUTED_VALUE"""),"Celular de Emergencias")</f>
        <v>Celular de Emergencias</v>
      </c>
      <c r="K3" s="56" t="str">
        <f ca="1">IFERROR(__xludf.DUMMYFUNCTION("""COMPUTED_VALUE"""),"email")</f>
        <v>email</v>
      </c>
      <c r="L3" s="56" t="str">
        <f ca="1">IFERROR(__xludf.DUMMYFUNCTION("""COMPUTED_VALUE"""),"Sexo")</f>
        <v>Sexo</v>
      </c>
      <c r="M3" s="56" t="str">
        <f ca="1">IFERROR(__xludf.DUMMYFUNCTION("""COMPUTED_VALUE"""),"Club")</f>
        <v>Club</v>
      </c>
      <c r="N3" s="56" t="str">
        <f ca="1">IFERROR(__xludf.DUMMYFUNCTION("""COMPUTED_VALUE"""),"Categoría")</f>
        <v>Categoría</v>
      </c>
      <c r="O3" s="56" t="str">
        <f ca="1">IFERROR(__xludf.DUMMYFUNCTION("""COMPUTED_VALUE"""),"Clase")</f>
        <v>Clase</v>
      </c>
      <c r="P3" s="56" t="str">
        <f ca="1">IFERROR(__xludf.DUMMYFUNCTION("""COMPUTED_VALUE"""),"Proa Nº")</f>
        <v>Proa Nº</v>
      </c>
      <c r="Q3" s="56" t="str">
        <f ca="1">IFERROR(__xludf.DUMMYFUNCTION("""COMPUTED_VALUE"""),"Vela")</f>
        <v>Vela</v>
      </c>
      <c r="R3" s="55" t="str">
        <f ca="1">IFERROR(__xludf.DUMMYFUNCTION("""COMPUTED_VALUE"""),"Nombre del Barco")</f>
        <v>Nombre del Barco</v>
      </c>
      <c r="S3" s="55" t="str">
        <f ca="1">IFERROR(__xludf.DUMMYFUNCTION("""COMPUTED_VALUE"""),"Tripulante 1")</f>
        <v>Tripulante 1</v>
      </c>
      <c r="T3" s="55" t="str">
        <f ca="1">IFERROR(__xludf.DUMMYFUNCTION("""COMPUTED_VALUE"""),"Tripulante 2")</f>
        <v>Tripulante 2</v>
      </c>
      <c r="U3" s="55" t="str">
        <f ca="1">IFERROR(__xludf.DUMMYFUNCTION("""COMPUTED_VALUE"""),"Tripulante 3")</f>
        <v>Tripulante 3</v>
      </c>
      <c r="V3" s="55" t="str">
        <f ca="1">IFERROR(__xludf.DUMMYFUNCTION("""COMPUTED_VALUE"""),"Tripulante 4")</f>
        <v>Tripulante 4</v>
      </c>
      <c r="W3" s="55" t="str">
        <f ca="1">IFERROR(__xludf.DUMMYFUNCTION("""COMPUTED_VALUE"""),"Tripulante 5")</f>
        <v>Tripulante 5</v>
      </c>
      <c r="X3" s="55" t="str">
        <f ca="1">IFERROR(__xludf.DUMMYFUNCTION("""COMPUTED_VALUE"""),"Tripulante 6")</f>
        <v>Tripulante 6</v>
      </c>
      <c r="Y3" s="55" t="str">
        <f ca="1">IFERROR(__xludf.DUMMYFUNCTION("""COMPUTED_VALUE"""),"Obra Social/Nº Afiliado")</f>
        <v>Obra Social/Nº Afiliado</v>
      </c>
      <c r="Z3" s="57" t="str">
        <f ca="1">IFERROR(__xludf.DUMMYFUNCTION("""COMPUTED_VALUE"""),"Bajada YCO")</f>
        <v>Bajada YCO</v>
      </c>
      <c r="AA3" s="57" t="str">
        <f ca="1">IFERROR(__xludf.DUMMYFUNCTION("""COMPUTED_VALUE"""),"Términos y Condiciones")</f>
        <v>Términos y Condiciones</v>
      </c>
      <c r="AB3" s="57" t="str">
        <f ca="1">IFERROR(__xludf.DUMMYFUNCTION("""COMPUTED_VALUE"""),"Pago")</f>
        <v>Pago</v>
      </c>
      <c r="AC3" s="2" t="str">
        <f ca="1">IFERROR(__xludf.DUMMYFUNCTION("""COMPUTED_VALUE"""),"Importe")</f>
        <v>Importe</v>
      </c>
      <c r="AD3" s="2" t="str">
        <f ca="1">IFERROR(__xludf.DUMMYFUNCTION("""COMPUTED_VALUE"""),"RECIBO")</f>
        <v>RECIBO</v>
      </c>
      <c r="AH3" s="78" t="s">
        <v>32</v>
      </c>
    </row>
    <row r="4" spans="1:34" ht="13.2" hidden="1">
      <c r="B4" s="79">
        <f ca="1">IFERROR(__xludf.DUMMYFUNCTION("filter(Datos,Clases=A3)"),45519.8122689236)</f>
        <v>45519.812268923597</v>
      </c>
      <c r="C4" s="80" t="str">
        <f ca="1">IFERROR(__xludf.DUMMYFUNCTION("""COMPUTED_VALUE"""),"Exequiel ")</f>
        <v xml:space="preserve">Exequiel </v>
      </c>
      <c r="D4" s="80" t="str">
        <f ca="1">IFERROR(__xludf.DUMMYFUNCTION("""COMPUTED_VALUE"""),"Balbarrey ")</f>
        <v xml:space="preserve">Balbarrey </v>
      </c>
      <c r="E4" s="80" t="str">
        <f ca="1">IFERROR(__xludf.DUMMYFUNCTION("""COMPUTED_VALUE"""),"Santa fe ")</f>
        <v xml:space="preserve">Santa fe </v>
      </c>
      <c r="F4" s="80" t="str">
        <f ca="1">IFERROR(__xludf.DUMMYFUNCTION("""COMPUTED_VALUE"""),"ARG")</f>
        <v>ARG</v>
      </c>
      <c r="G4" s="80">
        <f ca="1">IFERROR(__xludf.DUMMYFUNCTION("""COMPUTED_VALUE"""),23160506)</f>
        <v>23160506</v>
      </c>
      <c r="H4" s="81">
        <f ca="1">IFERROR(__xludf.DUMMYFUNCTION("""COMPUTED_VALUE"""),26723)</f>
        <v>26723</v>
      </c>
      <c r="I4" s="80">
        <f ca="1">IFERROR(__xludf.DUMMYFUNCTION("""COMPUTED_VALUE"""),3426306642)</f>
        <v>3426306642</v>
      </c>
      <c r="J4" s="80">
        <f ca="1">IFERROR(__xludf.DUMMYFUNCTION("""COMPUTED_VALUE"""),342057667)</f>
        <v>342057667</v>
      </c>
      <c r="K4" s="80" t="str">
        <f ca="1">IFERROR(__xludf.DUMMYFUNCTION("""COMPUTED_VALUE"""),"exequielbalbarrey@hotmail.com")</f>
        <v>exequielbalbarrey@hotmail.com</v>
      </c>
      <c r="L4" s="80" t="str">
        <f ca="1">IFERROR(__xludf.DUMMYFUNCTION("""COMPUTED_VALUE"""),"Masculino")</f>
        <v>Masculino</v>
      </c>
      <c r="M4" s="80" t="str">
        <f ca="1">IFERROR(__xludf.DUMMYFUNCTION("""COMPUTED_VALUE"""),"CNS")</f>
        <v>CNS</v>
      </c>
      <c r="N4" s="80"/>
      <c r="O4" s="80" t="str">
        <f ca="1">IFERROR(__xludf.DUMMYFUNCTION("""COMPUTED_VALUE"""),"WING FOIL")</f>
        <v>WING FOIL</v>
      </c>
      <c r="P4" s="80"/>
      <c r="Q4" s="80">
        <f ca="1">IFERROR(__xludf.DUMMYFUNCTION("""COMPUTED_VALUE"""),10)</f>
        <v>10</v>
      </c>
      <c r="R4" s="82"/>
      <c r="S4" s="82"/>
      <c r="T4" s="82"/>
      <c r="U4" s="82"/>
      <c r="V4" s="82"/>
      <c r="W4" s="82"/>
      <c r="X4" s="82"/>
      <c r="Y4" s="82" t="str">
        <f ca="1">IFERROR(__xludf.DUMMYFUNCTION("""COMPUTED_VALUE"""),"Sanatorio santa fe ")</f>
        <v xml:space="preserve">Sanatorio santa fe </v>
      </c>
      <c r="Z4" s="83" t="str">
        <f ca="1">IFERROR(__xludf.DUMMYFUNCTION("""COMPUTED_VALUE"""),"Si")</f>
        <v>Si</v>
      </c>
      <c r="AA4" s="83" t="str">
        <f ca="1">IFERROR(__xludf.DUMMYFUNCTION("""COMPUTED_VALUE"""),"Acepto")</f>
        <v>Acepto</v>
      </c>
      <c r="AB4" s="83" t="str">
        <f ca="1">IFERROR(__xludf.DUMMYFUNCTION("""COMPUTED_VALUE"""),"Pendiente")</f>
        <v>Pendiente</v>
      </c>
      <c r="AC4" s="38"/>
      <c r="AD4" s="38"/>
      <c r="AE4" s="38"/>
      <c r="AF4" s="38"/>
      <c r="AG4" s="38"/>
      <c r="AH4" s="82"/>
    </row>
    <row r="5" spans="1:34" ht="13.2">
      <c r="B5" s="79">
        <f ca="1">IFERROR(__xludf.DUMMYFUNCTION("""COMPUTED_VALUE"""),45532.8080511689)</f>
        <v>45532.808051168897</v>
      </c>
      <c r="C5" s="80" t="str">
        <f ca="1">IFERROR(__xludf.DUMMYFUNCTION("""COMPUTED_VALUE"""),"Alberto ")</f>
        <v xml:space="preserve">Alberto </v>
      </c>
      <c r="D5" s="80" t="str">
        <f ca="1">IFERROR(__xludf.DUMMYFUNCTION("""COMPUTED_VALUE"""),"Catena")</f>
        <v>Catena</v>
      </c>
      <c r="E5" s="80" t="str">
        <f ca="1">IFERROR(__xludf.DUMMYFUNCTION("""COMPUTED_VALUE"""),"Quilmes")</f>
        <v>Quilmes</v>
      </c>
      <c r="F5" s="80" t="str">
        <f ca="1">IFERROR(__xludf.DUMMYFUNCTION("""COMPUTED_VALUE"""),"ARG")</f>
        <v>ARG</v>
      </c>
      <c r="G5" s="80">
        <f ca="1">IFERROR(__xludf.DUMMYFUNCTION("""COMPUTED_VALUE"""),28141748)</f>
        <v>28141748</v>
      </c>
      <c r="H5" s="81">
        <f ca="1">IFERROR(__xludf.DUMMYFUNCTION("""COMPUTED_VALUE"""),29480)</f>
        <v>29480</v>
      </c>
      <c r="I5" s="80">
        <f ca="1">IFERROR(__xludf.DUMMYFUNCTION("""COMPUTED_VALUE"""),1149920550)</f>
        <v>1149920550</v>
      </c>
      <c r="J5" s="80"/>
      <c r="K5" s="80" t="str">
        <f ca="1">IFERROR(__xludf.DUMMYFUNCTION("""COMPUTED_VALUE"""),"Acatena80@gmail.com")</f>
        <v>Acatena80@gmail.com</v>
      </c>
      <c r="L5" s="80" t="str">
        <f ca="1">IFERROR(__xludf.DUMMYFUNCTION("""COMPUTED_VALUE"""),"Masculino")</f>
        <v>Masculino</v>
      </c>
      <c r="M5" s="80" t="str">
        <f ca="1">IFERROR(__xludf.DUMMYFUNCTION("""COMPUTED_VALUE"""),"CNQ")</f>
        <v>CNQ</v>
      </c>
      <c r="N5" s="80" t="str">
        <f ca="1">IFERROR(__xludf.DUMMYFUNCTION("""COMPUTED_VALUE"""),"Wing")</f>
        <v>Wing</v>
      </c>
      <c r="O5" s="80" t="str">
        <f ca="1">IFERROR(__xludf.DUMMYFUNCTION("""COMPUTED_VALUE"""),"WING FOIL")</f>
        <v>WING FOIL</v>
      </c>
      <c r="P5" s="80"/>
      <c r="Q5" s="80">
        <f ca="1">IFERROR(__xludf.DUMMYFUNCTION("""COMPUTED_VALUE"""),83)</f>
        <v>83</v>
      </c>
      <c r="R5" s="82"/>
      <c r="S5" s="82">
        <f ca="1">IFERROR(__xludf.DUMMYFUNCTION("""COMPUTED_VALUE"""),83)</f>
        <v>83</v>
      </c>
      <c r="T5" s="82"/>
      <c r="U5" s="82"/>
      <c r="V5" s="82"/>
      <c r="W5" s="82"/>
      <c r="X5" s="82"/>
      <c r="Y5" s="82" t="str">
        <f ca="1">IFERROR(__xludf.DUMMYFUNCTION("""COMPUTED_VALUE"""),"Construir salud ")</f>
        <v xml:space="preserve">Construir salud </v>
      </c>
      <c r="Z5" s="83" t="str">
        <f ca="1">IFERROR(__xludf.DUMMYFUNCTION("""COMPUTED_VALUE"""),"No")</f>
        <v>No</v>
      </c>
      <c r="AA5" s="83" t="str">
        <f ca="1">IFERROR(__xludf.DUMMYFUNCTION("""COMPUTED_VALUE"""),"Acepto")</f>
        <v>Acepto</v>
      </c>
      <c r="AB5" s="83" t="str">
        <f ca="1">IFERROR(__xludf.DUMMYFUNCTION("""COMPUTED_VALUE"""),"Pendiente")</f>
        <v>Pendiente</v>
      </c>
      <c r="AC5" s="38"/>
      <c r="AD5" s="38"/>
      <c r="AE5" s="38"/>
      <c r="AF5" s="38"/>
      <c r="AG5" s="38"/>
      <c r="AH5" s="82"/>
    </row>
    <row r="6" spans="1:34" ht="13.2">
      <c r="B6" s="79">
        <f ca="1">IFERROR(__xludf.DUMMYFUNCTION("""COMPUTED_VALUE"""),45519.7177742245)</f>
        <v>45519.717774224497</v>
      </c>
      <c r="C6" s="80" t="str">
        <f ca="1">IFERROR(__xludf.DUMMYFUNCTION("""COMPUTED_VALUE"""),"Julian Maria")</f>
        <v>Julian Maria</v>
      </c>
      <c r="D6" s="80" t="str">
        <f ca="1">IFERROR(__xludf.DUMMYFUNCTION("""COMPUTED_VALUE"""),"Duarte Argerich")</f>
        <v>Duarte Argerich</v>
      </c>
      <c r="E6" s="80" t="str">
        <f ca="1">IFERROR(__xludf.DUMMYFUNCTION("""COMPUTED_VALUE"""),"Buenos Aires")</f>
        <v>Buenos Aires</v>
      </c>
      <c r="F6" s="80" t="str">
        <f ca="1">IFERROR(__xludf.DUMMYFUNCTION("""COMPUTED_VALUE"""),"ARG")</f>
        <v>ARG</v>
      </c>
      <c r="G6" s="80">
        <f ca="1">IFERROR(__xludf.DUMMYFUNCTION("""COMPUTED_VALUE"""),40133927)</f>
        <v>40133927</v>
      </c>
      <c r="H6" s="81">
        <f ca="1">IFERROR(__xludf.DUMMYFUNCTION("""COMPUTED_VALUE"""),35446)</f>
        <v>35446</v>
      </c>
      <c r="I6" s="80">
        <f ca="1">IFERROR(__xludf.DUMMYFUNCTION("""COMPUTED_VALUE"""),1140504328)</f>
        <v>1140504328</v>
      </c>
      <c r="J6" s="80"/>
      <c r="K6" s="80" t="str">
        <f ca="1">IFERROR(__xludf.DUMMYFUNCTION("""COMPUTED_VALUE"""),"jmdargerich@gmail.com")</f>
        <v>jmdargerich@gmail.com</v>
      </c>
      <c r="L6" s="80" t="str">
        <f ca="1">IFERROR(__xludf.DUMMYFUNCTION("""COMPUTED_VALUE"""),"Masculino")</f>
        <v>Masculino</v>
      </c>
      <c r="M6" s="80" t="str">
        <f ca="1">IFERROR(__xludf.DUMMYFUNCTION("""COMPUTED_VALUE"""),"CUBA")</f>
        <v>CUBA</v>
      </c>
      <c r="N6" s="80"/>
      <c r="O6" s="80" t="str">
        <f ca="1">IFERROR(__xludf.DUMMYFUNCTION("""COMPUTED_VALUE"""),"WING FOIL")</f>
        <v>WING FOIL</v>
      </c>
      <c r="P6" s="80"/>
      <c r="Q6" s="80">
        <f ca="1">IFERROR(__xludf.DUMMYFUNCTION("""COMPUTED_VALUE"""),21)</f>
        <v>21</v>
      </c>
      <c r="R6" s="82"/>
      <c r="S6" s="82"/>
      <c r="T6" s="82"/>
      <c r="U6" s="82"/>
      <c r="V6" s="82"/>
      <c r="W6" s="82"/>
      <c r="X6" s="82"/>
      <c r="Y6" s="82" t="str">
        <f ca="1">IFERROR(__xludf.DUMMYFUNCTION("""COMPUTED_VALUE"""),"OSDE ")</f>
        <v xml:space="preserve">OSDE </v>
      </c>
      <c r="Z6" s="83" t="str">
        <f ca="1">IFERROR(__xludf.DUMMYFUNCTION("""COMPUTED_VALUE"""),"No")</f>
        <v>No</v>
      </c>
      <c r="AA6" s="83" t="str">
        <f ca="1">IFERROR(__xludf.DUMMYFUNCTION("""COMPUTED_VALUE"""),"Acepto")</f>
        <v>Acepto</v>
      </c>
      <c r="AB6" s="83" t="str">
        <f ca="1">IFERROR(__xludf.DUMMYFUNCTION("""COMPUTED_VALUE"""),"Pendiente")</f>
        <v>Pendiente</v>
      </c>
      <c r="AC6" s="38"/>
      <c r="AD6" s="38"/>
      <c r="AE6" s="38"/>
      <c r="AF6" s="38"/>
      <c r="AG6" s="38"/>
      <c r="AH6" s="82"/>
    </row>
    <row r="7" spans="1:34" ht="13.2">
      <c r="B7" s="79">
        <f ca="1">IFERROR(__xludf.DUMMYFUNCTION("""COMPUTED_VALUE"""),45519.7225788194)</f>
        <v>45519.722578819397</v>
      </c>
      <c r="C7" s="80" t="str">
        <f ca="1">IFERROR(__xludf.DUMMYFUNCTION("""COMPUTED_VALUE"""),"Luciano")</f>
        <v>Luciano</v>
      </c>
      <c r="D7" s="80" t="str">
        <f ca="1">IFERROR(__xludf.DUMMYFUNCTION("""COMPUTED_VALUE"""),"Montero")</f>
        <v>Montero</v>
      </c>
      <c r="E7" s="80" t="str">
        <f ca="1">IFERROR(__xludf.DUMMYFUNCTION("""COMPUTED_VALUE"""),"Buenos aires")</f>
        <v>Buenos aires</v>
      </c>
      <c r="F7" s="80" t="str">
        <f ca="1">IFERROR(__xludf.DUMMYFUNCTION("""COMPUTED_VALUE"""),"ARG")</f>
        <v>ARG</v>
      </c>
      <c r="G7" s="80">
        <f ca="1">IFERROR(__xludf.DUMMYFUNCTION("""COMPUTED_VALUE"""),32936598)</f>
        <v>32936598</v>
      </c>
      <c r="H7" s="81">
        <f ca="1">IFERROR(__xludf.DUMMYFUNCTION("""COMPUTED_VALUE"""),32053)</f>
        <v>32053</v>
      </c>
      <c r="I7" s="80">
        <f ca="1">IFERROR(__xludf.DUMMYFUNCTION("""COMPUTED_VALUE"""),1168034974)</f>
        <v>1168034974</v>
      </c>
      <c r="J7" s="80"/>
      <c r="K7" s="80" t="str">
        <f ca="1">IFERROR(__xludf.DUMMYFUNCTION("""COMPUTED_VALUE"""),"lmontero136@gmail.com")</f>
        <v>lmontero136@gmail.com</v>
      </c>
      <c r="L7" s="80" t="str">
        <f ca="1">IFERROR(__xludf.DUMMYFUNCTION("""COMPUTED_VALUE"""),"Masculino")</f>
        <v>Masculino</v>
      </c>
      <c r="M7" s="80" t="str">
        <f ca="1">IFERROR(__xludf.DUMMYFUNCTION("""COMPUTED_VALUE"""),"CUBA")</f>
        <v>CUBA</v>
      </c>
      <c r="N7" s="80" t="str">
        <f ca="1">IFERROR(__xludf.DUMMYFUNCTION("""COMPUTED_VALUE"""),"Wingfoil")</f>
        <v>Wingfoil</v>
      </c>
      <c r="O7" s="80" t="str">
        <f ca="1">IFERROR(__xludf.DUMMYFUNCTION("""COMPUTED_VALUE"""),"WING FOIL")</f>
        <v>WING FOIL</v>
      </c>
      <c r="P7" s="80"/>
      <c r="Q7" s="80" t="str">
        <f ca="1">IFERROR(__xludf.DUMMYFUNCTION("""COMPUTED_VALUE"""),"Número pechera 77")</f>
        <v>Número pechera 77</v>
      </c>
      <c r="R7" s="82"/>
      <c r="S7" s="82"/>
      <c r="T7" s="82"/>
      <c r="U7" s="82"/>
      <c r="V7" s="82"/>
      <c r="W7" s="82"/>
      <c r="X7" s="82"/>
      <c r="Y7" s="82"/>
      <c r="Z7" s="83" t="str">
        <f ca="1">IFERROR(__xludf.DUMMYFUNCTION("""COMPUTED_VALUE"""),"No")</f>
        <v>No</v>
      </c>
      <c r="AA7" s="83" t="str">
        <f ca="1">IFERROR(__xludf.DUMMYFUNCTION("""COMPUTED_VALUE"""),"Acepto")</f>
        <v>Acepto</v>
      </c>
      <c r="AB7" s="83" t="str">
        <f ca="1">IFERROR(__xludf.DUMMYFUNCTION("""COMPUTED_VALUE"""),"Pendiente")</f>
        <v>Pendiente</v>
      </c>
      <c r="AC7" s="38"/>
      <c r="AD7" s="38"/>
      <c r="AE7" s="38"/>
      <c r="AF7" s="38"/>
      <c r="AG7" s="38"/>
      <c r="AH7" s="82"/>
    </row>
    <row r="8" spans="1:34" ht="13.2">
      <c r="B8" s="79">
        <f ca="1">IFERROR(__xludf.DUMMYFUNCTION("""COMPUTED_VALUE"""),45533.7060884953)</f>
        <v>45533.706088495303</v>
      </c>
      <c r="C8" s="80" t="str">
        <f ca="1">IFERROR(__xludf.DUMMYFUNCTION("""COMPUTED_VALUE"""),"Agustin")</f>
        <v>Agustin</v>
      </c>
      <c r="D8" s="80" t="str">
        <f ca="1">IFERROR(__xludf.DUMMYFUNCTION("""COMPUTED_VALUE"""),"Pascual")</f>
        <v>Pascual</v>
      </c>
      <c r="E8" s="80" t="str">
        <f ca="1">IFERROR(__xludf.DUMMYFUNCTION("""COMPUTED_VALUE"""),"Caba")</f>
        <v>Caba</v>
      </c>
      <c r="F8" s="80" t="str">
        <f ca="1">IFERROR(__xludf.DUMMYFUNCTION("""COMPUTED_VALUE"""),"ARG")</f>
        <v>ARG</v>
      </c>
      <c r="G8" s="80">
        <f ca="1">IFERROR(__xludf.DUMMYFUNCTION("""COMPUTED_VALUE"""),34263472)</f>
        <v>34263472</v>
      </c>
      <c r="H8" s="81">
        <f ca="1">IFERROR(__xludf.DUMMYFUNCTION("""COMPUTED_VALUE"""),32573)</f>
        <v>32573</v>
      </c>
      <c r="I8" s="80">
        <f ca="1">IFERROR(__xludf.DUMMYFUNCTION("""COMPUTED_VALUE"""),1135012888)</f>
        <v>1135012888</v>
      </c>
      <c r="J8" s="80"/>
      <c r="K8" s="80" t="str">
        <f ca="1">IFERROR(__xludf.DUMMYFUNCTION("""COMPUTED_VALUE"""),"juan_agustin09@hotmail.com ")</f>
        <v xml:space="preserve">juan_agustin09@hotmail.com </v>
      </c>
      <c r="L8" s="80" t="str">
        <f ca="1">IFERROR(__xludf.DUMMYFUNCTION("""COMPUTED_VALUE"""),"Masculino")</f>
        <v>Masculino</v>
      </c>
      <c r="M8" s="80" t="str">
        <f ca="1">IFERROR(__xludf.DUMMYFUNCTION("""COMPUTED_VALUE"""),"YCO")</f>
        <v>YCO</v>
      </c>
      <c r="N8" s="80"/>
      <c r="O8" s="80" t="str">
        <f ca="1">IFERROR(__xludf.DUMMYFUNCTION("""COMPUTED_VALUE"""),"WING FOIL")</f>
        <v>WING FOIL</v>
      </c>
      <c r="P8" s="80"/>
      <c r="Q8" s="80">
        <f ca="1">IFERROR(__xludf.DUMMYFUNCTION("""COMPUTED_VALUE"""),79)</f>
        <v>79</v>
      </c>
      <c r="R8" s="82"/>
      <c r="S8" s="82"/>
      <c r="T8" s="82"/>
      <c r="U8" s="82"/>
      <c r="V8" s="82"/>
      <c r="W8" s="82"/>
      <c r="X8" s="82"/>
      <c r="Y8" s="82"/>
      <c r="Z8" s="83" t="str">
        <f ca="1">IFERROR(__xludf.DUMMYFUNCTION("""COMPUTED_VALUE"""),"Si")</f>
        <v>Si</v>
      </c>
      <c r="AA8" s="83" t="str">
        <f ca="1">IFERROR(__xludf.DUMMYFUNCTION("""COMPUTED_VALUE"""),"Acepto")</f>
        <v>Acepto</v>
      </c>
      <c r="AB8" s="83" t="str">
        <f ca="1">IFERROR(__xludf.DUMMYFUNCTION("""COMPUTED_VALUE"""),"Pendiente")</f>
        <v>Pendiente</v>
      </c>
      <c r="AC8" s="38"/>
      <c r="AD8" s="38"/>
      <c r="AE8" s="38"/>
      <c r="AF8" s="38"/>
      <c r="AG8" s="38"/>
      <c r="AH8" s="82"/>
    </row>
    <row r="9" spans="1:34" ht="13.2">
      <c r="B9" s="79">
        <f ca="1">IFERROR(__xludf.DUMMYFUNCTION("""COMPUTED_VALUE"""),45519.726206574)</f>
        <v>45519.726206574</v>
      </c>
      <c r="C9" s="80" t="str">
        <f ca="1">IFERROR(__xludf.DUMMYFUNCTION("""COMPUTED_VALUE"""),"Leon ")</f>
        <v xml:space="preserve">Leon </v>
      </c>
      <c r="D9" s="80" t="str">
        <f ca="1">IFERROR(__xludf.DUMMYFUNCTION("""COMPUTED_VALUE"""),"Pfortner")</f>
        <v>Pfortner</v>
      </c>
      <c r="E9" s="80" t="str">
        <f ca="1">IFERROR(__xludf.DUMMYFUNCTION("""COMPUTED_VALUE"""),"Buenos Aires ")</f>
        <v xml:space="preserve">Buenos Aires </v>
      </c>
      <c r="F9" s="80" t="str">
        <f ca="1">IFERROR(__xludf.DUMMYFUNCTION("""COMPUTED_VALUE"""),"ARG")</f>
        <v>ARG</v>
      </c>
      <c r="G9" s="80">
        <f ca="1">IFERROR(__xludf.DUMMYFUNCTION("""COMPUTED_VALUE"""),49193553)</f>
        <v>49193553</v>
      </c>
      <c r="H9" s="81">
        <f ca="1">IFERROR(__xludf.DUMMYFUNCTION("""COMPUTED_VALUE"""),39818)</f>
        <v>39818</v>
      </c>
      <c r="I9" s="80" t="str">
        <f ca="1">IFERROR(__xludf.DUMMYFUNCTION("""COMPUTED_VALUE"""),"‪+54 9 11 2466‑8132‬")</f>
        <v>‪+54 9 11 2466‑8132‬</v>
      </c>
      <c r="J9" s="80">
        <f ca="1">IFERROR(__xludf.DUMMYFUNCTION("""COMPUTED_VALUE"""),1554731779)</f>
        <v>1554731779</v>
      </c>
      <c r="K9" s="80" t="str">
        <f ca="1">IFERROR(__xludf.DUMMYFUNCTION("""COMPUTED_VALUE"""),"leonpfortner@gmail.com")</f>
        <v>leonpfortner@gmail.com</v>
      </c>
      <c r="L9" s="80" t="str">
        <f ca="1">IFERROR(__xludf.DUMMYFUNCTION("""COMPUTED_VALUE"""),"Masculino")</f>
        <v>Masculino</v>
      </c>
      <c r="M9" s="80" t="str">
        <f ca="1">IFERROR(__xludf.DUMMYFUNCTION("""COMPUTED_VALUE"""),"SKB")</f>
        <v>SKB</v>
      </c>
      <c r="N9" s="80" t="str">
        <f ca="1">IFERROR(__xludf.DUMMYFUNCTION("""COMPUTED_VALUE"""),"Interior (Optimist), Master (ILCA)")</f>
        <v>Interior (Optimist), Master (ILCA)</v>
      </c>
      <c r="O9" s="80" t="str">
        <f ca="1">IFERROR(__xludf.DUMMYFUNCTION("""COMPUTED_VALUE"""),"WING FOIL")</f>
        <v>WING FOIL</v>
      </c>
      <c r="P9" s="80"/>
      <c r="Q9" s="80" t="str">
        <f ca="1">IFERROR(__xludf.DUMMYFUNCTION("""COMPUTED_VALUE"""),"5.5 , 5.0 , 6.0 ")</f>
        <v xml:space="preserve">5.5 , 5.0 , 6.0 </v>
      </c>
      <c r="R9" s="82"/>
      <c r="S9" s="82" t="str">
        <f ca="1">IFERROR(__xludf.DUMMYFUNCTION("""COMPUTED_VALUE"""),"León pfortner")</f>
        <v>León pfortner</v>
      </c>
      <c r="T9" s="82"/>
      <c r="U9" s="82"/>
      <c r="V9" s="82"/>
      <c r="W9" s="82"/>
      <c r="X9" s="82"/>
      <c r="Y9" s="82" t="str">
        <f ca="1">IFERROR(__xludf.DUMMYFUNCTION("""COMPUTED_VALUE"""),"Osde ")</f>
        <v xml:space="preserve">Osde </v>
      </c>
      <c r="Z9" s="83" t="str">
        <f ca="1">IFERROR(__xludf.DUMMYFUNCTION("""COMPUTED_VALUE"""),"No")</f>
        <v>No</v>
      </c>
      <c r="AA9" s="83" t="str">
        <f ca="1">IFERROR(__xludf.DUMMYFUNCTION("""COMPUTED_VALUE"""),"Acepto")</f>
        <v>Acepto</v>
      </c>
      <c r="AB9" s="83" t="str">
        <f ca="1">IFERROR(__xludf.DUMMYFUNCTION("""COMPUTED_VALUE"""),"Pendiente")</f>
        <v>Pendiente</v>
      </c>
      <c r="AC9" s="38"/>
      <c r="AD9" s="38"/>
      <c r="AE9" s="38"/>
      <c r="AF9" s="38"/>
      <c r="AG9" s="38"/>
      <c r="AH9" s="82"/>
    </row>
    <row r="10" spans="1:34" ht="13.2">
      <c r="B10" s="79">
        <f ca="1">IFERROR(__xludf.DUMMYFUNCTION("""COMPUTED_VALUE"""),45519.7308971296)</f>
        <v>45519.730897129601</v>
      </c>
      <c r="C10" s="80" t="str">
        <f ca="1">IFERROR(__xludf.DUMMYFUNCTION("""COMPUTED_VALUE"""),"Santiago")</f>
        <v>Santiago</v>
      </c>
      <c r="D10" s="80" t="str">
        <f ca="1">IFERROR(__xludf.DUMMYFUNCTION("""COMPUTED_VALUE"""),"Rigoni")</f>
        <v>Rigoni</v>
      </c>
      <c r="E10" s="80" t="str">
        <f ca="1">IFERROR(__xludf.DUMMYFUNCTION("""COMPUTED_VALUE"""),"Buenos aires ")</f>
        <v xml:space="preserve">Buenos aires </v>
      </c>
      <c r="F10" s="80" t="str">
        <f ca="1">IFERROR(__xludf.DUMMYFUNCTION("""COMPUTED_VALUE"""),"ARG")</f>
        <v>ARG</v>
      </c>
      <c r="G10" s="80">
        <f ca="1">IFERROR(__xludf.DUMMYFUNCTION("""COMPUTED_VALUE"""),36728927)</f>
        <v>36728927</v>
      </c>
      <c r="H10" s="81">
        <f ca="1">IFERROR(__xludf.DUMMYFUNCTION("""COMPUTED_VALUE"""),33659)</f>
        <v>33659</v>
      </c>
      <c r="I10" s="80">
        <f ca="1">IFERROR(__xludf.DUMMYFUNCTION("""COMPUTED_VALUE"""),1161454936)</f>
        <v>1161454936</v>
      </c>
      <c r="J10" s="80"/>
      <c r="K10" s="80" t="str">
        <f ca="1">IFERROR(__xludf.DUMMYFUNCTION("""COMPUTED_VALUE"""),"santirigoni@gmail.com")</f>
        <v>santirigoni@gmail.com</v>
      </c>
      <c r="L10" s="80" t="str">
        <f ca="1">IFERROR(__xludf.DUMMYFUNCTION("""COMPUTED_VALUE"""),"Masculino")</f>
        <v>Masculino</v>
      </c>
      <c r="M10" s="80" t="str">
        <f ca="1">IFERROR(__xludf.DUMMYFUNCTION("""COMPUTED_VALUE"""),"CUBA")</f>
        <v>CUBA</v>
      </c>
      <c r="N10" s="80"/>
      <c r="O10" s="80" t="str">
        <f ca="1">IFERROR(__xludf.DUMMYFUNCTION("""COMPUTED_VALUE"""),"WING FOIL")</f>
        <v>WING FOIL</v>
      </c>
      <c r="P10" s="80"/>
      <c r="Q10" s="80" t="str">
        <f ca="1">IFERROR(__xludf.DUMMYFUNCTION("""COMPUTED_VALUE"""),"03")</f>
        <v>03</v>
      </c>
      <c r="R10" s="82"/>
      <c r="S10" s="82"/>
      <c r="T10" s="82"/>
      <c r="U10" s="82"/>
      <c r="V10" s="82"/>
      <c r="W10" s="82"/>
      <c r="X10" s="82"/>
      <c r="Y10" s="82" t="str">
        <f ca="1">IFERROR(__xludf.DUMMYFUNCTION("""COMPUTED_VALUE"""),"Dosuba")</f>
        <v>Dosuba</v>
      </c>
      <c r="Z10" s="83" t="str">
        <f ca="1">IFERROR(__xludf.DUMMYFUNCTION("""COMPUTED_VALUE"""),"No")</f>
        <v>No</v>
      </c>
      <c r="AA10" s="83" t="str">
        <f ca="1">IFERROR(__xludf.DUMMYFUNCTION("""COMPUTED_VALUE"""),"Acepto")</f>
        <v>Acepto</v>
      </c>
      <c r="AB10" s="83" t="str">
        <f ca="1">IFERROR(__xludf.DUMMYFUNCTION("""COMPUTED_VALUE"""),"Pendiente")</f>
        <v>Pendiente</v>
      </c>
      <c r="AC10" s="38"/>
      <c r="AD10" s="38"/>
      <c r="AE10" s="38"/>
      <c r="AF10" s="38"/>
      <c r="AG10" s="38"/>
      <c r="AH10" s="82"/>
    </row>
    <row r="11" spans="1:34" ht="13.2">
      <c r="B11" s="84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Z11" s="6"/>
      <c r="AA11" s="6"/>
      <c r="AB11" s="6"/>
    </row>
    <row r="12" spans="1:34" ht="13.2">
      <c r="B12" s="84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Z12" s="6"/>
      <c r="AA12" s="6"/>
      <c r="AB12" s="6"/>
    </row>
    <row r="13" spans="1:34" ht="13.2">
      <c r="B13" s="84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Z13" s="6"/>
      <c r="AA13" s="6"/>
      <c r="AB13" s="6"/>
    </row>
    <row r="14" spans="1:34" ht="13.2">
      <c r="B14" s="84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Z14" s="6"/>
      <c r="AA14" s="6"/>
      <c r="AB14" s="6"/>
    </row>
    <row r="15" spans="1:34" ht="13.2">
      <c r="B15" s="84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Z15" s="6"/>
      <c r="AA15" s="6"/>
      <c r="AB15" s="6"/>
    </row>
    <row r="16" spans="1:34" ht="13.2">
      <c r="B16" s="85"/>
      <c r="C16" s="36"/>
      <c r="D16" s="36"/>
      <c r="E16" s="36"/>
      <c r="F16" s="36"/>
      <c r="G16" s="6"/>
      <c r="Z16" s="6"/>
      <c r="AA16" s="6"/>
      <c r="AB16" s="6"/>
    </row>
    <row r="17" spans="2:28" ht="13.2">
      <c r="B17" s="85"/>
      <c r="C17" s="36"/>
      <c r="D17" s="36"/>
      <c r="E17" s="36"/>
      <c r="F17" s="36"/>
      <c r="G17" s="6"/>
      <c r="Z17" s="6"/>
      <c r="AA17" s="6"/>
      <c r="AB17" s="6"/>
    </row>
    <row r="18" spans="2:28" ht="13.2">
      <c r="B18" s="85"/>
      <c r="C18" s="36"/>
      <c r="D18" s="36"/>
      <c r="E18" s="36"/>
      <c r="F18" s="36"/>
      <c r="G18" s="6"/>
      <c r="Z18" s="6"/>
      <c r="AA18" s="6"/>
      <c r="AB18" s="6"/>
    </row>
    <row r="19" spans="2:28" ht="13.2">
      <c r="B19" s="85"/>
      <c r="C19" s="36"/>
      <c r="D19" s="36"/>
      <c r="E19" s="36"/>
      <c r="F19" s="36"/>
      <c r="G19" s="6"/>
      <c r="Z19" s="6"/>
      <c r="AA19" s="6"/>
      <c r="AB19" s="6"/>
    </row>
    <row r="20" spans="2:28" ht="13.2">
      <c r="B20" s="85"/>
      <c r="C20" s="36"/>
      <c r="D20" s="36"/>
      <c r="E20" s="36"/>
      <c r="F20" s="36"/>
      <c r="G20" s="6"/>
      <c r="Z20" s="6"/>
      <c r="AA20" s="6"/>
      <c r="AB20" s="6"/>
    </row>
    <row r="21" spans="2:28" ht="13.2">
      <c r="B21" s="85"/>
      <c r="C21" s="36"/>
      <c r="D21" s="36"/>
      <c r="E21" s="36"/>
      <c r="F21" s="36"/>
      <c r="G21" s="6"/>
      <c r="Z21" s="6"/>
      <c r="AA21" s="6"/>
      <c r="AB21" s="6"/>
    </row>
    <row r="22" spans="2:28" ht="13.2">
      <c r="B22" s="85"/>
      <c r="D22" s="6"/>
      <c r="E22" s="6"/>
      <c r="F22" s="6"/>
      <c r="G22" s="6"/>
    </row>
    <row r="23" spans="2:28" ht="13.2">
      <c r="B23" s="85"/>
      <c r="D23" s="6"/>
      <c r="E23" s="6"/>
      <c r="F23" s="6"/>
      <c r="G23" s="6"/>
    </row>
    <row r="24" spans="2:28" ht="13.2">
      <c r="D24" s="6"/>
      <c r="E24" s="6"/>
      <c r="F24" s="6"/>
      <c r="G24" s="6"/>
    </row>
    <row r="25" spans="2:28" ht="13.2">
      <c r="D25" s="6"/>
      <c r="E25" s="6"/>
      <c r="F25" s="6"/>
      <c r="G25" s="6"/>
    </row>
    <row r="26" spans="2:28" ht="13.2">
      <c r="D26" s="6"/>
      <c r="E26" s="6"/>
      <c r="F26" s="6"/>
      <c r="G26" s="6"/>
    </row>
    <row r="27" spans="2:28" ht="13.2">
      <c r="D27" s="6"/>
      <c r="E27" s="6"/>
      <c r="F27" s="6"/>
      <c r="G27" s="6"/>
    </row>
    <row r="28" spans="2:28" ht="13.2">
      <c r="D28" s="6"/>
      <c r="E28" s="6"/>
      <c r="F28" s="6"/>
      <c r="G28" s="6"/>
    </row>
    <row r="29" spans="2:28" ht="13.2">
      <c r="D29" s="6"/>
      <c r="E29" s="6"/>
      <c r="F29" s="6"/>
      <c r="G29" s="6"/>
    </row>
    <row r="30" spans="2:28" ht="13.2">
      <c r="D30" s="6"/>
      <c r="E30" s="6"/>
      <c r="F30" s="6"/>
      <c r="G30" s="6"/>
    </row>
    <row r="31" spans="2:28" ht="13.2">
      <c r="D31" s="6"/>
      <c r="E31" s="6"/>
      <c r="F31" s="6"/>
      <c r="G31" s="6"/>
    </row>
    <row r="32" spans="2:28" ht="13.2">
      <c r="D32" s="6"/>
      <c r="E32" s="6"/>
      <c r="F32" s="6"/>
      <c r="G32" s="6"/>
    </row>
    <row r="33" spans="4:7" ht="13.2">
      <c r="D33" s="6"/>
      <c r="E33" s="6"/>
      <c r="F33" s="6"/>
      <c r="G33" s="6"/>
    </row>
    <row r="34" spans="4:7" ht="13.2">
      <c r="D34" s="6"/>
      <c r="E34" s="6"/>
      <c r="F34" s="6"/>
      <c r="G34" s="6"/>
    </row>
    <row r="35" spans="4:7" ht="13.2">
      <c r="D35" s="6"/>
      <c r="E35" s="6"/>
      <c r="F35" s="6"/>
      <c r="G35" s="6"/>
    </row>
    <row r="36" spans="4:7" ht="13.2">
      <c r="D36" s="6"/>
      <c r="E36" s="6"/>
      <c r="F36" s="6"/>
      <c r="G36" s="6"/>
    </row>
    <row r="37" spans="4:7" ht="13.2">
      <c r="D37" s="6"/>
      <c r="E37" s="6"/>
      <c r="F37" s="6"/>
      <c r="G37" s="6"/>
    </row>
    <row r="38" spans="4:7" ht="13.2">
      <c r="D38" s="6"/>
      <c r="E38" s="6"/>
      <c r="F38" s="6"/>
      <c r="G38" s="6"/>
    </row>
    <row r="39" spans="4:7" ht="13.2">
      <c r="D39" s="6"/>
      <c r="E39" s="6"/>
      <c r="F39" s="6"/>
      <c r="G39" s="6"/>
    </row>
    <row r="40" spans="4:7" ht="13.2">
      <c r="D40" s="6"/>
      <c r="E40" s="6"/>
      <c r="F40" s="6"/>
      <c r="G40" s="6"/>
    </row>
    <row r="41" spans="4:7" ht="13.2">
      <c r="D41" s="6"/>
      <c r="E41" s="6"/>
      <c r="F41" s="6"/>
      <c r="G41" s="6"/>
    </row>
    <row r="42" spans="4:7" ht="13.2">
      <c r="D42" s="6"/>
      <c r="E42" s="6"/>
      <c r="F42" s="6"/>
      <c r="G42" s="6"/>
    </row>
    <row r="43" spans="4:7" ht="13.2">
      <c r="D43" s="6"/>
      <c r="E43" s="6"/>
      <c r="F43" s="6"/>
      <c r="G43" s="6"/>
    </row>
    <row r="44" spans="4:7" ht="13.2">
      <c r="D44" s="6"/>
      <c r="E44" s="6"/>
      <c r="F44" s="6"/>
      <c r="G44" s="6"/>
    </row>
    <row r="45" spans="4:7" ht="13.2">
      <c r="D45" s="6"/>
      <c r="E45" s="6"/>
      <c r="F45" s="6"/>
      <c r="G45" s="6"/>
    </row>
    <row r="46" spans="4:7" ht="13.2">
      <c r="D46" s="6"/>
      <c r="E46" s="6"/>
      <c r="F46" s="6"/>
      <c r="G46" s="6"/>
    </row>
    <row r="47" spans="4:7" ht="13.2">
      <c r="D47" s="6"/>
      <c r="E47" s="6"/>
      <c r="F47" s="6"/>
      <c r="G47" s="6"/>
    </row>
    <row r="48" spans="4:7" ht="13.2">
      <c r="E48" s="6"/>
      <c r="F48" s="6"/>
      <c r="G48" s="6"/>
    </row>
    <row r="49" spans="5:7" ht="13.2">
      <c r="E49" s="6"/>
      <c r="F49" s="6"/>
      <c r="G49" s="6"/>
    </row>
    <row r="50" spans="5:7" ht="13.2">
      <c r="E50" s="6"/>
      <c r="F50" s="6"/>
      <c r="G50" s="6"/>
    </row>
    <row r="51" spans="5:7" ht="13.2">
      <c r="E51" s="6"/>
      <c r="F51" s="6"/>
      <c r="G51" s="6"/>
    </row>
    <row r="52" spans="5:7" ht="13.2">
      <c r="E52" s="6"/>
      <c r="F52" s="6"/>
      <c r="G52" s="6"/>
    </row>
    <row r="53" spans="5:7" ht="13.2">
      <c r="E53" s="6"/>
      <c r="F53" s="6"/>
      <c r="G53" s="6"/>
    </row>
    <row r="54" spans="5:7" ht="13.2">
      <c r="E54" s="6"/>
      <c r="F54" s="6"/>
      <c r="G54" s="6"/>
    </row>
    <row r="55" spans="5:7" ht="13.2">
      <c r="E55" s="6"/>
      <c r="F55" s="6"/>
      <c r="G55" s="6"/>
    </row>
    <row r="56" spans="5:7" ht="13.2">
      <c r="E56" s="6"/>
      <c r="F56" s="6"/>
      <c r="G56" s="6"/>
    </row>
    <row r="57" spans="5:7" ht="13.2">
      <c r="E57" s="6"/>
      <c r="F57" s="6"/>
      <c r="G57" s="6"/>
    </row>
    <row r="58" spans="5:7" ht="13.2">
      <c r="E58" s="6"/>
      <c r="F58" s="6"/>
      <c r="G58" s="6"/>
    </row>
    <row r="59" spans="5:7" ht="13.2">
      <c r="E59" s="6"/>
      <c r="F59" s="6"/>
      <c r="G59" s="6"/>
    </row>
    <row r="60" spans="5:7" ht="13.2">
      <c r="E60" s="6"/>
      <c r="F60" s="6"/>
      <c r="G60" s="6"/>
    </row>
    <row r="61" spans="5:7" ht="13.2">
      <c r="E61" s="6"/>
      <c r="F61" s="6"/>
      <c r="G61" s="6"/>
    </row>
    <row r="62" spans="5:7" ht="13.2">
      <c r="E62" s="6"/>
      <c r="F62" s="6"/>
      <c r="G62" s="6"/>
    </row>
    <row r="63" spans="5:7" ht="13.2">
      <c r="E63" s="6"/>
      <c r="F63" s="6"/>
      <c r="G63" s="6"/>
    </row>
    <row r="64" spans="5:7" ht="13.2">
      <c r="E64" s="6"/>
      <c r="F64" s="6"/>
      <c r="G64" s="6"/>
    </row>
    <row r="65" spans="5:7" ht="13.2">
      <c r="E65" s="6"/>
      <c r="F65" s="6"/>
      <c r="G65" s="6"/>
    </row>
    <row r="66" spans="5:7" ht="13.2">
      <c r="E66" s="6"/>
      <c r="F66" s="6"/>
      <c r="G66" s="6"/>
    </row>
    <row r="67" spans="5:7" ht="13.2">
      <c r="E67" s="6"/>
      <c r="F67" s="6"/>
      <c r="G67" s="6"/>
    </row>
    <row r="68" spans="5:7" ht="13.2">
      <c r="E68" s="6"/>
      <c r="F68" s="6"/>
      <c r="G68" s="6"/>
    </row>
    <row r="69" spans="5:7" ht="13.2">
      <c r="E69" s="6"/>
      <c r="F69" s="6"/>
      <c r="G69" s="6"/>
    </row>
    <row r="70" spans="5:7" ht="13.2">
      <c r="E70" s="6"/>
      <c r="F70" s="6"/>
      <c r="G70" s="6"/>
    </row>
    <row r="71" spans="5:7" ht="13.2">
      <c r="E71" s="6"/>
      <c r="F71" s="6"/>
      <c r="G71" s="6"/>
    </row>
    <row r="72" spans="5:7" ht="13.2">
      <c r="E72" s="6"/>
      <c r="F72" s="6"/>
      <c r="G72" s="6"/>
    </row>
    <row r="73" spans="5:7" ht="13.2">
      <c r="E73" s="6"/>
      <c r="F73" s="6"/>
      <c r="G73" s="6"/>
    </row>
    <row r="74" spans="5:7" ht="13.2">
      <c r="E74" s="6"/>
      <c r="F74" s="6"/>
      <c r="G74" s="6"/>
    </row>
    <row r="75" spans="5:7" ht="13.2">
      <c r="E75" s="6"/>
      <c r="F75" s="6"/>
      <c r="G75" s="6"/>
    </row>
    <row r="76" spans="5:7" ht="13.2">
      <c r="E76" s="6"/>
      <c r="F76" s="6"/>
      <c r="G76" s="6"/>
    </row>
    <row r="77" spans="5:7" ht="13.2">
      <c r="E77" s="6"/>
      <c r="F77" s="6"/>
      <c r="G77" s="6"/>
    </row>
    <row r="78" spans="5:7" ht="13.2">
      <c r="E78" s="6"/>
      <c r="F78" s="6"/>
      <c r="G78" s="6"/>
    </row>
    <row r="79" spans="5:7" ht="13.2">
      <c r="E79" s="6"/>
      <c r="F79" s="6"/>
      <c r="G79" s="6"/>
    </row>
    <row r="80" spans="5:7" ht="13.2">
      <c r="E80" s="6"/>
      <c r="F80" s="6"/>
      <c r="G80" s="6"/>
    </row>
    <row r="81" spans="5:7" ht="13.2">
      <c r="E81" s="6"/>
      <c r="F81" s="6"/>
      <c r="G81" s="6"/>
    </row>
    <row r="82" spans="5:7" ht="13.2">
      <c r="E82" s="6"/>
      <c r="F82" s="6"/>
      <c r="G82" s="6"/>
    </row>
    <row r="83" spans="5:7" ht="13.2">
      <c r="E83" s="6"/>
      <c r="F83" s="6"/>
      <c r="G83" s="6"/>
    </row>
    <row r="84" spans="5:7" ht="13.2">
      <c r="E84" s="6"/>
      <c r="F84" s="6"/>
      <c r="G84" s="6"/>
    </row>
    <row r="85" spans="5:7" ht="13.2">
      <c r="E85" s="6"/>
      <c r="F85" s="6"/>
      <c r="G85" s="6"/>
    </row>
    <row r="86" spans="5:7" ht="13.2">
      <c r="E86" s="6"/>
      <c r="F86" s="6"/>
      <c r="G86" s="6"/>
    </row>
    <row r="87" spans="5:7" ht="13.2">
      <c r="E87" s="6"/>
      <c r="F87" s="6"/>
      <c r="G87" s="6"/>
    </row>
    <row r="88" spans="5:7" ht="13.2">
      <c r="E88" s="6"/>
      <c r="F88" s="6"/>
      <c r="G88" s="6"/>
    </row>
    <row r="89" spans="5:7" ht="13.2">
      <c r="E89" s="6"/>
      <c r="F89" s="6"/>
      <c r="G89" s="6"/>
    </row>
    <row r="90" spans="5:7" ht="13.2">
      <c r="E90" s="6"/>
      <c r="F90" s="6"/>
      <c r="G90" s="6"/>
    </row>
    <row r="91" spans="5:7" ht="13.2">
      <c r="E91" s="6"/>
      <c r="F91" s="6"/>
      <c r="G91" s="6"/>
    </row>
    <row r="92" spans="5:7" ht="13.2">
      <c r="E92" s="6"/>
      <c r="F92" s="6"/>
      <c r="G92" s="6"/>
    </row>
    <row r="93" spans="5:7" ht="13.2">
      <c r="E93" s="6"/>
      <c r="F93" s="6"/>
      <c r="G93" s="6"/>
    </row>
    <row r="94" spans="5:7" ht="13.2">
      <c r="E94" s="6"/>
      <c r="F94" s="6"/>
      <c r="G94" s="6"/>
    </row>
    <row r="95" spans="5:7" ht="13.2">
      <c r="E95" s="6"/>
      <c r="F95" s="6"/>
      <c r="G95" s="6"/>
    </row>
    <row r="96" spans="5:7" ht="13.2">
      <c r="E96" s="6"/>
      <c r="F96" s="6"/>
      <c r="G96" s="6"/>
    </row>
    <row r="97" spans="5:7" ht="13.2">
      <c r="E97" s="6"/>
      <c r="F97" s="6"/>
      <c r="G97" s="6"/>
    </row>
    <row r="98" spans="5:7" ht="13.2">
      <c r="E98" s="6"/>
      <c r="F98" s="6"/>
      <c r="G98" s="6"/>
    </row>
    <row r="99" spans="5:7" ht="13.2">
      <c r="E99" s="6"/>
      <c r="F99" s="6"/>
      <c r="G99" s="6"/>
    </row>
  </sheetData>
  <conditionalFormatting sqref="B4:B136">
    <cfRule type="cellIs" dxfId="27" priority="1" operator="equal">
      <formula>"Pago"</formula>
    </cfRule>
  </conditionalFormatting>
  <conditionalFormatting sqref="G1:G105 I2">
    <cfRule type="cellIs" dxfId="26" priority="2" operator="equal">
      <formula>"Si"</formula>
    </cfRule>
  </conditionalFormatting>
  <conditionalFormatting sqref="AB3:AB44">
    <cfRule type="cellIs" dxfId="25" priority="3" operator="equal">
      <formula>"Terminado"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AH99"/>
  <sheetViews>
    <sheetView topLeftCell="B1" workbookViewId="0"/>
  </sheetViews>
  <sheetFormatPr defaultColWidth="12.6640625" defaultRowHeight="15.75" customHeight="1"/>
  <cols>
    <col min="1" max="1" width="12.6640625" hidden="1"/>
    <col min="3" max="3" width="8" customWidth="1"/>
    <col min="4" max="4" width="9.6640625" customWidth="1"/>
    <col min="5" max="5" width="21" customWidth="1"/>
    <col min="6" max="6" width="6.6640625" customWidth="1"/>
    <col min="7" max="7" width="6.6640625" hidden="1" customWidth="1"/>
    <col min="8" max="8" width="4.33203125" hidden="1" customWidth="1"/>
    <col min="9" max="9" width="12.6640625" hidden="1"/>
    <col min="10" max="10" width="6.44140625" hidden="1" customWidth="1"/>
    <col min="11" max="11" width="12.6640625" hidden="1"/>
    <col min="12" max="12" width="8.44140625" customWidth="1"/>
    <col min="13" max="13" width="9.77734375" customWidth="1"/>
    <col min="14" max="14" width="11.33203125" customWidth="1"/>
    <col min="15" max="15" width="12.6640625" hidden="1"/>
    <col min="16" max="16" width="7" hidden="1" customWidth="1"/>
    <col min="17" max="17" width="6.44140625" customWidth="1"/>
    <col min="18" max="18" width="10.109375" customWidth="1"/>
    <col min="19" max="24" width="12.6640625" hidden="1"/>
    <col min="25" max="25" width="10.21875" hidden="1" customWidth="1"/>
    <col min="26" max="26" width="6.88671875" customWidth="1"/>
    <col min="27" max="27" width="12.6640625" hidden="1"/>
    <col min="28" max="28" width="13" customWidth="1"/>
    <col min="29" max="29" width="11.109375" hidden="1" customWidth="1"/>
    <col min="30" max="30" width="10.6640625" hidden="1" customWidth="1"/>
    <col min="31" max="33" width="12.6640625" hidden="1"/>
  </cols>
  <sheetData>
    <row r="1" spans="1:34" ht="22.8">
      <c r="A1" s="40"/>
      <c r="B1" s="48" t="s">
        <v>33</v>
      </c>
      <c r="C1" s="49"/>
      <c r="D1" s="49"/>
      <c r="E1" s="49"/>
      <c r="F1" s="49"/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4" ht="15" customHeight="1">
      <c r="A2" s="40"/>
      <c r="B2" s="51" t="s">
        <v>46</v>
      </c>
      <c r="C2" s="2"/>
      <c r="D2" s="2"/>
      <c r="E2" s="2"/>
      <c r="F2" s="63" t="str">
        <f ca="1">"Inscriptos: "&amp;COUNTA(C4:C100)</f>
        <v>Inscriptos: 8</v>
      </c>
      <c r="G2" s="2"/>
      <c r="H2" s="2"/>
      <c r="I2" s="54"/>
      <c r="J2" s="54"/>
      <c r="K2" s="54"/>
      <c r="L2" s="2"/>
      <c r="M2" s="2"/>
      <c r="N2" s="2"/>
      <c r="O2" s="2"/>
      <c r="P2" s="2"/>
      <c r="Q2" s="2"/>
      <c r="R2" s="2"/>
      <c r="S2" s="54"/>
      <c r="T2" s="54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4" ht="66">
      <c r="A3" s="40" t="s">
        <v>47</v>
      </c>
      <c r="B3" s="86" t="str">
        <f ca="1">IFERROR(__xludf.DUMMYFUNCTION("query(Titulos)"),"Dia y Hora")</f>
        <v>Dia y Hora</v>
      </c>
      <c r="C3" s="86" t="str">
        <f ca="1">IFERROR(__xludf.DUMMYFUNCTION("""COMPUTED_VALUE"""),"Nombre")</f>
        <v>Nombre</v>
      </c>
      <c r="D3" s="86" t="str">
        <f ca="1">IFERROR(__xludf.DUMMYFUNCTION("""COMPUTED_VALUE"""),"Apellido")</f>
        <v>Apellido</v>
      </c>
      <c r="E3" s="86" t="str">
        <f ca="1">IFERROR(__xludf.DUMMYFUNCTION("""COMPUTED_VALUE"""),"Ciudad")</f>
        <v>Ciudad</v>
      </c>
      <c r="F3" s="86" t="str">
        <f ca="1">IFERROR(__xludf.DUMMYFUNCTION("""COMPUTED_VALUE"""),"Pais")</f>
        <v>Pais</v>
      </c>
      <c r="G3" s="86" t="str">
        <f ca="1">IFERROR(__xludf.DUMMYFUNCTION("""COMPUTED_VALUE"""),"DNI")</f>
        <v>DNI</v>
      </c>
      <c r="H3" s="86" t="str">
        <f ca="1">IFERROR(__xludf.DUMMYFUNCTION("""COMPUTED_VALUE"""),"Nacimiento")</f>
        <v>Nacimiento</v>
      </c>
      <c r="I3" s="86" t="str">
        <f ca="1">IFERROR(__xludf.DUMMYFUNCTION("""COMPUTED_VALUE"""),"Celular de Contacto")</f>
        <v>Celular de Contacto</v>
      </c>
      <c r="J3" s="86" t="str">
        <f ca="1">IFERROR(__xludf.DUMMYFUNCTION("""COMPUTED_VALUE"""),"Celular de Emergencias")</f>
        <v>Celular de Emergencias</v>
      </c>
      <c r="K3" s="86" t="str">
        <f ca="1">IFERROR(__xludf.DUMMYFUNCTION("""COMPUTED_VALUE"""),"email")</f>
        <v>email</v>
      </c>
      <c r="L3" s="86" t="str">
        <f ca="1">IFERROR(__xludf.DUMMYFUNCTION("""COMPUTED_VALUE"""),"Sexo")</f>
        <v>Sexo</v>
      </c>
      <c r="M3" s="86" t="str">
        <f ca="1">IFERROR(__xludf.DUMMYFUNCTION("""COMPUTED_VALUE"""),"Club")</f>
        <v>Club</v>
      </c>
      <c r="N3" s="86" t="str">
        <f ca="1">IFERROR(__xludf.DUMMYFUNCTION("""COMPUTED_VALUE"""),"Categoría")</f>
        <v>Categoría</v>
      </c>
      <c r="O3" s="86" t="str">
        <f ca="1">IFERROR(__xludf.DUMMYFUNCTION("""COMPUTED_VALUE"""),"Clase")</f>
        <v>Clase</v>
      </c>
      <c r="P3" s="86" t="str">
        <f ca="1">IFERROR(__xludf.DUMMYFUNCTION("""COMPUTED_VALUE"""),"Proa Nº")</f>
        <v>Proa Nº</v>
      </c>
      <c r="Q3" s="86" t="str">
        <f ca="1">IFERROR(__xludf.DUMMYFUNCTION("""COMPUTED_VALUE"""),"Vela")</f>
        <v>Vela</v>
      </c>
      <c r="R3" s="71" t="str">
        <f ca="1">IFERROR(__xludf.DUMMYFUNCTION("""COMPUTED_VALUE"""),"Nombre del Barco")</f>
        <v>Nombre del Barco</v>
      </c>
      <c r="S3" s="71" t="str">
        <f ca="1">IFERROR(__xludf.DUMMYFUNCTION("""COMPUTED_VALUE"""),"Tripulante 1")</f>
        <v>Tripulante 1</v>
      </c>
      <c r="T3" s="71" t="str">
        <f ca="1">IFERROR(__xludf.DUMMYFUNCTION("""COMPUTED_VALUE"""),"Tripulante 2")</f>
        <v>Tripulante 2</v>
      </c>
      <c r="U3" s="71" t="str">
        <f ca="1">IFERROR(__xludf.DUMMYFUNCTION("""COMPUTED_VALUE"""),"Tripulante 3")</f>
        <v>Tripulante 3</v>
      </c>
      <c r="V3" s="71" t="str">
        <f ca="1">IFERROR(__xludf.DUMMYFUNCTION("""COMPUTED_VALUE"""),"Tripulante 4")</f>
        <v>Tripulante 4</v>
      </c>
      <c r="W3" s="71" t="str">
        <f ca="1">IFERROR(__xludf.DUMMYFUNCTION("""COMPUTED_VALUE"""),"Tripulante 5")</f>
        <v>Tripulante 5</v>
      </c>
      <c r="X3" s="71" t="str">
        <f ca="1">IFERROR(__xludf.DUMMYFUNCTION("""COMPUTED_VALUE"""),"Tripulante 6")</f>
        <v>Tripulante 6</v>
      </c>
      <c r="Y3" s="71" t="str">
        <f ca="1">IFERROR(__xludf.DUMMYFUNCTION("""COMPUTED_VALUE"""),"Obra Social/Nº Afiliado")</f>
        <v>Obra Social/Nº Afiliado</v>
      </c>
      <c r="Z3" s="87" t="str">
        <f ca="1">IFERROR(__xludf.DUMMYFUNCTION("""COMPUTED_VALUE"""),"Bajada YCO")</f>
        <v>Bajada YCO</v>
      </c>
      <c r="AA3" s="87" t="str">
        <f ca="1">IFERROR(__xludf.DUMMYFUNCTION("""COMPUTED_VALUE"""),"Términos y Condiciones")</f>
        <v>Términos y Condiciones</v>
      </c>
      <c r="AB3" s="87" t="str">
        <f ca="1">IFERROR(__xludf.DUMMYFUNCTION("""COMPUTED_VALUE"""),"Pago")</f>
        <v>Pago</v>
      </c>
      <c r="AC3" s="71" t="str">
        <f ca="1">IFERROR(__xludf.DUMMYFUNCTION("""COMPUTED_VALUE"""),"Importe")</f>
        <v>Importe</v>
      </c>
      <c r="AD3" s="71" t="str">
        <f ca="1">IFERROR(__xludf.DUMMYFUNCTION("""COMPUTED_VALUE"""),"RECIBO")</f>
        <v>RECIBO</v>
      </c>
      <c r="AE3" s="77"/>
      <c r="AF3" s="77"/>
      <c r="AG3" s="77"/>
      <c r="AH3" s="88" t="s">
        <v>32</v>
      </c>
    </row>
    <row r="4" spans="1:34" ht="13.2">
      <c r="B4" s="89">
        <f ca="1">IFERROR(__xludf.DUMMYFUNCTION("filter(Datos,Clases=A3)"),45535.7442405787)</f>
        <v>45535.744240578701</v>
      </c>
      <c r="C4" s="74" t="str">
        <f ca="1">IFERROR(__xludf.DUMMYFUNCTION("""COMPUTED_VALUE"""),"Julian")</f>
        <v>Julian</v>
      </c>
      <c r="D4" s="74" t="str">
        <f ca="1">IFERROR(__xludf.DUMMYFUNCTION("""COMPUTED_VALUE"""),"Burgos")</f>
        <v>Burgos</v>
      </c>
      <c r="E4" s="74" t="str">
        <f ca="1">IFERROR(__xludf.DUMMYFUNCTION("""COMPUTED_VALUE"""),"Puerto Madryn ")</f>
        <v xml:space="preserve">Puerto Madryn </v>
      </c>
      <c r="F4" s="74" t="str">
        <f ca="1">IFERROR(__xludf.DUMMYFUNCTION("""COMPUTED_VALUE"""),"ARG")</f>
        <v>ARG</v>
      </c>
      <c r="G4" s="74">
        <f ca="1">IFERROR(__xludf.DUMMYFUNCTION("""COMPUTED_VALUE"""),48964983)</f>
        <v>48964983</v>
      </c>
      <c r="H4" s="90">
        <f ca="1">IFERROR(__xludf.DUMMYFUNCTION("""COMPUTED_VALUE"""),39703)</f>
        <v>39703</v>
      </c>
      <c r="I4" s="74">
        <f ca="1">IFERROR(__xludf.DUMMYFUNCTION("""COMPUTED_VALUE"""),2804678683)</f>
        <v>2804678683</v>
      </c>
      <c r="J4" s="74">
        <f ca="1">IFERROR(__xludf.DUMMYFUNCTION("""COMPUTED_VALUE"""),2804602408)</f>
        <v>2804602408</v>
      </c>
      <c r="K4" s="74" t="str">
        <f ca="1">IFERROR(__xludf.DUMMYFUNCTION("""COMPUTED_VALUE"""),"julianburgossaranz08@gmail.com")</f>
        <v>julianburgossaranz08@gmail.com</v>
      </c>
      <c r="L4" s="74" t="str">
        <f ca="1">IFERROR(__xludf.DUMMYFUNCTION("""COMPUTED_VALUE"""),"Masculino")</f>
        <v>Masculino</v>
      </c>
      <c r="M4" s="74" t="str">
        <f ca="1">IFERROR(__xludf.DUMMYFUNCTION("""COMPUTED_VALUE"""),"CNAS")</f>
        <v>CNAS</v>
      </c>
      <c r="N4" s="74" t="str">
        <f ca="1">IFERROR(__xludf.DUMMYFUNCTION("""COMPUTED_VALUE"""),"ILCA 4")</f>
        <v>ILCA 4</v>
      </c>
      <c r="O4" s="74" t="str">
        <f ca="1">IFERROR(__xludf.DUMMYFUNCTION("""COMPUTED_VALUE"""),"ILCA 4")</f>
        <v>ILCA 4</v>
      </c>
      <c r="P4" s="74"/>
      <c r="Q4" s="74">
        <f ca="1">IFERROR(__xludf.DUMMYFUNCTION("""COMPUTED_VALUE"""),1209)</f>
        <v>1209</v>
      </c>
      <c r="R4" s="77"/>
      <c r="S4" s="77"/>
      <c r="T4" s="77"/>
      <c r="U4" s="77"/>
      <c r="V4" s="77"/>
      <c r="W4" s="77"/>
      <c r="X4" s="77"/>
      <c r="Y4" s="77" t="str">
        <f ca="1">IFERROR(__xludf.DUMMYFUNCTION("""COMPUTED_VALUE"""),"Swiss Medical")</f>
        <v>Swiss Medical</v>
      </c>
      <c r="Z4" s="75" t="str">
        <f ca="1">IFERROR(__xludf.DUMMYFUNCTION("""COMPUTED_VALUE"""),"Si")</f>
        <v>Si</v>
      </c>
      <c r="AA4" s="75" t="str">
        <f ca="1">IFERROR(__xludf.DUMMYFUNCTION("""COMPUTED_VALUE"""),"Acepto")</f>
        <v>Acepto</v>
      </c>
      <c r="AB4" s="75" t="str">
        <f ca="1">IFERROR(__xludf.DUMMYFUNCTION("""COMPUTED_VALUE"""),"Terminado")</f>
        <v>Terminado</v>
      </c>
      <c r="AC4" s="77">
        <f ca="1">IFERROR(__xludf.DUMMYFUNCTION("""COMPUTED_VALUE"""),38250)</f>
        <v>38250</v>
      </c>
      <c r="AD4" s="77" t="str">
        <f ca="1">IFERROR(__xludf.DUMMYFUNCTION("""COMPUTED_VALUE"""),"205370/205371")</f>
        <v>205370/205371</v>
      </c>
      <c r="AE4" s="77" t="str">
        <f ca="1">IFERROR(__xludf.DUMMYFUNCTION("""COMPUTED_VALUE"""),"TRF 02-09")</f>
        <v>TRF 02-09</v>
      </c>
      <c r="AF4" s="77"/>
      <c r="AG4" s="77"/>
      <c r="AH4" s="77"/>
    </row>
    <row r="5" spans="1:34" ht="13.2">
      <c r="B5" s="89">
        <f ca="1">IFERROR(__xludf.DUMMYFUNCTION("""COMPUTED_VALUE"""),45531.7845023958)</f>
        <v>45531.7845023958</v>
      </c>
      <c r="C5" s="74" t="str">
        <f ca="1">IFERROR(__xludf.DUMMYFUNCTION("""COMPUTED_VALUE"""),"maría ")</f>
        <v xml:space="preserve">maría </v>
      </c>
      <c r="D5" s="74" t="str">
        <f ca="1">IFERROR(__xludf.DUMMYFUNCTION("""COMPUTED_VALUE"""),"couyet")</f>
        <v>couyet</v>
      </c>
      <c r="E5" s="74" t="str">
        <f ca="1">IFERROR(__xludf.DUMMYFUNCTION("""COMPUTED_VALUE"""),"la plata ")</f>
        <v xml:space="preserve">la plata </v>
      </c>
      <c r="F5" s="74" t="str">
        <f ca="1">IFERROR(__xludf.DUMMYFUNCTION("""COMPUTED_VALUE"""),"ARG")</f>
        <v>ARG</v>
      </c>
      <c r="G5" s="74">
        <f ca="1">IFERROR(__xludf.DUMMYFUNCTION("""COMPUTED_VALUE"""),48094863)</f>
        <v>48094863</v>
      </c>
      <c r="H5" s="90">
        <f ca="1">IFERROR(__xludf.DUMMYFUNCTION("""COMPUTED_VALUE"""),39203)</f>
        <v>39203</v>
      </c>
      <c r="I5" s="74">
        <f ca="1">IFERROR(__xludf.DUMMYFUNCTION("""COMPUTED_VALUE"""),2213041655)</f>
        <v>2213041655</v>
      </c>
      <c r="J5" s="74">
        <f ca="1">IFERROR(__xludf.DUMMYFUNCTION("""COMPUTED_VALUE"""),2214635268)</f>
        <v>2214635268</v>
      </c>
      <c r="K5" s="74" t="str">
        <f ca="1">IFERROR(__xludf.DUMMYFUNCTION("""COMPUTED_VALUE"""),"mariacouyet1@gmail.com")</f>
        <v>mariacouyet1@gmail.com</v>
      </c>
      <c r="L5" s="74" t="str">
        <f ca="1">IFERROR(__xludf.DUMMYFUNCTION("""COMPUTED_VALUE"""),"Femenino")</f>
        <v>Femenino</v>
      </c>
      <c r="M5" s="74" t="str">
        <f ca="1">IFERROR(__xludf.DUMMYFUNCTION("""COMPUTED_VALUE"""),"CRLP")</f>
        <v>CRLP</v>
      </c>
      <c r="N5" s="74" t="str">
        <f ca="1">IFERROR(__xludf.DUMMYFUNCTION("""COMPUTED_VALUE"""),"Femenino")</f>
        <v>Femenino</v>
      </c>
      <c r="O5" s="74" t="str">
        <f ca="1">IFERROR(__xludf.DUMMYFUNCTION("""COMPUTED_VALUE"""),"ILCA 4")</f>
        <v>ILCA 4</v>
      </c>
      <c r="P5" s="74"/>
      <c r="Q5" s="74">
        <f ca="1">IFERROR(__xludf.DUMMYFUNCTION("""COMPUTED_VALUE"""),195348)</f>
        <v>195348</v>
      </c>
      <c r="R5" s="77"/>
      <c r="S5" s="77"/>
      <c r="T5" s="77"/>
      <c r="U5" s="77"/>
      <c r="V5" s="77"/>
      <c r="W5" s="77"/>
      <c r="X5" s="77"/>
      <c r="Y5" s="77" t="str">
        <f ca="1">IFERROR(__xludf.DUMMYFUNCTION("""COMPUTED_VALUE"""),"IOMA")</f>
        <v>IOMA</v>
      </c>
      <c r="Z5" s="75" t="str">
        <f ca="1">IFERROR(__xludf.DUMMYFUNCTION("""COMPUTED_VALUE"""),"No")</f>
        <v>No</v>
      </c>
      <c r="AA5" s="75" t="str">
        <f ca="1">IFERROR(__xludf.DUMMYFUNCTION("""COMPUTED_VALUE"""),"Acepto")</f>
        <v>Acepto</v>
      </c>
      <c r="AB5" s="75" t="str">
        <f ca="1">IFERROR(__xludf.DUMMYFUNCTION("""COMPUTED_VALUE"""),"Parcial")</f>
        <v>Parcial</v>
      </c>
      <c r="AC5" s="77">
        <f ca="1">IFERROR(__xludf.DUMMYFUNCTION("""COMPUTED_VALUE"""),40000)</f>
        <v>40000</v>
      </c>
      <c r="AD5" s="77">
        <f ca="1">IFERROR(__xludf.DUMMYFUNCTION("""COMPUTED_VALUE"""),205069)</f>
        <v>205069</v>
      </c>
      <c r="AE5" s="77" t="str">
        <f ca="1">IFERROR(__xludf.DUMMYFUNCTION("""COMPUTED_VALUE"""),"TRF 27-08")</f>
        <v>TRF 27-08</v>
      </c>
      <c r="AF5" s="77"/>
      <c r="AG5" s="77" t="str">
        <f ca="1">IFERROR(__xludf.DUMMYFUNCTION("""COMPUTED_VALUE"""),"Debe saldo")</f>
        <v>Debe saldo</v>
      </c>
      <c r="AH5" s="77"/>
    </row>
    <row r="6" spans="1:34" ht="13.2">
      <c r="B6" s="89">
        <f ca="1">IFERROR(__xludf.DUMMYFUNCTION("""COMPUTED_VALUE"""),45535.6785269791)</f>
        <v>45535.6785269791</v>
      </c>
      <c r="C6" s="74" t="str">
        <f ca="1">IFERROR(__xludf.DUMMYFUNCTION("""COMPUTED_VALUE"""),"Juana")</f>
        <v>Juana</v>
      </c>
      <c r="D6" s="74" t="str">
        <f ca="1">IFERROR(__xludf.DUMMYFUNCTION("""COMPUTED_VALUE"""),"Crola")</f>
        <v>Crola</v>
      </c>
      <c r="E6" s="74" t="str">
        <f ca="1">IFERROR(__xludf.DUMMYFUNCTION("""COMPUTED_VALUE"""),"La Plata")</f>
        <v>La Plata</v>
      </c>
      <c r="F6" s="74" t="str">
        <f ca="1">IFERROR(__xludf.DUMMYFUNCTION("""COMPUTED_VALUE"""),"ARG")</f>
        <v>ARG</v>
      </c>
      <c r="G6" s="74">
        <f ca="1">IFERROR(__xludf.DUMMYFUNCTION("""COMPUTED_VALUE"""),46269301)</f>
        <v>46269301</v>
      </c>
      <c r="H6" s="90">
        <f ca="1">IFERROR(__xludf.DUMMYFUNCTION("""COMPUTED_VALUE"""),38303)</f>
        <v>38303</v>
      </c>
      <c r="I6" s="74">
        <f ca="1">IFERROR(__xludf.DUMMYFUNCTION("""COMPUTED_VALUE"""),92214976531)</f>
        <v>92214976531</v>
      </c>
      <c r="J6" s="74">
        <f ca="1">IFERROR(__xludf.DUMMYFUNCTION("""COMPUTED_VALUE"""),92214976531)</f>
        <v>92214976531</v>
      </c>
      <c r="K6" s="74" t="str">
        <f ca="1">IFERROR(__xludf.DUMMYFUNCTION("""COMPUTED_VALUE"""),"juanacrola1@gmail.com")</f>
        <v>juanacrola1@gmail.com</v>
      </c>
      <c r="L6" s="74" t="str">
        <f ca="1">IFERROR(__xludf.DUMMYFUNCTION("""COMPUTED_VALUE"""),"Femenino")</f>
        <v>Femenino</v>
      </c>
      <c r="M6" s="74" t="str">
        <f ca="1">IFERROR(__xludf.DUMMYFUNCTION("""COMPUTED_VALUE"""),"CRLP")</f>
        <v>CRLP</v>
      </c>
      <c r="N6" s="74" t="str">
        <f ca="1">IFERROR(__xludf.DUMMYFUNCTION("""COMPUTED_VALUE"""),"Femenino")</f>
        <v>Femenino</v>
      </c>
      <c r="O6" s="74" t="str">
        <f ca="1">IFERROR(__xludf.DUMMYFUNCTION("""COMPUTED_VALUE"""),"ILCA 4")</f>
        <v>ILCA 4</v>
      </c>
      <c r="P6" s="74"/>
      <c r="Q6" s="74">
        <f ca="1">IFERROR(__xludf.DUMMYFUNCTION("""COMPUTED_VALUE"""),195396)</f>
        <v>195396</v>
      </c>
      <c r="R6" s="77"/>
      <c r="S6" s="77"/>
      <c r="T6" s="77"/>
      <c r="U6" s="77"/>
      <c r="V6" s="77"/>
      <c r="W6" s="77"/>
      <c r="X6" s="77"/>
      <c r="Y6" s="77">
        <f ca="1">IFERROR(__xludf.DUMMYFUNCTION("""COMPUTED_VALUE"""),2217367204)</f>
        <v>2217367204</v>
      </c>
      <c r="Z6" s="75" t="str">
        <f ca="1">IFERROR(__xludf.DUMMYFUNCTION("""COMPUTED_VALUE"""),"No")</f>
        <v>No</v>
      </c>
      <c r="AA6" s="75" t="str">
        <f ca="1">IFERROR(__xludf.DUMMYFUNCTION("""COMPUTED_VALUE"""),"Acepto")</f>
        <v>Acepto</v>
      </c>
      <c r="AB6" s="75" t="str">
        <f ca="1">IFERROR(__xludf.DUMMYFUNCTION("""COMPUTED_VALUE"""),"Terminado")</f>
        <v>Terminado</v>
      </c>
      <c r="AC6" s="77">
        <f ca="1">IFERROR(__xludf.DUMMYFUNCTION("""COMPUTED_VALUE"""),45000)</f>
        <v>45000</v>
      </c>
      <c r="AD6" s="77" t="str">
        <f ca="1">IFERROR(__xludf.DUMMYFUNCTION("""COMPUTED_VALUE"""),"205170/205365")</f>
        <v>205170/205365</v>
      </c>
      <c r="AE6" s="77" t="str">
        <f ca="1">IFERROR(__xludf.DUMMYFUNCTION("""COMPUTED_VALUE"""),"TRF 31-08")</f>
        <v>TRF 31-08</v>
      </c>
      <c r="AF6" s="77"/>
      <c r="AG6" s="77"/>
      <c r="AH6" s="77"/>
    </row>
    <row r="7" spans="1:34" ht="13.2">
      <c r="B7" s="89">
        <f ca="1">IFERROR(__xludf.DUMMYFUNCTION("""COMPUTED_VALUE"""),45531.8080454861)</f>
        <v>45531.808045486097</v>
      </c>
      <c r="C7" s="74" t="str">
        <f ca="1">IFERROR(__xludf.DUMMYFUNCTION("""COMPUTED_VALUE"""),"Valentina")</f>
        <v>Valentina</v>
      </c>
      <c r="D7" s="74" t="str">
        <f ca="1">IFERROR(__xludf.DUMMYFUNCTION("""COMPUTED_VALUE"""),"Galli Kluge")</f>
        <v>Galli Kluge</v>
      </c>
      <c r="E7" s="74" t="str">
        <f ca="1">IFERROR(__xludf.DUMMYFUNCTION("""COMPUTED_VALUE"""),"CABA")</f>
        <v>CABA</v>
      </c>
      <c r="F7" s="74" t="str">
        <f ca="1">IFERROR(__xludf.DUMMYFUNCTION("""COMPUTED_VALUE"""),"ARG")</f>
        <v>ARG</v>
      </c>
      <c r="G7" s="74">
        <f ca="1">IFERROR(__xludf.DUMMYFUNCTION("""COMPUTED_VALUE"""),49703324)</f>
        <v>49703324</v>
      </c>
      <c r="H7" s="90">
        <f ca="1">IFERROR(__xludf.DUMMYFUNCTION("""COMPUTED_VALUE"""),40055)</f>
        <v>40055</v>
      </c>
      <c r="I7" s="74">
        <f ca="1">IFERROR(__xludf.DUMMYFUNCTION("""COMPUTED_VALUE"""),1131637901)</f>
        <v>1131637901</v>
      </c>
      <c r="J7" s="74">
        <f ca="1">IFERROR(__xludf.DUMMYFUNCTION("""COMPUTED_VALUE"""),1131637901)</f>
        <v>1131637901</v>
      </c>
      <c r="K7" s="74" t="str">
        <f ca="1">IFERROR(__xludf.DUMMYFUNCTION("""COMPUTED_VALUE"""),"martinianogalli@gmail.com")</f>
        <v>martinianogalli@gmail.com</v>
      </c>
      <c r="L7" s="74" t="str">
        <f ca="1">IFERROR(__xludf.DUMMYFUNCTION("""COMPUTED_VALUE"""),"Femenino")</f>
        <v>Femenino</v>
      </c>
      <c r="M7" s="74" t="str">
        <f ca="1">IFERROR(__xludf.DUMMYFUNCTION("""COMPUTED_VALUE"""),"CVB")</f>
        <v>CVB</v>
      </c>
      <c r="N7" s="74" t="str">
        <f ca="1">IFERROR(__xludf.DUMMYFUNCTION("""COMPUTED_VALUE"""),"Femenino")</f>
        <v>Femenino</v>
      </c>
      <c r="O7" s="74" t="str">
        <f ca="1">IFERROR(__xludf.DUMMYFUNCTION("""COMPUTED_VALUE"""),"ILCA 4")</f>
        <v>ILCA 4</v>
      </c>
      <c r="P7" s="74"/>
      <c r="Q7" s="74">
        <f ca="1">IFERROR(__xludf.DUMMYFUNCTION("""COMPUTED_VALUE"""),32)</f>
        <v>32</v>
      </c>
      <c r="R7" s="77"/>
      <c r="S7" s="77"/>
      <c r="T7" s="77"/>
      <c r="U7" s="77"/>
      <c r="V7" s="77"/>
      <c r="W7" s="77"/>
      <c r="X7" s="77"/>
      <c r="Y7" s="77" t="str">
        <f ca="1">IFERROR(__xludf.DUMMYFUNCTION("""COMPUTED_VALUE"""),"OSDE")</f>
        <v>OSDE</v>
      </c>
      <c r="Z7" s="75" t="str">
        <f ca="1">IFERROR(__xludf.DUMMYFUNCTION("""COMPUTED_VALUE"""),"Si")</f>
        <v>Si</v>
      </c>
      <c r="AA7" s="75" t="str">
        <f ca="1">IFERROR(__xludf.DUMMYFUNCTION("""COMPUTED_VALUE"""),"Acepto")</f>
        <v>Acepto</v>
      </c>
      <c r="AB7" s="75" t="str">
        <f ca="1">IFERROR(__xludf.DUMMYFUNCTION("""COMPUTED_VALUE"""),"Terminado")</f>
        <v>Terminado</v>
      </c>
      <c r="AC7" s="77">
        <f ca="1">IFERROR(__xludf.DUMMYFUNCTION("""COMPUTED_VALUE"""),45000)</f>
        <v>45000</v>
      </c>
      <c r="AD7" s="77">
        <f ca="1">IFERROR(__xludf.DUMMYFUNCTION("""COMPUTED_VALUE"""),205061)</f>
        <v>205061</v>
      </c>
      <c r="AE7" s="77" t="str">
        <f ca="1">IFERROR(__xludf.DUMMYFUNCTION("""COMPUTED_VALUE"""),"TRF 27-08")</f>
        <v>TRF 27-08</v>
      </c>
      <c r="AF7" s="77"/>
      <c r="AG7" s="77"/>
      <c r="AH7" s="77"/>
    </row>
    <row r="8" spans="1:34" ht="13.2">
      <c r="B8" s="89">
        <f ca="1">IFERROR(__xludf.DUMMYFUNCTION("""COMPUTED_VALUE"""),45532.3776852199)</f>
        <v>45532.377685219901</v>
      </c>
      <c r="C8" s="74" t="str">
        <f ca="1">IFERROR(__xludf.DUMMYFUNCTION("""COMPUTED_VALUE"""),"Grecia")</f>
        <v>Grecia</v>
      </c>
      <c r="D8" s="74" t="str">
        <f ca="1">IFERROR(__xludf.DUMMYFUNCTION("""COMPUTED_VALUE"""),"Lenzetti Colin")</f>
        <v>Lenzetti Colin</v>
      </c>
      <c r="E8" s="74" t="str">
        <f ca="1">IFERROR(__xludf.DUMMYFUNCTION("""COMPUTED_VALUE"""),"La Plata")</f>
        <v>La Plata</v>
      </c>
      <c r="F8" s="74" t="str">
        <f ca="1">IFERROR(__xludf.DUMMYFUNCTION("""COMPUTED_VALUE"""),"ARG")</f>
        <v>ARG</v>
      </c>
      <c r="G8" s="74">
        <f ca="1">IFERROR(__xludf.DUMMYFUNCTION("""COMPUTED_VALUE"""),48922460)</f>
        <v>48922460</v>
      </c>
      <c r="H8" s="90">
        <f ca="1">IFERROR(__xludf.DUMMYFUNCTION("""COMPUTED_VALUE"""),39692)</f>
        <v>39692</v>
      </c>
      <c r="I8" s="74">
        <f ca="1">IFERROR(__xludf.DUMMYFUNCTION("""COMPUTED_VALUE"""),2213573333)</f>
        <v>2213573333</v>
      </c>
      <c r="J8" s="74">
        <f ca="1">IFERROR(__xludf.DUMMYFUNCTION("""COMPUTED_VALUE"""),2213573333)</f>
        <v>2213573333</v>
      </c>
      <c r="K8" s="74" t="str">
        <f ca="1">IFERROR(__xludf.DUMMYFUNCTION("""COMPUTED_VALUE"""),"martin.lenzetti@gmail.com")</f>
        <v>martin.lenzetti@gmail.com</v>
      </c>
      <c r="L8" s="74" t="str">
        <f ca="1">IFERROR(__xludf.DUMMYFUNCTION("""COMPUTED_VALUE"""),"Femenino")</f>
        <v>Femenino</v>
      </c>
      <c r="M8" s="74" t="str">
        <f ca="1">IFERROR(__xludf.DUMMYFUNCTION("""COMPUTED_VALUE"""),"CRLP")</f>
        <v>CRLP</v>
      </c>
      <c r="N8" s="74" t="str">
        <f ca="1">IFERROR(__xludf.DUMMYFUNCTION("""COMPUTED_VALUE"""),"Femenino")</f>
        <v>Femenino</v>
      </c>
      <c r="O8" s="74" t="str">
        <f ca="1">IFERROR(__xludf.DUMMYFUNCTION("""COMPUTED_VALUE"""),"ILCA 4")</f>
        <v>ILCA 4</v>
      </c>
      <c r="P8" s="74"/>
      <c r="Q8" s="74">
        <f ca="1">IFERROR(__xludf.DUMMYFUNCTION("""COMPUTED_VALUE"""),221267)</f>
        <v>221267</v>
      </c>
      <c r="R8" s="77"/>
      <c r="S8" s="77"/>
      <c r="T8" s="77"/>
      <c r="U8" s="77"/>
      <c r="V8" s="77"/>
      <c r="W8" s="77"/>
      <c r="X8" s="77"/>
      <c r="Y8" s="77" t="str">
        <f ca="1">IFERROR(__xludf.DUMMYFUNCTION("""COMPUTED_VALUE"""),"Swiss Medical / Nº8000063965174030015")</f>
        <v>Swiss Medical / Nº8000063965174030015</v>
      </c>
      <c r="Z8" s="75" t="str">
        <f ca="1">IFERROR(__xludf.DUMMYFUNCTION("""COMPUTED_VALUE"""),"No")</f>
        <v>No</v>
      </c>
      <c r="AA8" s="75" t="str">
        <f ca="1">IFERROR(__xludf.DUMMYFUNCTION("""COMPUTED_VALUE"""),"Acepto")</f>
        <v>Acepto</v>
      </c>
      <c r="AB8" s="75" t="str">
        <f ca="1">IFERROR(__xludf.DUMMYFUNCTION("""COMPUTED_VALUE"""),"Terminado")</f>
        <v>Terminado</v>
      </c>
      <c r="AC8" s="77">
        <f ca="1">IFERROR(__xludf.DUMMYFUNCTION("""COMPUTED_VALUE"""),45000)</f>
        <v>45000</v>
      </c>
      <c r="AD8" s="77">
        <f ca="1">IFERROR(__xludf.DUMMYFUNCTION("""COMPUTED_VALUE"""),205065)</f>
        <v>205065</v>
      </c>
      <c r="AE8" s="77" t="str">
        <f ca="1">IFERROR(__xludf.DUMMYFUNCTION("""COMPUTED_VALUE"""),"TRF 28-08")</f>
        <v>TRF 28-08</v>
      </c>
      <c r="AF8" s="77"/>
      <c r="AG8" s="77"/>
      <c r="AH8" s="77"/>
    </row>
    <row r="9" spans="1:34" ht="13.2">
      <c r="B9" s="89">
        <f ca="1">IFERROR(__xludf.DUMMYFUNCTION("""COMPUTED_VALUE"""),45535.7385583796)</f>
        <v>45535.738558379599</v>
      </c>
      <c r="C9" s="74" t="str">
        <f ca="1">IFERROR(__xludf.DUMMYFUNCTION("""COMPUTED_VALUE"""),"Felix ")</f>
        <v xml:space="preserve">Felix </v>
      </c>
      <c r="D9" s="74" t="str">
        <f ca="1">IFERROR(__xludf.DUMMYFUNCTION("""COMPUTED_VALUE"""),"Pereyra Iraola ")</f>
        <v xml:space="preserve">Pereyra Iraola </v>
      </c>
      <c r="E9" s="74" t="str">
        <f ca="1">IFERROR(__xludf.DUMMYFUNCTION("""COMPUTED_VALUE"""),"CABA ")</f>
        <v xml:space="preserve">CABA </v>
      </c>
      <c r="F9" s="74" t="str">
        <f ca="1">IFERROR(__xludf.DUMMYFUNCTION("""COMPUTED_VALUE"""),"ARG")</f>
        <v>ARG</v>
      </c>
      <c r="G9" s="74">
        <f ca="1">IFERROR(__xludf.DUMMYFUNCTION("""COMPUTED_VALUE"""),48462484)</f>
        <v>48462484</v>
      </c>
      <c r="H9" s="90">
        <f ca="1">IFERROR(__xludf.DUMMYFUNCTION("""COMPUTED_VALUE"""),39489)</f>
        <v>39489</v>
      </c>
      <c r="I9" s="74">
        <f ca="1">IFERROR(__xludf.DUMMYFUNCTION("""COMPUTED_VALUE"""),1167438705)</f>
        <v>1167438705</v>
      </c>
      <c r="J9" s="74">
        <f ca="1">IFERROR(__xludf.DUMMYFUNCTION("""COMPUTED_VALUE"""),1153244102)</f>
        <v>1153244102</v>
      </c>
      <c r="K9" s="74" t="str">
        <f ca="1">IFERROR(__xludf.DUMMYFUNCTION("""COMPUTED_VALUE"""),"pereyrairaolafelixd@gmail.com")</f>
        <v>pereyrairaolafelixd@gmail.com</v>
      </c>
      <c r="L9" s="74" t="str">
        <f ca="1">IFERROR(__xludf.DUMMYFUNCTION("""COMPUTED_VALUE"""),"Masculino")</f>
        <v>Masculino</v>
      </c>
      <c r="M9" s="74" t="str">
        <f ca="1">IFERROR(__xludf.DUMMYFUNCTION("""COMPUTED_VALUE"""),"YCA")</f>
        <v>YCA</v>
      </c>
      <c r="N9" s="74"/>
      <c r="O9" s="74" t="str">
        <f ca="1">IFERROR(__xludf.DUMMYFUNCTION("""COMPUTED_VALUE"""),"ILCA 4")</f>
        <v>ILCA 4</v>
      </c>
      <c r="P9" s="74"/>
      <c r="Q9" s="74">
        <f ca="1">IFERROR(__xludf.DUMMYFUNCTION("""COMPUTED_VALUE"""),224775)</f>
        <v>224775</v>
      </c>
      <c r="R9" s="77"/>
      <c r="S9" s="77"/>
      <c r="T9" s="77"/>
      <c r="U9" s="77"/>
      <c r="V9" s="77"/>
      <c r="W9" s="77"/>
      <c r="X9" s="77"/>
      <c r="Y9" s="77" t="str">
        <f ca="1">IFERROR(__xludf.DUMMYFUNCTION("""COMPUTED_VALUE"""),"OSDE")</f>
        <v>OSDE</v>
      </c>
      <c r="Z9" s="75" t="str">
        <f ca="1">IFERROR(__xludf.DUMMYFUNCTION("""COMPUTED_VALUE"""),"No")</f>
        <v>No</v>
      </c>
      <c r="AA9" s="75" t="str">
        <f ca="1">IFERROR(__xludf.DUMMYFUNCTION("""COMPUTED_VALUE"""),"Acepto")</f>
        <v>Acepto</v>
      </c>
      <c r="AB9" s="75" t="str">
        <f ca="1">IFERROR(__xludf.DUMMYFUNCTION("""COMPUTED_VALUE"""),"Terminado")</f>
        <v>Terminado</v>
      </c>
      <c r="AC9" s="77">
        <f ca="1">IFERROR(__xludf.DUMMYFUNCTION("""COMPUTED_VALUE"""),45000)</f>
        <v>45000</v>
      </c>
      <c r="AD9" s="77">
        <f ca="1">IFERROR(__xludf.DUMMYFUNCTION("""COMPUTED_VALUE"""),205350)</f>
        <v>205350</v>
      </c>
      <c r="AE9" s="77" t="str">
        <f ca="1">IFERROR(__xludf.DUMMYFUNCTION("""COMPUTED_VALUE"""),"TRF 31-08")</f>
        <v>TRF 31-08</v>
      </c>
      <c r="AF9" s="77"/>
      <c r="AG9" s="77"/>
      <c r="AH9" s="77"/>
    </row>
    <row r="10" spans="1:34" ht="13.2">
      <c r="B10" s="89">
        <f ca="1">IFERROR(__xludf.DUMMYFUNCTION("""COMPUTED_VALUE"""),45533.9115653125)</f>
        <v>45533.911565312497</v>
      </c>
      <c r="C10" s="74" t="str">
        <f ca="1">IFERROR(__xludf.DUMMYFUNCTION("""COMPUTED_VALUE"""),"andreafde@gmail.com")</f>
        <v>andreafde@gmail.com</v>
      </c>
      <c r="D10" s="74" t="str">
        <f ca="1">IFERROR(__xludf.DUMMYFUNCTION("""COMPUTED_VALUE"""),"Ronchi De croce")</f>
        <v>Ronchi De croce</v>
      </c>
      <c r="E10" s="74" t="str">
        <f ca="1">IFERROR(__xludf.DUMMYFUNCTION("""COMPUTED_VALUE"""),"Buenos aires")</f>
        <v>Buenos aires</v>
      </c>
      <c r="F10" s="74" t="str">
        <f ca="1">IFERROR(__xludf.DUMMYFUNCTION("""COMPUTED_VALUE"""),"ARG")</f>
        <v>ARG</v>
      </c>
      <c r="G10" s="74">
        <f ca="1">IFERROR(__xludf.DUMMYFUNCTION("""COMPUTED_VALUE"""),49422694)</f>
        <v>49422694</v>
      </c>
      <c r="H10" s="90">
        <f ca="1">IFERROR(__xludf.DUMMYFUNCTION("""COMPUTED_VALUE"""),40127)</f>
        <v>40127</v>
      </c>
      <c r="I10" s="74">
        <f ca="1">IFERROR(__xludf.DUMMYFUNCTION("""COMPUTED_VALUE"""),1144293417)</f>
        <v>1144293417</v>
      </c>
      <c r="J10" s="74">
        <f ca="1">IFERROR(__xludf.DUMMYFUNCTION("""COMPUTED_VALUE"""),1144293417)</f>
        <v>1144293417</v>
      </c>
      <c r="K10" s="74" t="str">
        <f ca="1">IFERROR(__xludf.DUMMYFUNCTION("""COMPUTED_VALUE"""),"andreafde@gmail.com")</f>
        <v>andreafde@gmail.com</v>
      </c>
      <c r="L10" s="74" t="str">
        <f ca="1">IFERROR(__xludf.DUMMYFUNCTION("""COMPUTED_VALUE"""),"Masculino")</f>
        <v>Masculino</v>
      </c>
      <c r="M10" s="74" t="str">
        <f ca="1">IFERROR(__xludf.DUMMYFUNCTION("""COMPUTED_VALUE"""),"YCA")</f>
        <v>YCA</v>
      </c>
      <c r="N10" s="74" t="str">
        <f ca="1">IFERROR(__xludf.DUMMYFUNCTION("""COMPUTED_VALUE"""),"Master (ILCA)")</f>
        <v>Master (ILCA)</v>
      </c>
      <c r="O10" s="74" t="str">
        <f ca="1">IFERROR(__xludf.DUMMYFUNCTION("""COMPUTED_VALUE"""),"ILCA 4")</f>
        <v>ILCA 4</v>
      </c>
      <c r="P10" s="74"/>
      <c r="Q10" s="74">
        <f ca="1">IFERROR(__xludf.DUMMYFUNCTION("""COMPUTED_VALUE"""),224587)</f>
        <v>224587</v>
      </c>
      <c r="R10" s="77"/>
      <c r="S10" s="77" t="str">
        <f ca="1">IFERROR(__xludf.DUMMYFUNCTION("""COMPUTED_VALUE"""),"Santino Ronchi De Croce ")</f>
        <v xml:space="preserve">Santino Ronchi De Croce </v>
      </c>
      <c r="T10" s="77"/>
      <c r="U10" s="77"/>
      <c r="V10" s="77"/>
      <c r="W10" s="77"/>
      <c r="X10" s="77"/>
      <c r="Y10" s="77"/>
      <c r="Z10" s="75" t="str">
        <f ca="1">IFERROR(__xludf.DUMMYFUNCTION("""COMPUTED_VALUE"""),"No")</f>
        <v>No</v>
      </c>
      <c r="AA10" s="75" t="str">
        <f ca="1">IFERROR(__xludf.DUMMYFUNCTION("""COMPUTED_VALUE"""),"Acepto")</f>
        <v>Acepto</v>
      </c>
      <c r="AB10" s="75" t="str">
        <f ca="1">IFERROR(__xludf.DUMMYFUNCTION("""COMPUTED_VALUE"""),"Terminado")</f>
        <v>Terminado</v>
      </c>
      <c r="AC10" s="77">
        <f ca="1">IFERROR(__xludf.DUMMYFUNCTION("""COMPUTED_VALUE"""),45000)</f>
        <v>45000</v>
      </c>
      <c r="AD10" s="77">
        <f ca="1">IFERROR(__xludf.DUMMYFUNCTION("""COMPUTED_VALUE"""),205095)</f>
        <v>205095</v>
      </c>
      <c r="AE10" s="77" t="str">
        <f ca="1">IFERROR(__xludf.DUMMYFUNCTION("""COMPUTED_VALUE"""),"TRF 30-08")</f>
        <v>TRF 30-08</v>
      </c>
      <c r="AF10" s="77"/>
      <c r="AG10" s="77"/>
      <c r="AH10" s="77"/>
    </row>
    <row r="11" spans="1:34" ht="13.2">
      <c r="B11" s="89">
        <f ca="1">IFERROR(__xludf.DUMMYFUNCTION("""COMPUTED_VALUE"""),45535.7184804629)</f>
        <v>45535.7184804629</v>
      </c>
      <c r="C11" s="74" t="str">
        <f ca="1">IFERROR(__xludf.DUMMYFUNCTION("""COMPUTED_VALUE"""),"Martín Sebastian")</f>
        <v>Martín Sebastian</v>
      </c>
      <c r="D11" s="74" t="str">
        <f ca="1">IFERROR(__xludf.DUMMYFUNCTION("""COMPUTED_VALUE"""),"Tejada Ibañez")</f>
        <v>Tejada Ibañez</v>
      </c>
      <c r="E11" s="74" t="str">
        <f ca="1">IFERROR(__xludf.DUMMYFUNCTION("""COMPUTED_VALUE"""),"Buenos Aires")</f>
        <v>Buenos Aires</v>
      </c>
      <c r="F11" s="74" t="str">
        <f ca="1">IFERROR(__xludf.DUMMYFUNCTION("""COMPUTED_VALUE"""),"ARG")</f>
        <v>ARG</v>
      </c>
      <c r="G11" s="74">
        <f ca="1">IFERROR(__xludf.DUMMYFUNCTION("""COMPUTED_VALUE"""),48938150)</f>
        <v>48938150</v>
      </c>
      <c r="H11" s="90">
        <f ca="1">IFERROR(__xludf.DUMMYFUNCTION("""COMPUTED_VALUE"""),39632)</f>
        <v>39632</v>
      </c>
      <c r="I11" s="74" t="str">
        <f ca="1">IFERROR(__xludf.DUMMYFUNCTION("""COMPUTED_VALUE"""),"+5492213553303")</f>
        <v>+5492213553303</v>
      </c>
      <c r="J11" s="74" t="str">
        <f ca="1">IFERROR(__xludf.DUMMYFUNCTION("""COMPUTED_VALUE"""),"+5492215036037")</f>
        <v>+5492215036037</v>
      </c>
      <c r="K11" s="74" t="str">
        <f ca="1">IFERROR(__xludf.DUMMYFUNCTION("""COMPUTED_VALUE"""),"martintejadaibanez@gmail.com")</f>
        <v>martintejadaibanez@gmail.com</v>
      </c>
      <c r="L11" s="74" t="str">
        <f ca="1">IFERROR(__xludf.DUMMYFUNCTION("""COMPUTED_VALUE"""),"Masculino")</f>
        <v>Masculino</v>
      </c>
      <c r="M11" s="74" t="str">
        <f ca="1">IFERROR(__xludf.DUMMYFUNCTION("""COMPUTED_VALUE"""),"CNAs")</f>
        <v>CNAs</v>
      </c>
      <c r="N11" s="74"/>
      <c r="O11" s="74" t="str">
        <f ca="1">IFERROR(__xludf.DUMMYFUNCTION("""COMPUTED_VALUE"""),"ILCA 4")</f>
        <v>ILCA 4</v>
      </c>
      <c r="P11" s="74"/>
      <c r="Q11" s="74">
        <f ca="1">IFERROR(__xludf.DUMMYFUNCTION("""COMPUTED_VALUE"""),224809)</f>
        <v>224809</v>
      </c>
      <c r="R11" s="77" t="str">
        <f ca="1">IFERROR(__xludf.DUMMYFUNCTION("""COMPUTED_VALUE"""),"PROMETEO")</f>
        <v>PROMETEO</v>
      </c>
      <c r="S11" s="77"/>
      <c r="T11" s="77"/>
      <c r="U11" s="77"/>
      <c r="V11" s="77"/>
      <c r="W11" s="77"/>
      <c r="X11" s="77"/>
      <c r="Y11" s="77" t="str">
        <f ca="1">IFERROR(__xludf.DUMMYFUNCTION("""COMPUTED_VALUE"""),"Osde")</f>
        <v>Osde</v>
      </c>
      <c r="Z11" s="75" t="str">
        <f ca="1">IFERROR(__xludf.DUMMYFUNCTION("""COMPUTED_VALUE"""),"Si")</f>
        <v>Si</v>
      </c>
      <c r="AA11" s="75" t="str">
        <f ca="1">IFERROR(__xludf.DUMMYFUNCTION("""COMPUTED_VALUE"""),"Acepto")</f>
        <v>Acepto</v>
      </c>
      <c r="AB11" s="75" t="str">
        <f ca="1">IFERROR(__xludf.DUMMYFUNCTION("""COMPUTED_VALUE"""),"Pendiente")</f>
        <v>Pendiente</v>
      </c>
      <c r="AC11" s="77"/>
      <c r="AD11" s="77"/>
      <c r="AE11" s="77"/>
      <c r="AF11" s="77"/>
      <c r="AG11" s="77"/>
      <c r="AH11" s="77"/>
    </row>
    <row r="12" spans="1:34" ht="13.2">
      <c r="B12" s="91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7"/>
      <c r="S12" s="77"/>
      <c r="T12" s="77"/>
      <c r="U12" s="77"/>
      <c r="V12" s="77"/>
      <c r="W12" s="77"/>
      <c r="X12" s="77"/>
      <c r="Y12" s="77"/>
      <c r="Z12" s="75"/>
      <c r="AA12" s="75"/>
      <c r="AB12" s="75"/>
      <c r="AC12" s="77"/>
      <c r="AD12" s="77"/>
      <c r="AE12" s="77"/>
      <c r="AF12" s="77"/>
      <c r="AG12" s="77"/>
      <c r="AH12" s="77"/>
    </row>
    <row r="13" spans="1:34" ht="13.2">
      <c r="B13" s="91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7"/>
      <c r="S13" s="77"/>
      <c r="T13" s="77"/>
      <c r="U13" s="77"/>
      <c r="V13" s="77"/>
      <c r="W13" s="77"/>
      <c r="X13" s="77"/>
      <c r="Y13" s="77"/>
      <c r="Z13" s="75"/>
      <c r="AA13" s="75"/>
      <c r="AB13" s="75"/>
      <c r="AC13" s="77"/>
      <c r="AD13" s="77"/>
      <c r="AE13" s="77"/>
      <c r="AF13" s="77"/>
      <c r="AG13" s="77"/>
      <c r="AH13" s="77"/>
    </row>
    <row r="14" spans="1:34" ht="13.2">
      <c r="B14" s="91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7"/>
      <c r="S14" s="77"/>
      <c r="T14" s="77"/>
      <c r="U14" s="77"/>
      <c r="V14" s="77"/>
      <c r="W14" s="77"/>
      <c r="X14" s="77"/>
      <c r="Y14" s="77"/>
      <c r="Z14" s="75"/>
      <c r="AA14" s="75"/>
      <c r="AB14" s="75"/>
      <c r="AC14" s="77"/>
      <c r="AD14" s="77"/>
      <c r="AE14" s="77"/>
      <c r="AF14" s="77"/>
      <c r="AG14" s="77"/>
      <c r="AH14" s="77"/>
    </row>
    <row r="15" spans="1:34" ht="13.2">
      <c r="B15" s="91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7"/>
      <c r="S15" s="77"/>
      <c r="T15" s="77"/>
      <c r="U15" s="77"/>
      <c r="V15" s="77"/>
      <c r="W15" s="77"/>
      <c r="X15" s="77"/>
      <c r="Y15" s="77"/>
      <c r="Z15" s="75"/>
      <c r="AA15" s="75"/>
      <c r="AB15" s="75"/>
      <c r="AC15" s="77"/>
      <c r="AD15" s="77"/>
      <c r="AE15" s="77"/>
      <c r="AF15" s="77"/>
      <c r="AG15" s="77"/>
      <c r="AH15" s="77"/>
    </row>
    <row r="16" spans="1:34" ht="13.2">
      <c r="B16" s="85"/>
      <c r="C16" s="36"/>
      <c r="D16" s="36"/>
      <c r="E16" s="36"/>
      <c r="F16" s="36"/>
      <c r="G16" s="6"/>
      <c r="Z16" s="6"/>
      <c r="AA16" s="6"/>
      <c r="AB16" s="6"/>
    </row>
    <row r="17" spans="2:28" ht="13.2">
      <c r="B17" s="85"/>
      <c r="C17" s="36"/>
      <c r="D17" s="36"/>
      <c r="E17" s="36"/>
      <c r="F17" s="36"/>
      <c r="G17" s="6"/>
      <c r="Z17" s="6"/>
      <c r="AA17" s="6"/>
      <c r="AB17" s="6"/>
    </row>
    <row r="18" spans="2:28" ht="13.2">
      <c r="B18" s="85"/>
      <c r="C18" s="36"/>
      <c r="D18" s="36"/>
      <c r="E18" s="36"/>
      <c r="F18" s="36"/>
      <c r="G18" s="6"/>
      <c r="Z18" s="6"/>
      <c r="AA18" s="6"/>
      <c r="AB18" s="6"/>
    </row>
    <row r="19" spans="2:28" ht="13.2">
      <c r="B19" s="85"/>
      <c r="C19" s="36"/>
      <c r="D19" s="36"/>
      <c r="E19" s="36"/>
      <c r="F19" s="36"/>
      <c r="G19" s="6"/>
      <c r="Z19" s="6"/>
      <c r="AA19" s="6"/>
      <c r="AB19" s="6"/>
    </row>
    <row r="20" spans="2:28" ht="13.2">
      <c r="B20" s="85"/>
      <c r="C20" s="36"/>
      <c r="D20" s="36"/>
      <c r="E20" s="36"/>
      <c r="F20" s="36"/>
      <c r="G20" s="6"/>
      <c r="Z20" s="6"/>
      <c r="AA20" s="6"/>
      <c r="AB20" s="6"/>
    </row>
    <row r="21" spans="2:28" ht="13.2">
      <c r="B21" s="85"/>
      <c r="C21" s="36"/>
      <c r="D21" s="36"/>
      <c r="E21" s="36"/>
      <c r="F21" s="36"/>
      <c r="G21" s="6"/>
      <c r="Z21" s="6"/>
      <c r="AA21" s="6"/>
      <c r="AB21" s="6"/>
    </row>
    <row r="22" spans="2:28" ht="13.2">
      <c r="B22" s="85"/>
      <c r="D22" s="6"/>
      <c r="E22" s="6"/>
      <c r="F22" s="6"/>
      <c r="G22" s="6"/>
    </row>
    <row r="23" spans="2:28" ht="13.2">
      <c r="B23" s="85"/>
      <c r="D23" s="6"/>
      <c r="E23" s="6"/>
      <c r="F23" s="6"/>
      <c r="G23" s="6"/>
    </row>
    <row r="24" spans="2:28" ht="13.2">
      <c r="D24" s="6"/>
      <c r="E24" s="6"/>
      <c r="F24" s="6"/>
      <c r="G24" s="6"/>
    </row>
    <row r="25" spans="2:28" ht="13.2">
      <c r="D25" s="6"/>
      <c r="E25" s="6"/>
      <c r="F25" s="6"/>
      <c r="G25" s="6"/>
    </row>
    <row r="26" spans="2:28" ht="13.2">
      <c r="D26" s="6"/>
      <c r="E26" s="6"/>
      <c r="F26" s="6"/>
      <c r="G26" s="6"/>
    </row>
    <row r="27" spans="2:28" ht="13.2">
      <c r="D27" s="6"/>
      <c r="E27" s="6"/>
      <c r="F27" s="6"/>
      <c r="G27" s="6"/>
    </row>
    <row r="28" spans="2:28" ht="13.2">
      <c r="D28" s="6"/>
      <c r="E28" s="6"/>
      <c r="F28" s="6"/>
      <c r="G28" s="6"/>
    </row>
    <row r="29" spans="2:28" ht="13.2">
      <c r="D29" s="6"/>
      <c r="E29" s="6"/>
      <c r="F29" s="6"/>
      <c r="G29" s="6"/>
    </row>
    <row r="30" spans="2:28" ht="13.2">
      <c r="D30" s="6"/>
      <c r="E30" s="6"/>
      <c r="F30" s="6"/>
      <c r="G30" s="6"/>
    </row>
    <row r="31" spans="2:28" ht="13.2">
      <c r="D31" s="6"/>
      <c r="E31" s="6"/>
      <c r="F31" s="6"/>
      <c r="G31" s="6"/>
    </row>
    <row r="32" spans="2:28" ht="13.2">
      <c r="D32" s="6"/>
      <c r="E32" s="6"/>
      <c r="F32" s="6"/>
      <c r="G32" s="6"/>
    </row>
    <row r="33" spans="4:7" ht="13.2">
      <c r="D33" s="6"/>
      <c r="E33" s="6"/>
      <c r="F33" s="6"/>
      <c r="G33" s="6"/>
    </row>
    <row r="34" spans="4:7" ht="13.2">
      <c r="D34" s="6"/>
      <c r="E34" s="6"/>
      <c r="F34" s="6"/>
      <c r="G34" s="6"/>
    </row>
    <row r="35" spans="4:7" ht="13.2">
      <c r="D35" s="6"/>
      <c r="E35" s="6"/>
      <c r="F35" s="6"/>
      <c r="G35" s="6"/>
    </row>
    <row r="36" spans="4:7" ht="13.2">
      <c r="D36" s="6"/>
      <c r="E36" s="6"/>
      <c r="F36" s="6"/>
      <c r="G36" s="6"/>
    </row>
    <row r="37" spans="4:7" ht="13.2">
      <c r="D37" s="6"/>
      <c r="E37" s="6"/>
      <c r="F37" s="6"/>
      <c r="G37" s="6"/>
    </row>
    <row r="38" spans="4:7" ht="13.2">
      <c r="D38" s="6"/>
      <c r="E38" s="6"/>
      <c r="F38" s="6"/>
      <c r="G38" s="6"/>
    </row>
    <row r="39" spans="4:7" ht="13.2">
      <c r="D39" s="6"/>
      <c r="E39" s="6"/>
      <c r="F39" s="6"/>
      <c r="G39" s="6"/>
    </row>
    <row r="40" spans="4:7" ht="13.2">
      <c r="D40" s="6"/>
      <c r="E40" s="6"/>
      <c r="F40" s="6"/>
      <c r="G40" s="6"/>
    </row>
    <row r="41" spans="4:7" ht="13.2">
      <c r="D41" s="6"/>
      <c r="E41" s="6"/>
      <c r="F41" s="6"/>
      <c r="G41" s="6"/>
    </row>
    <row r="42" spans="4:7" ht="13.2">
      <c r="D42" s="6"/>
      <c r="E42" s="6"/>
      <c r="F42" s="6"/>
      <c r="G42" s="6"/>
    </row>
    <row r="43" spans="4:7" ht="13.2">
      <c r="D43" s="6"/>
      <c r="E43" s="6"/>
      <c r="F43" s="6"/>
      <c r="G43" s="6"/>
    </row>
    <row r="44" spans="4:7" ht="13.2">
      <c r="D44" s="6"/>
      <c r="E44" s="6"/>
      <c r="F44" s="6"/>
      <c r="G44" s="6"/>
    </row>
    <row r="45" spans="4:7" ht="13.2">
      <c r="D45" s="6"/>
      <c r="E45" s="6"/>
      <c r="F45" s="6"/>
      <c r="G45" s="6"/>
    </row>
    <row r="46" spans="4:7" ht="13.2">
      <c r="D46" s="6"/>
      <c r="E46" s="6"/>
      <c r="F46" s="6"/>
      <c r="G46" s="6"/>
    </row>
    <row r="47" spans="4:7" ht="13.2">
      <c r="D47" s="6"/>
      <c r="E47" s="6"/>
      <c r="F47" s="6"/>
      <c r="G47" s="6"/>
    </row>
    <row r="48" spans="4:7" ht="13.2">
      <c r="E48" s="6"/>
      <c r="F48" s="6"/>
      <c r="G48" s="6"/>
    </row>
    <row r="49" spans="5:7" ht="13.2">
      <c r="E49" s="6"/>
      <c r="F49" s="6"/>
      <c r="G49" s="6"/>
    </row>
    <row r="50" spans="5:7" ht="13.2">
      <c r="E50" s="6"/>
      <c r="F50" s="6"/>
      <c r="G50" s="6"/>
    </row>
    <row r="51" spans="5:7" ht="13.2">
      <c r="E51" s="6"/>
      <c r="F51" s="6"/>
      <c r="G51" s="6"/>
    </row>
    <row r="52" spans="5:7" ht="13.2">
      <c r="E52" s="6"/>
      <c r="F52" s="6"/>
      <c r="G52" s="6"/>
    </row>
    <row r="53" spans="5:7" ht="13.2">
      <c r="E53" s="6"/>
      <c r="F53" s="6"/>
      <c r="G53" s="6"/>
    </row>
    <row r="54" spans="5:7" ht="13.2">
      <c r="E54" s="6"/>
      <c r="F54" s="6"/>
      <c r="G54" s="6"/>
    </row>
    <row r="55" spans="5:7" ht="13.2">
      <c r="E55" s="6"/>
      <c r="F55" s="6"/>
      <c r="G55" s="6"/>
    </row>
    <row r="56" spans="5:7" ht="13.2">
      <c r="E56" s="6"/>
      <c r="F56" s="6"/>
      <c r="G56" s="6"/>
    </row>
    <row r="57" spans="5:7" ht="13.2">
      <c r="E57" s="6"/>
      <c r="F57" s="6"/>
      <c r="G57" s="6"/>
    </row>
    <row r="58" spans="5:7" ht="13.2">
      <c r="E58" s="6"/>
      <c r="F58" s="6"/>
      <c r="G58" s="6"/>
    </row>
    <row r="59" spans="5:7" ht="13.2">
      <c r="E59" s="6"/>
      <c r="F59" s="6"/>
      <c r="G59" s="6"/>
    </row>
    <row r="60" spans="5:7" ht="13.2">
      <c r="E60" s="6"/>
      <c r="F60" s="6"/>
      <c r="G60" s="6"/>
    </row>
    <row r="61" spans="5:7" ht="13.2">
      <c r="E61" s="6"/>
      <c r="F61" s="6"/>
      <c r="G61" s="6"/>
    </row>
    <row r="62" spans="5:7" ht="13.2">
      <c r="E62" s="6"/>
      <c r="F62" s="6"/>
      <c r="G62" s="6"/>
    </row>
    <row r="63" spans="5:7" ht="13.2">
      <c r="E63" s="6"/>
      <c r="F63" s="6"/>
      <c r="G63" s="6"/>
    </row>
    <row r="64" spans="5:7" ht="13.2">
      <c r="E64" s="6"/>
      <c r="F64" s="6"/>
      <c r="G64" s="6"/>
    </row>
    <row r="65" spans="5:7" ht="13.2">
      <c r="E65" s="6"/>
      <c r="F65" s="6"/>
      <c r="G65" s="6"/>
    </row>
    <row r="66" spans="5:7" ht="13.2">
      <c r="E66" s="6"/>
      <c r="F66" s="6"/>
      <c r="G66" s="6"/>
    </row>
    <row r="67" spans="5:7" ht="13.2">
      <c r="E67" s="6"/>
      <c r="F67" s="6"/>
      <c r="G67" s="6"/>
    </row>
    <row r="68" spans="5:7" ht="13.2">
      <c r="E68" s="6"/>
      <c r="F68" s="6"/>
      <c r="G68" s="6"/>
    </row>
    <row r="69" spans="5:7" ht="13.2">
      <c r="E69" s="6"/>
      <c r="F69" s="6"/>
      <c r="G69" s="6"/>
    </row>
    <row r="70" spans="5:7" ht="13.2">
      <c r="E70" s="6"/>
      <c r="F70" s="6"/>
      <c r="G70" s="6"/>
    </row>
    <row r="71" spans="5:7" ht="13.2">
      <c r="E71" s="6"/>
      <c r="F71" s="6"/>
      <c r="G71" s="6"/>
    </row>
    <row r="72" spans="5:7" ht="13.2">
      <c r="E72" s="6"/>
      <c r="F72" s="6"/>
      <c r="G72" s="6"/>
    </row>
    <row r="73" spans="5:7" ht="13.2">
      <c r="E73" s="6"/>
      <c r="F73" s="6"/>
      <c r="G73" s="6"/>
    </row>
    <row r="74" spans="5:7" ht="13.2">
      <c r="E74" s="6"/>
      <c r="F74" s="6"/>
      <c r="G74" s="6"/>
    </row>
    <row r="75" spans="5:7" ht="13.2">
      <c r="E75" s="6"/>
      <c r="F75" s="6"/>
      <c r="G75" s="6"/>
    </row>
    <row r="76" spans="5:7" ht="13.2">
      <c r="E76" s="6"/>
      <c r="F76" s="6"/>
      <c r="G76" s="6"/>
    </row>
    <row r="77" spans="5:7" ht="13.2">
      <c r="E77" s="6"/>
      <c r="F77" s="6"/>
      <c r="G77" s="6"/>
    </row>
    <row r="78" spans="5:7" ht="13.2">
      <c r="E78" s="6"/>
      <c r="F78" s="6"/>
      <c r="G78" s="6"/>
    </row>
    <row r="79" spans="5:7" ht="13.2">
      <c r="E79" s="6"/>
      <c r="F79" s="6"/>
      <c r="G79" s="6"/>
    </row>
    <row r="80" spans="5:7" ht="13.2">
      <c r="E80" s="6"/>
      <c r="F80" s="6"/>
      <c r="G80" s="6"/>
    </row>
    <row r="81" spans="5:7" ht="13.2">
      <c r="E81" s="6"/>
      <c r="F81" s="6"/>
      <c r="G81" s="6"/>
    </row>
    <row r="82" spans="5:7" ht="13.2">
      <c r="E82" s="6"/>
      <c r="F82" s="6"/>
      <c r="G82" s="6"/>
    </row>
    <row r="83" spans="5:7" ht="13.2">
      <c r="E83" s="6"/>
      <c r="F83" s="6"/>
      <c r="G83" s="6"/>
    </row>
    <row r="84" spans="5:7" ht="13.2">
      <c r="E84" s="6"/>
      <c r="F84" s="6"/>
      <c r="G84" s="6"/>
    </row>
    <row r="85" spans="5:7" ht="13.2">
      <c r="E85" s="6"/>
      <c r="F85" s="6"/>
      <c r="G85" s="6"/>
    </row>
    <row r="86" spans="5:7" ht="13.2">
      <c r="E86" s="6"/>
      <c r="F86" s="6"/>
      <c r="G86" s="6"/>
    </row>
    <row r="87" spans="5:7" ht="13.2">
      <c r="E87" s="6"/>
      <c r="F87" s="6"/>
      <c r="G87" s="6"/>
    </row>
    <row r="88" spans="5:7" ht="13.2">
      <c r="E88" s="6"/>
      <c r="F88" s="6"/>
      <c r="G88" s="6"/>
    </row>
    <row r="89" spans="5:7" ht="13.2">
      <c r="E89" s="6"/>
      <c r="F89" s="6"/>
      <c r="G89" s="6"/>
    </row>
    <row r="90" spans="5:7" ht="13.2">
      <c r="E90" s="6"/>
      <c r="F90" s="6"/>
      <c r="G90" s="6"/>
    </row>
    <row r="91" spans="5:7" ht="13.2">
      <c r="E91" s="6"/>
      <c r="F91" s="6"/>
      <c r="G91" s="6"/>
    </row>
    <row r="92" spans="5:7" ht="13.2">
      <c r="E92" s="6"/>
      <c r="F92" s="6"/>
      <c r="G92" s="6"/>
    </row>
    <row r="93" spans="5:7" ht="13.2">
      <c r="E93" s="6"/>
      <c r="F93" s="6"/>
      <c r="G93" s="6"/>
    </row>
    <row r="94" spans="5:7" ht="13.2">
      <c r="E94" s="6"/>
      <c r="F94" s="6"/>
      <c r="G94" s="6"/>
    </row>
    <row r="95" spans="5:7" ht="13.2">
      <c r="E95" s="6"/>
      <c r="F95" s="6"/>
      <c r="G95" s="6"/>
    </row>
    <row r="96" spans="5:7" ht="13.2">
      <c r="E96" s="6"/>
      <c r="F96" s="6"/>
      <c r="G96" s="6"/>
    </row>
    <row r="97" spans="5:7" ht="13.2">
      <c r="E97" s="6"/>
      <c r="F97" s="6"/>
      <c r="G97" s="6"/>
    </row>
    <row r="98" spans="5:7" ht="13.2">
      <c r="E98" s="6"/>
      <c r="F98" s="6"/>
      <c r="G98" s="6"/>
    </row>
    <row r="99" spans="5:7" ht="13.2">
      <c r="E99" s="6"/>
      <c r="F99" s="6"/>
      <c r="G99" s="6"/>
    </row>
  </sheetData>
  <conditionalFormatting sqref="B4:B136">
    <cfRule type="cellIs" dxfId="24" priority="1" operator="equal">
      <formula>"Pago"</formula>
    </cfRule>
  </conditionalFormatting>
  <conditionalFormatting sqref="G1:G105 I2">
    <cfRule type="cellIs" dxfId="23" priority="2" operator="equal">
      <formula>"Si"</formula>
    </cfRule>
  </conditionalFormatting>
  <conditionalFormatting sqref="AB3:AB44">
    <cfRule type="cellIs" dxfId="22" priority="3" operator="equal">
      <formula>"Terminado"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General</vt:lpstr>
      <vt:lpstr>Pampero</vt:lpstr>
      <vt:lpstr>Snipe</vt:lpstr>
      <vt:lpstr>Grumete</vt:lpstr>
      <vt:lpstr>Optimist Principiantes</vt:lpstr>
      <vt:lpstr>Optimist Timoneles</vt:lpstr>
      <vt:lpstr>420</vt:lpstr>
      <vt:lpstr>WINGFOIL</vt:lpstr>
      <vt:lpstr>ILCA 4 (4.7)</vt:lpstr>
      <vt:lpstr>ILCA 6 (Radial)</vt:lpstr>
      <vt:lpstr>ILCA 7 (Standard)</vt:lpstr>
      <vt:lpstr>J70</vt:lpstr>
      <vt:lpstr>Star</vt:lpstr>
      <vt:lpstr>Cadet</vt:lpstr>
      <vt:lpstr>29er</vt:lpstr>
      <vt:lpstr>F18</vt:lpstr>
      <vt:lpstr>Match30</vt:lpstr>
      <vt:lpstr>ILCA MASTER</vt:lpstr>
      <vt:lpstr>Categorías</vt:lpstr>
      <vt:lpstr>Clases</vt:lpstr>
      <vt:lpstr>Datos</vt:lpstr>
      <vt:lpstr>Titulos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Cloos</dc:creator>
  <cp:lastModifiedBy>Nicolas Cloos</cp:lastModifiedBy>
  <dcterms:created xsi:type="dcterms:W3CDTF">2024-09-07T14:29:32Z</dcterms:created>
  <dcterms:modified xsi:type="dcterms:W3CDTF">2024-09-07T19:57:43Z</dcterms:modified>
</cp:coreProperties>
</file>