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 8" sheetId="1" r:id="rId4"/>
    <sheet state="visible" name="General" sheetId="2" r:id="rId5"/>
    <sheet state="visible" name="Snipe" sheetId="3" r:id="rId6"/>
    <sheet state="visible" name="Optimist Principiantes" sheetId="4" r:id="rId7"/>
    <sheet state="visible" name="Optimist Timoneles" sheetId="5" r:id="rId8"/>
    <sheet state="visible" name="420" sheetId="6" r:id="rId9"/>
    <sheet state="visible" name="WINGFOIL" sheetId="7" r:id="rId10"/>
    <sheet state="visible" name="ILCA 4 (4.7)" sheetId="8" r:id="rId11"/>
    <sheet state="visible" name="ILCA 6 (Radial)" sheetId="9" r:id="rId12"/>
    <sheet state="visible" name="ILCA 7 (Standard)" sheetId="10" r:id="rId13"/>
    <sheet state="visible" name="F18" sheetId="11" r:id="rId14"/>
    <sheet state="visible" name="Cadet" sheetId="12" r:id="rId15"/>
    <sheet state="visible" name="29er" sheetId="13" r:id="rId16"/>
    <sheet state="visible" name="Match30" sheetId="14" r:id="rId17"/>
    <sheet state="visible" name="Pampero" sheetId="15" r:id="rId18"/>
    <sheet state="visible" name="Star" sheetId="16" r:id="rId19"/>
    <sheet state="visible" name="J70" sheetId="17" r:id="rId20"/>
    <sheet state="visible" name="Grumete" sheetId="18" r:id="rId21"/>
    <sheet state="hidden" name="ILCA MASTER" sheetId="19" r:id="rId22"/>
  </sheets>
  <definedNames>
    <definedName name="Categorías">General!$M:$M</definedName>
    <definedName name="Clases">General!$N:$N</definedName>
    <definedName name="Titulos">General!$A$2:$AC$2</definedName>
    <definedName name="Datos">General!$A:$AF</definedName>
  </definedNames>
  <calcPr/>
</workbook>
</file>

<file path=xl/sharedStrings.xml><?xml version="1.0" encoding="utf-8"?>
<sst xmlns="http://schemas.openxmlformats.org/spreadsheetml/2006/main" count="103" uniqueCount="73">
  <si>
    <t>Listado General de Inscriptos</t>
  </si>
  <si>
    <t>Dia y Hora</t>
  </si>
  <si>
    <t>Nombre</t>
  </si>
  <si>
    <t>Apellido</t>
  </si>
  <si>
    <t>Ciudad</t>
  </si>
  <si>
    <t>Pais</t>
  </si>
  <si>
    <t>DNI</t>
  </si>
  <si>
    <t>Nacimiento</t>
  </si>
  <si>
    <t>Celular de Contacto</t>
  </si>
  <si>
    <t>Celular de Emergencias</t>
  </si>
  <si>
    <t>email</t>
  </si>
  <si>
    <t>Sexo</t>
  </si>
  <si>
    <t>Club</t>
  </si>
  <si>
    <t>Categoría</t>
  </si>
  <si>
    <t>Clase</t>
  </si>
  <si>
    <t>Proa Nº</t>
  </si>
  <si>
    <t>Vela</t>
  </si>
  <si>
    <t>Nombre del Barco</t>
  </si>
  <si>
    <t>Tripulante 1</t>
  </si>
  <si>
    <t>Tripulante 2</t>
  </si>
  <si>
    <t>Tripulante 3</t>
  </si>
  <si>
    <t>Tripulante 4</t>
  </si>
  <si>
    <t>Tripulante 5</t>
  </si>
  <si>
    <t>Tripulante 6</t>
  </si>
  <si>
    <t>Obra Social/Nº Afiliado</t>
  </si>
  <si>
    <t>Bajada YCO</t>
  </si>
  <si>
    <t>Términos y Condiciones</t>
  </si>
  <si>
    <t>Pago</t>
  </si>
  <si>
    <t>Importe</t>
  </si>
  <si>
    <t>RECIBO</t>
  </si>
  <si>
    <t>PGO</t>
  </si>
  <si>
    <t>Autorización FAY</t>
  </si>
  <si>
    <t>Acreditado</t>
  </si>
  <si>
    <t>GRAND PRIX INTERNACIONAL DE VELA "LUIS ALBERTO CERRATO"</t>
  </si>
  <si>
    <t>Lista de Inscriptos SNIPE</t>
  </si>
  <si>
    <t>Snipe</t>
  </si>
  <si>
    <t>f</t>
  </si>
  <si>
    <t>Lista de Inscriptos Clase OPTIMIST PRINCIPIANTES</t>
  </si>
  <si>
    <t>OPTIMIST PRINCIPIANTES</t>
  </si>
  <si>
    <t>Autorizacion FAY</t>
  </si>
  <si>
    <t>Lista de Inscriptos Clase OPTIMIST TIMONELES</t>
  </si>
  <si>
    <t>OPTIMIST TIMONELES</t>
  </si>
  <si>
    <t>Autorizacion
FAY</t>
  </si>
  <si>
    <t>Lista de Inscriptos Clase 420</t>
  </si>
  <si>
    <t>Acreditacion</t>
  </si>
  <si>
    <t>Lista de Inscriptos Clase WINGFOIL</t>
  </si>
  <si>
    <t>WING FOIL</t>
  </si>
  <si>
    <t>Lista de Inscriptos Clase ILCA 4</t>
  </si>
  <si>
    <t>ILCA 4</t>
  </si>
  <si>
    <t>Autorizaciones FAY</t>
  </si>
  <si>
    <t>Lista de Inscriptos Clase ILCA 6</t>
  </si>
  <si>
    <t>ILCA 6</t>
  </si>
  <si>
    <t>Lista de Inscriptos Clase ILCA 7</t>
  </si>
  <si>
    <t>ILCA 7</t>
  </si>
  <si>
    <t>Lista de Inscriptos Clase F18</t>
  </si>
  <si>
    <t>F 18</t>
  </si>
  <si>
    <t>Lista de Inscriptos Clase CADET</t>
  </si>
  <si>
    <t>CADET</t>
  </si>
  <si>
    <t>Lista de Inscriptos Clase 29ER</t>
  </si>
  <si>
    <t>29er</t>
  </si>
  <si>
    <t>Lista de Inscriptos Clase MATCH 30</t>
  </si>
  <si>
    <t>MATCH 30</t>
  </si>
  <si>
    <t>Lista de Inscriptos Clase PAMPERO</t>
  </si>
  <si>
    <t>Pampero</t>
  </si>
  <si>
    <t>Lista de Inscriptos STAR</t>
  </si>
  <si>
    <t>Star</t>
  </si>
  <si>
    <t>Lista de Inscriptos Clase J70</t>
  </si>
  <si>
    <t>J 70</t>
  </si>
  <si>
    <t>Lista de Inscriptos Clase GRUMETE</t>
  </si>
  <si>
    <t>GRUMETE</t>
  </si>
  <si>
    <t>Lista de Inscriptos Clase ILCA MASTER</t>
  </si>
  <si>
    <t>Master (ILCA)</t>
  </si>
  <si>
    <t>Categoría Master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</si>
</sst>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9.0"/>
      <color theme="1"/>
      <name val="Arial"/>
      <scheme val="minor"/>
    </font>
    <font>
      <color theme="1"/>
      <name val="Arial"/>
    </font>
    <font>
      <sz val="9.0"/>
      <color theme="1"/>
      <name val="Arial"/>
    </font>
    <font>
      <sz val="18.0"/>
      <color theme="1"/>
      <name val="Arial"/>
      <scheme val="minor"/>
    </font>
    <font>
      <b/>
      <sz val="11.0"/>
      <color theme="1"/>
      <name val="Arial"/>
      <scheme val="minor"/>
    </font>
    <font>
      <b/>
      <i/>
      <sz val="12.0"/>
      <color theme="1"/>
      <name val="Arial"/>
      <scheme val="minor"/>
    </font>
    <font>
      <b/>
      <sz val="12.0"/>
      <color theme="1"/>
      <name val="Arial"/>
      <scheme val="minor"/>
    </font>
    <font>
      <sz val="8.0"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3" fontId="4" numFmtId="0" xfId="0" applyAlignment="1" applyFill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4" fontId="6" numFmtId="0" xfId="0" applyAlignment="1" applyFill="1" applyFont="1">
      <alignment vertical="bottom"/>
    </xf>
    <xf borderId="0" fillId="4" fontId="6" numFmtId="0" xfId="0" applyAlignment="1" applyFont="1">
      <alignment horizontal="center" vertical="bottom"/>
    </xf>
    <xf borderId="0" fillId="4" fontId="6" numFmtId="14" xfId="0" applyAlignment="1" applyFont="1" applyNumberFormat="1">
      <alignment horizontal="right" vertical="bottom"/>
    </xf>
    <xf borderId="0" fillId="4" fontId="6" numFmtId="0" xfId="0" applyAlignment="1" applyFont="1">
      <alignment horizontal="right" vertical="bottom"/>
    </xf>
    <xf borderId="0" fillId="4" fontId="6" numFmtId="0" xfId="0" applyAlignment="1" applyFont="1">
      <alignment horizontal="left" vertical="bottom"/>
    </xf>
    <xf borderId="0" fillId="4" fontId="4" numFmtId="0" xfId="0" applyAlignment="1" applyFont="1">
      <alignment vertical="bottom"/>
    </xf>
    <xf borderId="0" fillId="5" fontId="4" numFmtId="0" xfId="0" applyAlignment="1" applyFill="1" applyFont="1">
      <alignment horizontal="center" vertical="bottom"/>
    </xf>
    <xf borderId="0" fillId="6" fontId="6" numFmtId="164" xfId="0" applyAlignment="1" applyFill="1" applyFont="1" applyNumberFormat="1">
      <alignment vertical="bottom"/>
    </xf>
    <xf borderId="0" fillId="6" fontId="6" numFmtId="0" xfId="0" applyAlignment="1" applyFont="1">
      <alignment vertical="bottom"/>
    </xf>
    <xf borderId="0" fillId="6" fontId="6" numFmtId="0" xfId="0" applyAlignment="1" applyFont="1">
      <alignment horizontal="center" vertical="bottom"/>
    </xf>
    <xf borderId="0" fillId="6" fontId="6" numFmtId="14" xfId="0" applyAlignment="1" applyFont="1" applyNumberFormat="1">
      <alignment horizontal="center" vertical="bottom"/>
    </xf>
    <xf borderId="0" fillId="6" fontId="6" numFmtId="0" xfId="0" applyAlignment="1" applyFont="1">
      <alignment horizontal="left" vertical="bottom"/>
    </xf>
    <xf borderId="0" fillId="6" fontId="4" numFmtId="0" xfId="0" applyAlignment="1" applyFont="1">
      <alignment vertical="bottom"/>
    </xf>
    <xf borderId="0" fillId="7" fontId="4" numFmtId="0" xfId="0" applyAlignment="1" applyFill="1" applyFont="1">
      <alignment horizontal="center" vertical="bottom"/>
    </xf>
    <xf borderId="0" fillId="4" fontId="6" numFmtId="164" xfId="0" applyAlignment="1" applyFont="1" applyNumberFormat="1">
      <alignment vertical="bottom"/>
    </xf>
    <xf borderId="0" fillId="4" fontId="6" numFmtId="0" xfId="0" applyAlignment="1" applyFont="1">
      <alignment readingOrder="0" vertical="bottom"/>
    </xf>
    <xf borderId="0" fillId="4" fontId="4" numFmtId="0" xfId="0" applyAlignment="1" applyFont="1">
      <alignment horizontal="center" vertical="bottom"/>
    </xf>
    <xf borderId="0" fillId="6" fontId="6" numFmtId="0" xfId="0" applyAlignment="1" applyFont="1">
      <alignment horizontal="center" shrinkToFit="0" vertical="bottom" wrapText="0"/>
    </xf>
    <xf borderId="0" fillId="6" fontId="6" numFmtId="0" xfId="0" applyAlignment="1" applyFont="1">
      <alignment horizontal="center" vertical="bottom"/>
    </xf>
    <xf borderId="0" fillId="4" fontId="6" numFmtId="164" xfId="0" applyAlignment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6" numFmtId="14" xfId="0" applyAlignment="1" applyFont="1" applyNumberFormat="1">
      <alignment horizontal="center" vertical="bottom"/>
    </xf>
    <xf borderId="0" fillId="4" fontId="6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center" readingOrder="0" vertical="bottom"/>
    </xf>
    <xf borderId="0" fillId="6" fontId="7" numFmtId="164" xfId="0" applyAlignment="1" applyFont="1" applyNumberFormat="1">
      <alignment horizontal="center" shrinkToFit="0" wrapText="1"/>
    </xf>
    <xf borderId="1" fillId="4" fontId="6" numFmtId="0" xfId="0" applyAlignment="1" applyBorder="1" applyFont="1">
      <alignment horizontal="center" vertical="bottom"/>
    </xf>
    <xf borderId="0" fillId="6" fontId="6" numFmtId="14" xfId="0" applyAlignment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1" fillId="6" fontId="6" numFmtId="0" xfId="0" applyAlignment="1" applyBorder="1" applyFont="1">
      <alignment vertical="bottom"/>
    </xf>
    <xf borderId="1" fillId="4" fontId="6" numFmtId="0" xfId="0" applyAlignment="1" applyBorder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14" xfId="0" applyFont="1" applyNumberFormat="1"/>
    <xf borderId="0" fillId="0" fontId="1" numFmtId="0" xfId="0" applyFont="1"/>
    <xf borderId="1" fillId="0" fontId="1" numFmtId="0" xfId="0" applyBorder="1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4" fontId="6" numFmtId="0" xfId="0" applyAlignment="1" applyBorder="1" applyFont="1">
      <alignment horizontal="center" shrinkToFit="0" vertical="bottom" wrapText="0"/>
    </xf>
    <xf borderId="1" fillId="6" fontId="6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6" fontId="4" numFmtId="0" xfId="0" applyAlignment="1" applyFont="1">
      <alignment horizontal="center" vertical="bottom"/>
    </xf>
    <xf borderId="0" fillId="0" fontId="1" numFmtId="165" xfId="0" applyFont="1" applyNumberFormat="1"/>
    <xf borderId="0" fillId="0" fontId="1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center" wrapText="1"/>
    </xf>
    <xf borderId="2" fillId="0" fontId="12" numFmtId="164" xfId="0" applyAlignment="1" applyBorder="1" applyFont="1" applyNumberFormat="1">
      <alignment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14" xfId="0" applyAlignment="1" applyBorder="1" applyFont="1" applyNumberForma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2" numFmtId="164" xfId="0" applyAlignment="1" applyBorder="1" applyFont="1" applyNumberFormat="1">
      <alignment horizontal="right" shrinkToFit="0" vertical="center" wrapText="1"/>
    </xf>
    <xf borderId="2" fillId="0" fontId="1" numFmtId="164" xfId="0" applyAlignment="1" applyBorder="1" applyFont="1" applyNumberFormat="1">
      <alignment shrinkToFit="0" vertical="center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12" numFmtId="164" xfId="0" applyFont="1" applyNumberFormat="1"/>
    <xf borderId="0" fillId="0" fontId="1" numFmtId="164" xfId="0" applyAlignment="1" applyFont="1" applyNumberFormat="1">
      <alignment horizontal="left"/>
    </xf>
    <xf borderId="0" fillId="0" fontId="1" numFmtId="14" xfId="0" applyAlignment="1" applyFont="1" applyNumberFormat="1">
      <alignment horizontal="left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vertical="center"/>
    </xf>
    <xf borderId="3" fillId="0" fontId="1" numFmtId="164" xfId="0" applyBorder="1" applyFont="1" applyNumberFormat="1"/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3" fillId="0" fontId="1" numFmtId="14" xfId="0" applyBorder="1" applyFont="1" applyNumberFormat="1"/>
    <xf borderId="3" fillId="0" fontId="1" numFmtId="0" xfId="0" applyBorder="1" applyFont="1"/>
    <xf borderId="3" fillId="0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left"/>
    </xf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12" numFmtId="164" xfId="0" applyAlignment="1" applyBorder="1" applyFont="1" applyNumberFormat="1">
      <alignment horizontal="left"/>
    </xf>
    <xf borderId="3" fillId="0" fontId="1" numFmtId="14" xfId="0" applyAlignment="1" applyBorder="1" applyFont="1" applyNumberFormat="1">
      <alignment horizontal="left"/>
    </xf>
    <xf borderId="3" fillId="0" fontId="12" numFmtId="0" xfId="0" applyAlignment="1" applyBorder="1" applyFont="1">
      <alignment horizontal="left"/>
    </xf>
    <xf borderId="0" fillId="0" fontId="12" numFmtId="0" xfId="0" applyFont="1"/>
    <xf borderId="3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1" numFmtId="3" xfId="0" applyFont="1" applyNumberForma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 shrinkToFit="0" vertical="center" wrapText="1"/>
    </xf>
    <xf borderId="0" fillId="6" fontId="13" numFmtId="0" xfId="0" applyFont="1"/>
    <xf borderId="0" fillId="0" fontId="1" numFmtId="0" xfId="0" applyAlignment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12" numFmtId="164" xfId="0" applyAlignment="1" applyBorder="1" applyFont="1" applyNumberFormat="1">
      <alignment horizontal="center" shrinkToFit="0" vertical="center" wrapText="1"/>
    </xf>
    <xf borderId="2" fillId="0" fontId="1" numFmtId="14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6" fontId="13" numFmtId="164" xfId="0" applyAlignment="1" applyBorder="1" applyFont="1" applyNumberFormat="1">
      <alignment shrinkToFit="0" vertical="center" wrapText="1"/>
    </xf>
    <xf borderId="2" fillId="0" fontId="1" numFmtId="165" xfId="0" applyAlignment="1" applyBorder="1" applyFont="1" applyNumberFormat="1">
      <alignment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5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9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eneral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1038225" cy="92392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B5:AB21" displayName="Table_1" name="Table_1" id="1">
  <tableColumns count="1">
    <tableColumn name="Column1" id="1"/>
  </tableColumns>
  <tableStyleInfo name="Gene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6.25"/>
    <col customWidth="1" min="2" max="2" width="14.88"/>
    <col customWidth="1" min="3" max="3" width="12.38"/>
    <col customWidth="1" min="4" max="4" width="15.63"/>
    <col customWidth="1" min="5" max="5" width="19.88"/>
    <col customWidth="1" min="6" max="6" width="4.38"/>
    <col customWidth="1" hidden="1" min="7" max="7" width="6.63"/>
    <col customWidth="1" hidden="1" min="8" max="8" width="4.38"/>
    <col hidden="1" min="9" max="9" width="12.63"/>
    <col customWidth="1" hidden="1" min="10" max="10" width="6.5"/>
    <col hidden="1" min="11" max="11" width="12.63"/>
    <col customWidth="1" min="12" max="12" width="8.5"/>
    <col customWidth="1" min="13" max="13" width="9.75"/>
    <col customWidth="1" min="14" max="14" width="11.38"/>
    <col customWidth="1" hidden="1" min="15" max="15" width="5.5"/>
    <col customWidth="1" hidden="1" min="16" max="16" width="7.0"/>
    <col customWidth="1" min="17" max="17" width="6.5"/>
    <col customWidth="1" min="18" max="18" width="10.25"/>
    <col customWidth="1" hidden="1" min="19" max="19" width="10.13"/>
    <col customWidth="1" hidden="1" min="20" max="25" width="10.38"/>
    <col customWidth="1" hidden="1" min="26" max="26" width="12.88"/>
    <col customWidth="1" hidden="1" min="27" max="27" width="7.0"/>
    <col customWidth="1" min="28" max="28" width="11.0"/>
    <col customWidth="1" hidden="1" min="29" max="29" width="10.63"/>
    <col customWidth="1" hidden="1" min="30" max="30" width="11.13"/>
    <col customWidth="1" hidden="1" min="31" max="31" width="10.63"/>
    <col hidden="1" min="32" max="32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0" customHeight="1">
      <c r="A2" s="59"/>
      <c r="B2" s="64" t="s">
        <v>52</v>
      </c>
      <c r="C2" s="3"/>
      <c r="D2" s="65"/>
      <c r="E2" s="3"/>
      <c r="F2" s="66" t="str">
        <f>"Inscriptos: "&amp;COUNTA(C4:C100)</f>
        <v>Inscriptos: 21</v>
      </c>
      <c r="G2" s="3"/>
      <c r="H2" s="3"/>
      <c r="I2" s="67"/>
      <c r="J2" s="67"/>
      <c r="K2" s="67"/>
      <c r="L2" s="68"/>
      <c r="M2" s="3"/>
      <c r="N2" s="3"/>
      <c r="O2" s="3"/>
      <c r="P2" s="3"/>
      <c r="Q2" s="3"/>
      <c r="R2" s="3"/>
      <c r="S2" s="3"/>
      <c r="T2" s="67"/>
      <c r="U2" s="67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59" t="s">
        <v>53</v>
      </c>
      <c r="B3" s="3" t="str">
        <f>IFERROR(__xludf.DUMMYFUNCTION("query(Titulos)"),"Dia y Hora")</f>
        <v>Dia y Hora</v>
      </c>
      <c r="C3" s="79" t="str">
        <f>IFERROR(__xludf.DUMMYFUNCTION("""COMPUTED_VALUE"""),"Nombre")</f>
        <v>Nombre</v>
      </c>
      <c r="D3" s="79" t="str">
        <f>IFERROR(__xludf.DUMMYFUNCTION("""COMPUTED_VALUE"""),"Apellido")</f>
        <v>Apellido</v>
      </c>
      <c r="E3" s="79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3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3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3" t="str">
        <f>IFERROR(__xludf.DUMMYFUNCTION("""COMPUTED_VALUE"""),"RECIBO")</f>
        <v>RECIBO</v>
      </c>
      <c r="AE3" s="3"/>
      <c r="AG3" s="105" t="s">
        <v>32</v>
      </c>
    </row>
    <row r="4" hidden="1">
      <c r="B4" s="83">
        <f>IFERROR(__xludf.DUMMYFUNCTION("filter(Datos,Clases=A3)"),45513.793288263885)</f>
        <v>45513.79329</v>
      </c>
      <c r="C4" s="43" t="str">
        <f>IFERROR(__xludf.DUMMYFUNCTION("""COMPUTED_VALUE"""),"Rodrigo ")</f>
        <v>Rodrigo </v>
      </c>
      <c r="D4" s="43" t="str">
        <f>IFERROR(__xludf.DUMMYFUNCTION("""COMPUTED_VALUE"""),"Magnano")</f>
        <v>Magnano</v>
      </c>
      <c r="E4" s="43" t="str">
        <f>IFERROR(__xludf.DUMMYFUNCTION("""COMPUTED_VALUE"""),"CABA")</f>
        <v>CABA</v>
      </c>
      <c r="F4" s="7" t="str">
        <f>IFERROR(__xludf.DUMMYFUNCTION("""COMPUTED_VALUE"""),"ARG")</f>
        <v>ARG</v>
      </c>
      <c r="G4" s="7">
        <f>IFERROR(__xludf.DUMMYFUNCTION("""COMPUTED_VALUE"""),4.0238928E7)</f>
        <v>40238928</v>
      </c>
      <c r="H4" s="44">
        <f>IFERROR(__xludf.DUMMYFUNCTION("""COMPUTED_VALUE"""),35513.0)</f>
        <v>35513</v>
      </c>
      <c r="I4" s="45">
        <f>IFERROR(__xludf.DUMMYFUNCTION("""COMPUTED_VALUE"""),1.169150321E9)</f>
        <v>1169150321</v>
      </c>
      <c r="J4" s="45"/>
      <c r="K4" s="45" t="str">
        <f>IFERROR(__xludf.DUMMYFUNCTION("""COMPUTED_VALUE"""),"rodrigomagnano@hotmail.com")</f>
        <v>rodrigomagnano@hotmail.com</v>
      </c>
      <c r="L4" s="45" t="str">
        <f>IFERROR(__xludf.DUMMYFUNCTION("""COMPUTED_VALUE"""),"Masculino")</f>
        <v>Masculino</v>
      </c>
      <c r="M4" s="45" t="str">
        <f>IFERROR(__xludf.DUMMYFUNCTION("""COMPUTED_VALUE"""),"YCO")</f>
        <v>YCO</v>
      </c>
      <c r="N4" s="45" t="str">
        <f>IFERROR(__xludf.DUMMYFUNCTION("""COMPUTED_VALUE"""),"Ilca")</f>
        <v>Ilca</v>
      </c>
      <c r="O4" s="45" t="str">
        <f>IFERROR(__xludf.DUMMYFUNCTION("""COMPUTED_VALUE"""),"ILCA 7")</f>
        <v>ILCA 7</v>
      </c>
      <c r="P4" s="45"/>
      <c r="Q4" s="45">
        <f>IFERROR(__xludf.DUMMYFUNCTION("""COMPUTED_VALUE"""),164124.0)</f>
        <v>164124</v>
      </c>
      <c r="R4" s="45" t="str">
        <f>IFERROR(__xludf.DUMMYFUNCTION("""COMPUTED_VALUE"""),"Playboy")</f>
        <v>Playboy</v>
      </c>
      <c r="S4" s="45"/>
      <c r="T4" s="45"/>
      <c r="U4" s="45"/>
      <c r="V4" s="45"/>
      <c r="W4" s="45"/>
      <c r="X4" s="45"/>
      <c r="Y4" s="45" t="str">
        <f>IFERROR(__xludf.DUMMYFUNCTION("""COMPUTED_VALUE"""),"HI")</f>
        <v>HI</v>
      </c>
      <c r="Z4" s="45" t="str">
        <f>IFERROR(__xludf.DUMMYFUNCTION("""COMPUTED_VALUE"""),"Si")</f>
        <v>Si</v>
      </c>
      <c r="AA4" s="7" t="str">
        <f>IFERROR(__xludf.DUMMYFUNCTION("""COMPUTED_VALUE"""),"Acepto")</f>
        <v>Acepto</v>
      </c>
      <c r="AB4" s="45"/>
      <c r="AC4" s="7"/>
      <c r="AD4" s="45"/>
      <c r="AE4" s="45"/>
      <c r="AF4" s="45"/>
      <c r="AG4" s="45"/>
    </row>
    <row r="5">
      <c r="B5" s="83">
        <f>IFERROR(__xludf.DUMMYFUNCTION("""COMPUTED_VALUE"""),45536.84498538195)</f>
        <v>45536.84499</v>
      </c>
      <c r="C5" s="43" t="str">
        <f>IFERROR(__xludf.DUMMYFUNCTION("""COMPUTED_VALUE"""),"Alejo")</f>
        <v>Alejo</v>
      </c>
      <c r="D5" s="43" t="str">
        <f>IFERROR(__xludf.DUMMYFUNCTION("""COMPUTED_VALUE"""),"Acosta")</f>
        <v>Acosta</v>
      </c>
      <c r="E5" s="43" t="str">
        <f>IFERROR(__xludf.DUMMYFUNCTION("""COMPUTED_VALUE"""),"San Isidro")</f>
        <v>San Isidro</v>
      </c>
      <c r="F5" s="7" t="str">
        <f>IFERROR(__xludf.DUMMYFUNCTION("""COMPUTED_VALUE"""),"ARG")</f>
        <v>ARG</v>
      </c>
      <c r="G5" s="7">
        <f>IFERROR(__xludf.DUMMYFUNCTION("""COMPUTED_VALUE"""),2.4237005E7)</f>
        <v>24237005</v>
      </c>
      <c r="H5" s="44">
        <f>IFERROR(__xludf.DUMMYFUNCTION("""COMPUTED_VALUE"""),27307.0)</f>
        <v>27307</v>
      </c>
      <c r="I5" s="45">
        <f>IFERROR(__xludf.DUMMYFUNCTION("""COMPUTED_VALUE"""),1.154676316E9)</f>
        <v>1154676316</v>
      </c>
      <c r="J5" s="45"/>
      <c r="K5" s="45" t="str">
        <f>IFERROR(__xludf.DUMMYFUNCTION("""COMPUTED_VALUE"""),"alejoacos@gmail.com")</f>
        <v>alejoacos@gmail.com</v>
      </c>
      <c r="L5" s="45" t="str">
        <f>IFERROR(__xludf.DUMMYFUNCTION("""COMPUTED_VALUE"""),"Masculino")</f>
        <v>Masculino</v>
      </c>
      <c r="M5" s="45" t="str">
        <f>IFERROR(__xludf.DUMMYFUNCTION("""COMPUTED_VALUE"""),"YCO")</f>
        <v>YCO</v>
      </c>
      <c r="N5" s="45" t="str">
        <f>IFERROR(__xludf.DUMMYFUNCTION("""COMPUTED_VALUE"""),"Master (ILCA)")</f>
        <v>Master (ILCA)</v>
      </c>
      <c r="O5" s="45" t="str">
        <f>IFERROR(__xludf.DUMMYFUNCTION("""COMPUTED_VALUE"""),"ILCA 7")</f>
        <v>ILCA 7</v>
      </c>
      <c r="P5" s="45"/>
      <c r="Q5" s="45">
        <f>IFERROR(__xludf.DUMMYFUNCTION("""COMPUTED_VALUE"""),3.0)</f>
        <v>3</v>
      </c>
      <c r="R5" s="45"/>
      <c r="S5" s="45"/>
      <c r="T5" s="45"/>
      <c r="U5" s="45"/>
      <c r="V5" s="45"/>
      <c r="W5" s="45"/>
      <c r="X5" s="45"/>
      <c r="Y5" s="45"/>
      <c r="Z5" s="45" t="str">
        <f>IFERROR(__xludf.DUMMYFUNCTION("""COMPUTED_VALUE"""),"Si")</f>
        <v>Si</v>
      </c>
      <c r="AA5" s="7" t="str">
        <f>IFERROR(__xludf.DUMMYFUNCTION("""COMPUTED_VALUE"""),"Acepto")</f>
        <v>Acepto</v>
      </c>
      <c r="AB5" s="45" t="str">
        <f>IFERROR(__xludf.DUMMYFUNCTION("""COMPUTED_VALUE"""),"Terminado")</f>
        <v>Terminado</v>
      </c>
      <c r="AC5" s="7">
        <f>IFERROR(__xludf.DUMMYFUNCTION("""COMPUTED_VALUE"""),45000.0)</f>
        <v>45000</v>
      </c>
      <c r="AD5" s="45"/>
      <c r="AE5" s="45" t="str">
        <f>IFERROR(__xludf.DUMMYFUNCTION("""COMPUTED_VALUE"""),"AF")</f>
        <v>AF</v>
      </c>
      <c r="AF5" s="45" t="str">
        <f>IFERROR(__xludf.DUMMYFUNCTION("""COMPUTED_VALUE"""),"No Corresp")</f>
        <v>No Corresp</v>
      </c>
      <c r="AG5" s="45"/>
    </row>
    <row r="6">
      <c r="B6" s="83">
        <f>IFERROR(__xludf.DUMMYFUNCTION("""COMPUTED_VALUE"""),45538.929198530095)</f>
        <v>45538.9292</v>
      </c>
      <c r="C6" s="43" t="str">
        <f>IFERROR(__xludf.DUMMYFUNCTION("""COMPUTED_VALUE"""),"Jose Alberto")</f>
        <v>Jose Alberto</v>
      </c>
      <c r="D6" s="43" t="str">
        <f>IFERROR(__xludf.DUMMYFUNCTION("""COMPUTED_VALUE"""),"Asad")</f>
        <v>Asad</v>
      </c>
      <c r="E6" s="43" t="str">
        <f>IFERROR(__xludf.DUMMYFUNCTION("""COMPUTED_VALUE"""),"San Fernando, Pcia de Buenos Aires")</f>
        <v>San Fernando, Pcia de Buenos Aires</v>
      </c>
      <c r="F6" s="7" t="str">
        <f>IFERROR(__xludf.DUMMYFUNCTION("""COMPUTED_VALUE"""),"ARG")</f>
        <v>ARG</v>
      </c>
      <c r="G6" s="7">
        <f>IFERROR(__xludf.DUMMYFUNCTION("""COMPUTED_VALUE"""),1.15433E7)</f>
        <v>11543300</v>
      </c>
      <c r="H6" s="44">
        <f>IFERROR(__xludf.DUMMYFUNCTION("""COMPUTED_VALUE"""),20172.0)</f>
        <v>20172</v>
      </c>
      <c r="I6" s="45">
        <f>IFERROR(__xludf.DUMMYFUNCTION("""COMPUTED_VALUE"""),1.150077917E9)</f>
        <v>1150077917</v>
      </c>
      <c r="J6" s="45"/>
      <c r="K6" s="45" t="str">
        <f>IFERROR(__xludf.DUMMYFUNCTION("""COMPUTED_VALUE"""),"joseasad5@gmail.com")</f>
        <v>joseasad5@gmail.com</v>
      </c>
      <c r="L6" s="45" t="str">
        <f>IFERROR(__xludf.DUMMYFUNCTION("""COMPUTED_VALUE"""),"Masculino")</f>
        <v>Masculino</v>
      </c>
      <c r="M6" s="45" t="str">
        <f>IFERROR(__xludf.DUMMYFUNCTION("""COMPUTED_VALUE"""),"YCO")</f>
        <v>YCO</v>
      </c>
      <c r="N6" s="45" t="str">
        <f>IFERROR(__xludf.DUMMYFUNCTION("""COMPUTED_VALUE"""),"Master (ILCA)")</f>
        <v>Master (ILCA)</v>
      </c>
      <c r="O6" s="45" t="str">
        <f>IFERROR(__xludf.DUMMYFUNCTION("""COMPUTED_VALUE"""),"ILCA 7")</f>
        <v>ILCA 7</v>
      </c>
      <c r="P6" s="45"/>
      <c r="Q6" s="45">
        <f>IFERROR(__xludf.DUMMYFUNCTION("""COMPUTED_VALUE"""),207306.0)</f>
        <v>207306</v>
      </c>
      <c r="R6" s="45" t="str">
        <f>IFERROR(__xludf.DUMMYFUNCTION("""COMPUTED_VALUE"""),"NO TIENE")</f>
        <v>NO TIENE</v>
      </c>
      <c r="S6" s="45"/>
      <c r="T6" s="45"/>
      <c r="U6" s="45"/>
      <c r="V6" s="45"/>
      <c r="W6" s="45"/>
      <c r="X6" s="45"/>
      <c r="Y6" s="45" t="str">
        <f>IFERROR(__xludf.DUMMYFUNCTION("""COMPUTED_VALUE"""),"HOMINIS")</f>
        <v>HOMINIS</v>
      </c>
      <c r="Z6" s="45" t="str">
        <f>IFERROR(__xludf.DUMMYFUNCTION("""COMPUTED_VALUE"""),"Si")</f>
        <v>Si</v>
      </c>
      <c r="AA6" s="7" t="str">
        <f>IFERROR(__xludf.DUMMYFUNCTION("""COMPUTED_VALUE"""),"Acepto")</f>
        <v>Acepto</v>
      </c>
      <c r="AB6" s="45" t="str">
        <f>IFERROR(__xludf.DUMMYFUNCTION("""COMPUTED_VALUE"""),"Terminado")</f>
        <v>Terminado</v>
      </c>
      <c r="AC6" s="7">
        <f>IFERROR(__xludf.DUMMYFUNCTION("""COMPUTED_VALUE"""),45000.0)</f>
        <v>45000</v>
      </c>
      <c r="AD6" s="45">
        <f>IFERROR(__xludf.DUMMYFUNCTION("""COMPUTED_VALUE"""),205431.0)</f>
        <v>205431</v>
      </c>
      <c r="AE6" s="45" t="str">
        <f>IFERROR(__xludf.DUMMYFUNCTION("""COMPUTED_VALUE"""),"TRF 03-09")</f>
        <v>TRF 03-09</v>
      </c>
      <c r="AF6" s="45" t="str">
        <f>IFERROR(__xludf.DUMMYFUNCTION("""COMPUTED_VALUE"""),"No Corresp")</f>
        <v>No Corresp</v>
      </c>
      <c r="AG6" s="45"/>
    </row>
    <row r="7">
      <c r="B7" s="83">
        <f>IFERROR(__xludf.DUMMYFUNCTION("""COMPUTED_VALUE"""),45535.65692474537)</f>
        <v>45535.65692</v>
      </c>
      <c r="C7" s="43" t="str">
        <f>IFERROR(__xludf.DUMMYFUNCTION("""COMPUTED_VALUE"""),"Juan Antonio ")</f>
        <v>Juan Antonio </v>
      </c>
      <c r="D7" s="43" t="str">
        <f>IFERROR(__xludf.DUMMYFUNCTION("""COMPUTED_VALUE"""),"Carosella ")</f>
        <v>Carosella </v>
      </c>
      <c r="E7" s="43" t="str">
        <f>IFERROR(__xludf.DUMMYFUNCTION("""COMPUTED_VALUE"""),"Buenos Aires ")</f>
        <v>Buenos Aires </v>
      </c>
      <c r="F7" s="7" t="str">
        <f>IFERROR(__xludf.DUMMYFUNCTION("""COMPUTED_VALUE"""),"ARG")</f>
        <v>ARG</v>
      </c>
      <c r="G7" s="7">
        <f>IFERROR(__xludf.DUMMYFUNCTION("""COMPUTED_VALUE"""),1.3296654E7)</f>
        <v>13296654</v>
      </c>
      <c r="H7" s="44">
        <f>IFERROR(__xludf.DUMMYFUNCTION("""COMPUTED_VALUE"""),21789.0)</f>
        <v>21789</v>
      </c>
      <c r="I7" s="45">
        <f>IFERROR(__xludf.DUMMYFUNCTION("""COMPUTED_VALUE"""),1.14069305E9)</f>
        <v>1140693050</v>
      </c>
      <c r="J7" s="45"/>
      <c r="K7" s="45" t="str">
        <f>IFERROR(__xludf.DUMMYFUNCTION("""COMPUTED_VALUE"""),"Jac1@fibertel.com.ar ")</f>
        <v>Jac1@fibertel.com.ar </v>
      </c>
      <c r="L7" s="45" t="str">
        <f>IFERROR(__xludf.DUMMYFUNCTION("""COMPUTED_VALUE"""),"Masculino")</f>
        <v>Masculino</v>
      </c>
      <c r="M7" s="45" t="str">
        <f>IFERROR(__xludf.DUMMYFUNCTION("""COMPUTED_VALUE"""),"Yco")</f>
        <v>Yco</v>
      </c>
      <c r="N7" s="45" t="str">
        <f>IFERROR(__xludf.DUMMYFUNCTION("""COMPUTED_VALUE"""),"Master (ILCA)")</f>
        <v>Master (ILCA)</v>
      </c>
      <c r="O7" s="45" t="str">
        <f>IFERROR(__xludf.DUMMYFUNCTION("""COMPUTED_VALUE"""),"ILCA 7")</f>
        <v>ILCA 7</v>
      </c>
      <c r="P7" s="45"/>
      <c r="Q7" s="45">
        <f>IFERROR(__xludf.DUMMYFUNCTION("""COMPUTED_VALUE"""),222121.0)</f>
        <v>222121</v>
      </c>
      <c r="R7" s="45" t="str">
        <f>IFERROR(__xludf.DUMMYFUNCTION("""COMPUTED_VALUE"""),"Xxx")</f>
        <v>Xxx</v>
      </c>
      <c r="S7" s="45"/>
      <c r="T7" s="45"/>
      <c r="U7" s="45"/>
      <c r="V7" s="45"/>
      <c r="W7" s="45"/>
      <c r="X7" s="45"/>
      <c r="Y7" s="45" t="str">
        <f>IFERROR(__xludf.DUMMYFUNCTION("""COMPUTED_VALUE"""),"Osde 36204060 01")</f>
        <v>Osde 36204060 01</v>
      </c>
      <c r="Z7" s="45" t="str">
        <f>IFERROR(__xludf.DUMMYFUNCTION("""COMPUTED_VALUE"""),"Si")</f>
        <v>Si</v>
      </c>
      <c r="AA7" s="7" t="str">
        <f>IFERROR(__xludf.DUMMYFUNCTION("""COMPUTED_VALUE"""),"Acepto")</f>
        <v>Acepto</v>
      </c>
      <c r="AB7" s="45" t="str">
        <f>IFERROR(__xludf.DUMMYFUNCTION("""COMPUTED_VALUE"""),"Pendiente")</f>
        <v>Pendiente</v>
      </c>
      <c r="AC7" s="7"/>
      <c r="AD7" s="45"/>
      <c r="AE7" s="45"/>
      <c r="AF7" s="45" t="str">
        <f>IFERROR(__xludf.DUMMYFUNCTION("""COMPUTED_VALUE"""),"No Corresp")</f>
        <v>No Corresp</v>
      </c>
      <c r="AG7" s="45"/>
    </row>
    <row r="8">
      <c r="B8" s="83">
        <f>IFERROR(__xludf.DUMMYFUNCTION("""COMPUTED_VALUE"""),45537.635903483795)</f>
        <v>45537.6359</v>
      </c>
      <c r="C8" s="43" t="str">
        <f>IFERROR(__xludf.DUMMYFUNCTION("""COMPUTED_VALUE"""),"Benjamin")</f>
        <v>Benjamin</v>
      </c>
      <c r="D8" s="43" t="str">
        <f>IFERROR(__xludf.DUMMYFUNCTION("""COMPUTED_VALUE"""),"Galvan")</f>
        <v>Galvan</v>
      </c>
      <c r="E8" s="43" t="str">
        <f>IFERROR(__xludf.DUMMYFUNCTION("""COMPUTED_VALUE"""),"La Plata")</f>
        <v>La Plata</v>
      </c>
      <c r="F8" s="7" t="str">
        <f>IFERROR(__xludf.DUMMYFUNCTION("""COMPUTED_VALUE"""),"ARG")</f>
        <v>ARG</v>
      </c>
      <c r="G8" s="7">
        <f>IFERROR(__xludf.DUMMYFUNCTION("""COMPUTED_VALUE"""),4.6269356E7)</f>
        <v>46269356</v>
      </c>
      <c r="H8" s="44">
        <f>IFERROR(__xludf.DUMMYFUNCTION("""COMPUTED_VALUE"""),38288.0)</f>
        <v>38288</v>
      </c>
      <c r="I8" s="45">
        <f>IFERROR(__xludf.DUMMYFUNCTION("""COMPUTED_VALUE"""),2.214289917E9)</f>
        <v>2214289917</v>
      </c>
      <c r="J8" s="45">
        <f>IFERROR(__xludf.DUMMYFUNCTION("""COMPUTED_VALUE"""),2.21463832E9)</f>
        <v>2214638320</v>
      </c>
      <c r="K8" s="45" t="str">
        <f>IFERROR(__xludf.DUMMYFUNCTION("""COMPUTED_VALUE"""),"galvanb612@gmail.com")</f>
        <v>galvanb612@gmail.com</v>
      </c>
      <c r="L8" s="45" t="str">
        <f>IFERROR(__xludf.DUMMYFUNCTION("""COMPUTED_VALUE"""),"Masculino")</f>
        <v>Masculino</v>
      </c>
      <c r="M8" s="45" t="str">
        <f>IFERROR(__xludf.DUMMYFUNCTION("""COMPUTED_VALUE"""),"YCO")</f>
        <v>YCO</v>
      </c>
      <c r="N8" s="45" t="str">
        <f>IFERROR(__xludf.DUMMYFUNCTION("""COMPUTED_VALUE"""),"Sub 21")</f>
        <v>Sub 21</v>
      </c>
      <c r="O8" s="45" t="str">
        <f>IFERROR(__xludf.DUMMYFUNCTION("""COMPUTED_VALUE"""),"ILCA 7")</f>
        <v>ILCA 7</v>
      </c>
      <c r="P8" s="45"/>
      <c r="Q8" s="45">
        <f>IFERROR(__xludf.DUMMYFUNCTION("""COMPUTED_VALUE"""),217355.0)</f>
        <v>217355</v>
      </c>
      <c r="R8" s="45"/>
      <c r="S8" s="45"/>
      <c r="T8" s="45"/>
      <c r="U8" s="45"/>
      <c r="V8" s="45"/>
      <c r="W8" s="45"/>
      <c r="X8" s="45"/>
      <c r="Y8" s="45">
        <f>IFERROR(__xludf.DUMMYFUNCTION("""COMPUTED_VALUE"""),4.6269356E7)</f>
        <v>46269356</v>
      </c>
      <c r="Z8" s="45" t="str">
        <f>IFERROR(__xludf.DUMMYFUNCTION("""COMPUTED_VALUE"""),"Si")</f>
        <v>Si</v>
      </c>
      <c r="AA8" s="7" t="str">
        <f>IFERROR(__xludf.DUMMYFUNCTION("""COMPUTED_VALUE"""),"Acepto")</f>
        <v>Acepto</v>
      </c>
      <c r="AB8" s="45" t="str">
        <f>IFERROR(__xludf.DUMMYFUNCTION("""COMPUTED_VALUE"""),"Terminado")</f>
        <v>Terminado</v>
      </c>
      <c r="AC8" s="7">
        <f>IFERROR(__xludf.DUMMYFUNCTION("""COMPUTED_VALUE"""),45000.0)</f>
        <v>45000</v>
      </c>
      <c r="AD8" s="45">
        <f>IFERROR(__xludf.DUMMYFUNCTION("""COMPUTED_VALUE"""),206483.0)</f>
        <v>206483</v>
      </c>
      <c r="AE8" s="45" t="str">
        <f>IFERROR(__xludf.DUMMYFUNCTION("""COMPUTED_VALUE"""),"TRF 03-09")</f>
        <v>TRF 03-09</v>
      </c>
      <c r="AF8" s="45" t="str">
        <f>IFERROR(__xludf.DUMMYFUNCTION("""COMPUTED_VALUE"""),"No Corresp")</f>
        <v>No Corresp</v>
      </c>
      <c r="AG8" s="45"/>
    </row>
    <row r="9">
      <c r="B9" s="83">
        <f>IFERROR(__xludf.DUMMYFUNCTION("""COMPUTED_VALUE"""),45534.8976090625)</f>
        <v>45534.89761</v>
      </c>
      <c r="C9" s="43" t="str">
        <f>IFERROR(__xludf.DUMMYFUNCTION("""COMPUTED_VALUE"""),"Ulises ")</f>
        <v>Ulises </v>
      </c>
      <c r="D9" s="43" t="str">
        <f>IFERROR(__xludf.DUMMYFUNCTION("""COMPUTED_VALUE"""),"Gómez lacchini ")</f>
        <v>Gómez lacchini </v>
      </c>
      <c r="E9" s="43" t="str">
        <f>IFERROR(__xludf.DUMMYFUNCTION("""COMPUTED_VALUE"""),"La plata")</f>
        <v>La plata</v>
      </c>
      <c r="F9" s="7" t="str">
        <f>IFERROR(__xludf.DUMMYFUNCTION("""COMPUTED_VALUE"""),"ARG")</f>
        <v>ARG</v>
      </c>
      <c r="G9" s="7">
        <f>IFERROR(__xludf.DUMMYFUNCTION("""COMPUTED_VALUE"""),4.4677873E7)</f>
        <v>44677873</v>
      </c>
      <c r="H9" s="44">
        <f>IFERROR(__xludf.DUMMYFUNCTION("""COMPUTED_VALUE"""),37763.0)</f>
        <v>37763</v>
      </c>
      <c r="I9" s="45">
        <f>IFERROR(__xludf.DUMMYFUNCTION("""COMPUTED_VALUE"""),2.21641712E9)</f>
        <v>2216417120</v>
      </c>
      <c r="J9" s="45"/>
      <c r="K9" s="45" t="str">
        <f>IFERROR(__xludf.DUMMYFUNCTION("""COMPUTED_VALUE"""),"ulisesgomezlacchini@gmail.com")</f>
        <v>ulisesgomezlacchini@gmail.com</v>
      </c>
      <c r="L9" s="45" t="str">
        <f>IFERROR(__xludf.DUMMYFUNCTION("""COMPUTED_VALUE"""),"Masculino")</f>
        <v>Masculino</v>
      </c>
      <c r="M9" s="45" t="str">
        <f>IFERROR(__xludf.DUMMYFUNCTION("""COMPUTED_VALUE"""),"CRLP")</f>
        <v>CRLP</v>
      </c>
      <c r="N9" s="45" t="str">
        <f>IFERROR(__xludf.DUMMYFUNCTION("""COMPUTED_VALUE"""),"Fachero")</f>
        <v>Fachero</v>
      </c>
      <c r="O9" s="45" t="str">
        <f>IFERROR(__xludf.DUMMYFUNCTION("""COMPUTED_VALUE"""),"ILCA 7")</f>
        <v>ILCA 7</v>
      </c>
      <c r="P9" s="45"/>
      <c r="Q9" s="45">
        <f>IFERROR(__xludf.DUMMYFUNCTION("""COMPUTED_VALUE"""),211981.0)</f>
        <v>211981</v>
      </c>
      <c r="R9" s="45"/>
      <c r="S9" s="45"/>
      <c r="T9" s="45"/>
      <c r="U9" s="45"/>
      <c r="V9" s="45"/>
      <c r="W9" s="45"/>
      <c r="X9" s="45"/>
      <c r="Y9" s="45"/>
      <c r="Z9" s="45" t="str">
        <f>IFERROR(__xludf.DUMMYFUNCTION("""COMPUTED_VALUE"""),"Si")</f>
        <v>Si</v>
      </c>
      <c r="AA9" s="7" t="str">
        <f>IFERROR(__xludf.DUMMYFUNCTION("""COMPUTED_VALUE"""),"Acepto")</f>
        <v>Acepto</v>
      </c>
      <c r="AB9" s="45" t="str">
        <f>IFERROR(__xludf.DUMMYFUNCTION("""COMPUTED_VALUE"""),"Terminado")</f>
        <v>Terminado</v>
      </c>
      <c r="AC9" s="7">
        <f>IFERROR(__xludf.DUMMYFUNCTION("""COMPUTED_VALUE"""),45000.0)</f>
        <v>45000</v>
      </c>
      <c r="AD9" s="45" t="str">
        <f>IFERROR(__xludf.DUMMYFUNCTION("""COMPUTED_VALUE"""),"205121/205509")</f>
        <v>205121/205509</v>
      </c>
      <c r="AE9" s="45" t="str">
        <f>IFERROR(__xludf.DUMMYFUNCTION("""COMPUTED_VALUE"""),"TRF 30-08 y 05-09")</f>
        <v>TRF 30-08 y 05-09</v>
      </c>
      <c r="AF9" s="45" t="str">
        <f>IFERROR(__xludf.DUMMYFUNCTION("""COMPUTED_VALUE"""),"No Corresp")</f>
        <v>No Corresp</v>
      </c>
      <c r="AG9" s="45"/>
    </row>
    <row r="10">
      <c r="B10" s="83">
        <f>IFERROR(__xludf.DUMMYFUNCTION("""COMPUTED_VALUE"""),45540.55586703704)</f>
        <v>45540.55587</v>
      </c>
      <c r="C10" s="43" t="str">
        <f>IFERROR(__xludf.DUMMYFUNCTION("""COMPUTED_VALUE"""),"Andres")</f>
        <v>Andres</v>
      </c>
      <c r="D10" s="43" t="str">
        <f>IFERROR(__xludf.DUMMYFUNCTION("""COMPUTED_VALUE"""),"Heredia")</f>
        <v>Heredia</v>
      </c>
      <c r="E10" s="43" t="str">
        <f>IFERROR(__xludf.DUMMYFUNCTION("""COMPUTED_VALUE"""),"Buenos Aires")</f>
        <v>Buenos Aires</v>
      </c>
      <c r="F10" s="7" t="str">
        <f>IFERROR(__xludf.DUMMYFUNCTION("""COMPUTED_VALUE"""),"ARG")</f>
        <v>ARG</v>
      </c>
      <c r="G10" s="7">
        <f>IFERROR(__xludf.DUMMYFUNCTION("""COMPUTED_VALUE"""),3.0368109E7)</f>
        <v>30368109</v>
      </c>
      <c r="H10" s="44">
        <f>IFERROR(__xludf.DUMMYFUNCTION("""COMPUTED_VALUE"""),30473.0)</f>
        <v>30473</v>
      </c>
      <c r="I10" s="45" t="str">
        <f>IFERROR(__xludf.DUMMYFUNCTION("""COMPUTED_VALUE"""),"+5491161347543")</f>
        <v>+5491161347543</v>
      </c>
      <c r="J10" s="45" t="str">
        <f>IFERROR(__xludf.DUMMYFUNCTION("""COMPUTED_VALUE"""),"+5491161347543")</f>
        <v>+5491161347543</v>
      </c>
      <c r="K10" s="45" t="str">
        <f>IFERROR(__xludf.DUMMYFUNCTION("""COMPUTED_VALUE"""),"flotalaser@gmail.com")</f>
        <v>flotalaser@gmail.com</v>
      </c>
      <c r="L10" s="45" t="str">
        <f>IFERROR(__xludf.DUMMYFUNCTION("""COMPUTED_VALUE"""),"Masculino")</f>
        <v>Masculino</v>
      </c>
      <c r="M10" s="45" t="str">
        <f>IFERROR(__xludf.DUMMYFUNCTION("""COMPUTED_VALUE"""),"YCO")</f>
        <v>YCO</v>
      </c>
      <c r="N10" s="45" t="str">
        <f>IFERROR(__xludf.DUMMYFUNCTION("""COMPUTED_VALUE"""),"Master (ILCA)")</f>
        <v>Master (ILCA)</v>
      </c>
      <c r="O10" s="45" t="str">
        <f>IFERROR(__xludf.DUMMYFUNCTION("""COMPUTED_VALUE"""),"ILCA 7")</f>
        <v>ILCA 7</v>
      </c>
      <c r="P10" s="45"/>
      <c r="Q10" s="45">
        <f>IFERROR(__xludf.DUMMYFUNCTION("""COMPUTED_VALUE"""),202660.0)</f>
        <v>202660</v>
      </c>
      <c r="R10" s="45"/>
      <c r="S10" s="45"/>
      <c r="T10" s="45"/>
      <c r="U10" s="45"/>
      <c r="V10" s="45"/>
      <c r="W10" s="45"/>
      <c r="X10" s="45"/>
      <c r="Y10" s="45" t="str">
        <f>IFERROR(__xludf.DUMMYFUNCTION("""COMPUTED_VALUE"""),"OSDE")</f>
        <v>OSDE</v>
      </c>
      <c r="Z10" s="45" t="str">
        <f>IFERROR(__xludf.DUMMYFUNCTION("""COMPUTED_VALUE"""),"Si")</f>
        <v>Si</v>
      </c>
      <c r="AA10" s="7" t="str">
        <f>IFERROR(__xludf.DUMMYFUNCTION("""COMPUTED_VALUE"""),"Acepto")</f>
        <v>Acepto</v>
      </c>
      <c r="AB10" s="45" t="str">
        <f>IFERROR(__xludf.DUMMYFUNCTION("""COMPUTED_VALUE"""),"Terminado")</f>
        <v>Terminado</v>
      </c>
      <c r="AC10" s="7">
        <f>IFERROR(__xludf.DUMMYFUNCTION("""COMPUTED_VALUE"""),45000.0)</f>
        <v>45000</v>
      </c>
      <c r="AD10" s="45">
        <f>IFERROR(__xludf.DUMMYFUNCTION("""COMPUTED_VALUE"""),205479.0)</f>
        <v>205479</v>
      </c>
      <c r="AE10" s="45" t="str">
        <f>IFERROR(__xludf.DUMMYFUNCTION("""COMPUTED_VALUE"""),"TRF 05-09")</f>
        <v>TRF 05-09</v>
      </c>
      <c r="AF10" s="45" t="str">
        <f>IFERROR(__xludf.DUMMYFUNCTION("""COMPUTED_VALUE"""),"No Corresp")</f>
        <v>No Corresp</v>
      </c>
      <c r="AG10" s="45"/>
    </row>
    <row r="11">
      <c r="B11" s="83">
        <f>IFERROR(__xludf.DUMMYFUNCTION("""COMPUTED_VALUE"""),45533.70528741898)</f>
        <v>45533.70529</v>
      </c>
      <c r="C11" s="43" t="str">
        <f>IFERROR(__xludf.DUMMYFUNCTION("""COMPUTED_VALUE"""),"Agustín ")</f>
        <v>Agustín </v>
      </c>
      <c r="D11" s="43" t="str">
        <f>IFERROR(__xludf.DUMMYFUNCTION("""COMPUTED_VALUE"""),"Pascual")</f>
        <v>Pascual</v>
      </c>
      <c r="E11" s="43" t="str">
        <f>IFERROR(__xludf.DUMMYFUNCTION("""COMPUTED_VALUE"""),"Caba")</f>
        <v>Caba</v>
      </c>
      <c r="F11" s="7" t="str">
        <f>IFERROR(__xludf.DUMMYFUNCTION("""COMPUTED_VALUE"""),"ARG")</f>
        <v>ARG</v>
      </c>
      <c r="G11" s="7">
        <f>IFERROR(__xludf.DUMMYFUNCTION("""COMPUTED_VALUE"""),3.4263472E7)</f>
        <v>34263472</v>
      </c>
      <c r="H11" s="44">
        <f>IFERROR(__xludf.DUMMYFUNCTION("""COMPUTED_VALUE"""),32573.0)</f>
        <v>32573</v>
      </c>
      <c r="I11" s="45">
        <f>IFERROR(__xludf.DUMMYFUNCTION("""COMPUTED_VALUE"""),1.135012888E9)</f>
        <v>1135012888</v>
      </c>
      <c r="J11" s="45"/>
      <c r="K11" s="45" t="str">
        <f>IFERROR(__xludf.DUMMYFUNCTION("""COMPUTED_VALUE"""),"juan_agustin09@hotmail.com")</f>
        <v>juan_agustin09@hotmail.com</v>
      </c>
      <c r="L11" s="45" t="str">
        <f>IFERROR(__xludf.DUMMYFUNCTION("""COMPUTED_VALUE"""),"Masculino")</f>
        <v>Masculino</v>
      </c>
      <c r="M11" s="45" t="str">
        <f>IFERROR(__xludf.DUMMYFUNCTION("""COMPUTED_VALUE"""),"YCO")</f>
        <v>YCO</v>
      </c>
      <c r="N11" s="45"/>
      <c r="O11" s="45" t="str">
        <f>IFERROR(__xludf.DUMMYFUNCTION("""COMPUTED_VALUE"""),"ILCA 7")</f>
        <v>ILCA 7</v>
      </c>
      <c r="P11" s="45"/>
      <c r="Q11" s="45">
        <f>IFERROR(__xludf.DUMMYFUNCTION("""COMPUTED_VALUE"""),218079.0)</f>
        <v>218079</v>
      </c>
      <c r="R11" s="45"/>
      <c r="S11" s="45"/>
      <c r="T11" s="45"/>
      <c r="U11" s="45"/>
      <c r="V11" s="45"/>
      <c r="W11" s="45"/>
      <c r="X11" s="45"/>
      <c r="Y11" s="45"/>
      <c r="Z11" s="45" t="str">
        <f>IFERROR(__xludf.DUMMYFUNCTION("""COMPUTED_VALUE"""),"Si")</f>
        <v>Si</v>
      </c>
      <c r="AA11" s="7" t="str">
        <f>IFERROR(__xludf.DUMMYFUNCTION("""COMPUTED_VALUE"""),"Acepto")</f>
        <v>Acepto</v>
      </c>
      <c r="AB11" s="45" t="str">
        <f>IFERROR(__xludf.DUMMYFUNCTION("""COMPUTED_VALUE"""),"Terminado")</f>
        <v>Terminado</v>
      </c>
      <c r="AC11" s="7">
        <f>IFERROR(__xludf.DUMMYFUNCTION("""COMPUTED_VALUE"""),45000.0)</f>
        <v>45000</v>
      </c>
      <c r="AD11" s="45">
        <f>IFERROR(__xludf.DUMMYFUNCTION("""COMPUTED_VALUE"""),205567.0)</f>
        <v>205567</v>
      </c>
      <c r="AE11" s="45" t="str">
        <f>IFERROR(__xludf.DUMMYFUNCTION("""COMPUTED_VALUE"""),"EF 07-09")</f>
        <v>EF 07-09</v>
      </c>
      <c r="AF11" s="45" t="str">
        <f>IFERROR(__xludf.DUMMYFUNCTION("""COMPUTED_VALUE"""),"No Corresp")</f>
        <v>No Corresp</v>
      </c>
      <c r="AG11" s="45"/>
    </row>
    <row r="12">
      <c r="B12" s="83">
        <f>IFERROR(__xludf.DUMMYFUNCTION("""COMPUTED_VALUE"""),45535.648309421296)</f>
        <v>45535.64831</v>
      </c>
      <c r="C12" s="43" t="str">
        <f>IFERROR(__xludf.DUMMYFUNCTION("""COMPUTED_VALUE"""),"Pedro Paulo")</f>
        <v>Pedro Paulo</v>
      </c>
      <c r="D12" s="43" t="str">
        <f>IFERROR(__xludf.DUMMYFUNCTION("""COMPUTED_VALUE"""),"Pinto")</f>
        <v>Pinto</v>
      </c>
      <c r="E12" s="43" t="str">
        <f>IFERROR(__xludf.DUMMYFUNCTION("""COMPUTED_VALUE"""),"Buenos Aires")</f>
        <v>Buenos Aires</v>
      </c>
      <c r="F12" s="7" t="str">
        <f>IFERROR(__xludf.DUMMYFUNCTION("""COMPUTED_VALUE"""),"ARG")</f>
        <v>ARG</v>
      </c>
      <c r="G12" s="7">
        <f>IFERROR(__xludf.DUMMYFUNCTION("""COMPUTED_VALUE"""),5.1705498E7)</f>
        <v>51705498</v>
      </c>
      <c r="H12" s="44">
        <f>IFERROR(__xludf.DUMMYFUNCTION("""COMPUTED_VALUE"""),36770.0)</f>
        <v>36770</v>
      </c>
      <c r="I12" s="45">
        <f>IFERROR(__xludf.DUMMYFUNCTION("""COMPUTED_VALUE"""),1.168550109E9)</f>
        <v>1168550109</v>
      </c>
      <c r="J12" s="45">
        <f>IFERROR(__xludf.DUMMYFUNCTION("""COMPUTED_VALUE"""),1.163044368E9)</f>
        <v>1163044368</v>
      </c>
      <c r="K12" s="45" t="str">
        <f>IFERROR(__xludf.DUMMYFUNCTION("""COMPUTED_VALUE"""),"pinto0pedro1paulo9@gmail.com")</f>
        <v>pinto0pedro1paulo9@gmail.com</v>
      </c>
      <c r="L12" s="45" t="str">
        <f>IFERROR(__xludf.DUMMYFUNCTION("""COMPUTED_VALUE"""),"Masculino")</f>
        <v>Masculino</v>
      </c>
      <c r="M12" s="45" t="str">
        <f>IFERROR(__xludf.DUMMYFUNCTION("""COMPUTED_VALUE"""),"CNSI-Cvsi")</f>
        <v>CNSI-Cvsi</v>
      </c>
      <c r="N12" s="45" t="str">
        <f>IFERROR(__xludf.DUMMYFUNCTION("""COMPUTED_VALUE"""),"Senior")</f>
        <v>Senior</v>
      </c>
      <c r="O12" s="45" t="str">
        <f>IFERROR(__xludf.DUMMYFUNCTION("""COMPUTED_VALUE"""),"ILCA 7")</f>
        <v>ILCA 7</v>
      </c>
      <c r="P12" s="45" t="str">
        <f>IFERROR(__xludf.DUMMYFUNCTION("""COMPUTED_VALUE"""),"-")</f>
        <v>-</v>
      </c>
      <c r="Q12" s="45">
        <f>IFERROR(__xludf.DUMMYFUNCTION("""COMPUTED_VALUE"""),202572.0)</f>
        <v>202572</v>
      </c>
      <c r="R12" s="45" t="str">
        <f>IFERROR(__xludf.DUMMYFUNCTION("""COMPUTED_VALUE"""),"-")</f>
        <v>-</v>
      </c>
      <c r="S12" s="45"/>
      <c r="T12" s="45"/>
      <c r="U12" s="45"/>
      <c r="V12" s="45"/>
      <c r="W12" s="45"/>
      <c r="X12" s="45"/>
      <c r="Y12" s="45" t="str">
        <f>IFERROR(__xludf.DUMMYFUNCTION("""COMPUTED_VALUE"""),"Colegio Escribanos Provincia de Buenos Aires")</f>
        <v>Colegio Escribanos Provincia de Buenos Aires</v>
      </c>
      <c r="Z12" s="45" t="str">
        <f>IFERROR(__xludf.DUMMYFUNCTION("""COMPUTED_VALUE"""),"Si")</f>
        <v>Si</v>
      </c>
      <c r="AA12" s="7" t="str">
        <f>IFERROR(__xludf.DUMMYFUNCTION("""COMPUTED_VALUE"""),"Acepto")</f>
        <v>Acepto</v>
      </c>
      <c r="AB12" s="45" t="str">
        <f>IFERROR(__xludf.DUMMYFUNCTION("""COMPUTED_VALUE"""),"Terminado")</f>
        <v>Terminado</v>
      </c>
      <c r="AC12" s="7">
        <f>IFERROR(__xludf.DUMMYFUNCTION("""COMPUTED_VALUE"""),45000.0)</f>
        <v>45000</v>
      </c>
      <c r="AD12" s="45">
        <f>IFERROR(__xludf.DUMMYFUNCTION("""COMPUTED_VALUE"""),205654.0)</f>
        <v>205654</v>
      </c>
      <c r="AE12" s="45" t="str">
        <f>IFERROR(__xludf.DUMMYFUNCTION("""COMPUTED_VALUE"""),"TRF 10-09")</f>
        <v>TRF 10-09</v>
      </c>
      <c r="AF12" s="45" t="str">
        <f>IFERROR(__xludf.DUMMYFUNCTION("""COMPUTED_VALUE"""),"No Corresp")</f>
        <v>No Corresp</v>
      </c>
      <c r="AG12" s="45" t="str">
        <f>IFERROR(__xludf.DUMMYFUNCTION("""COMPUTED_VALUE"""),"SI")</f>
        <v>SI</v>
      </c>
    </row>
    <row r="13" hidden="1">
      <c r="B13" s="83">
        <f>IFERROR(__xludf.DUMMYFUNCTION("""COMPUTED_VALUE"""),45535.668018310185)</f>
        <v>45535.66802</v>
      </c>
      <c r="C13" s="43" t="str">
        <f>IFERROR(__xludf.DUMMYFUNCTION("""COMPUTED_VALUE"""),"Pedro Paulo")</f>
        <v>Pedro Paulo</v>
      </c>
      <c r="D13" s="43" t="str">
        <f>IFERROR(__xludf.DUMMYFUNCTION("""COMPUTED_VALUE"""),"Pinto")</f>
        <v>Pinto</v>
      </c>
      <c r="E13" s="43" t="str">
        <f>IFERROR(__xludf.DUMMYFUNCTION("""COMPUTED_VALUE"""),"Buenos Aires")</f>
        <v>Buenos Aires</v>
      </c>
      <c r="F13" s="7" t="str">
        <f>IFERROR(__xludf.DUMMYFUNCTION("""COMPUTED_VALUE"""),"ARG")</f>
        <v>ARG</v>
      </c>
      <c r="G13" s="7">
        <f>IFERROR(__xludf.DUMMYFUNCTION("""COMPUTED_VALUE"""),5.1705498E7)</f>
        <v>51705498</v>
      </c>
      <c r="H13" s="44">
        <f>IFERROR(__xludf.DUMMYFUNCTION("""COMPUTED_VALUE"""),36770.0)</f>
        <v>36770</v>
      </c>
      <c r="I13" s="45">
        <f>IFERROR(__xludf.DUMMYFUNCTION("""COMPUTED_VALUE"""),1.168550109E9)</f>
        <v>1168550109</v>
      </c>
      <c r="J13" s="45"/>
      <c r="K13" s="45" t="str">
        <f>IFERROR(__xludf.DUMMYFUNCTION("""COMPUTED_VALUE"""),"pinto0pedro1paulo9@gmail.com")</f>
        <v>pinto0pedro1paulo9@gmail.com</v>
      </c>
      <c r="L13" s="45" t="str">
        <f>IFERROR(__xludf.DUMMYFUNCTION("""COMPUTED_VALUE"""),"Masculino")</f>
        <v>Masculino</v>
      </c>
      <c r="M13" s="45" t="str">
        <f>IFERROR(__xludf.DUMMYFUNCTION("""COMPUTED_VALUE"""),"CNSI-Cvsi")</f>
        <v>CNSI-Cvsi</v>
      </c>
      <c r="N13" s="45" t="str">
        <f>IFERROR(__xludf.DUMMYFUNCTION("""COMPUTED_VALUE"""),"senior")</f>
        <v>senior</v>
      </c>
      <c r="O13" s="45" t="str">
        <f>IFERROR(__xludf.DUMMYFUNCTION("""COMPUTED_VALUE"""),"ILCA 7")</f>
        <v>ILCA 7</v>
      </c>
      <c r="P13" s="45"/>
      <c r="Q13" s="45">
        <f>IFERROR(__xludf.DUMMYFUNCTION("""COMPUTED_VALUE"""),202572.0)</f>
        <v>202572</v>
      </c>
      <c r="R13" s="45"/>
      <c r="S13" s="45"/>
      <c r="T13" s="45"/>
      <c r="U13" s="45"/>
      <c r="V13" s="45"/>
      <c r="W13" s="45"/>
      <c r="X13" s="45"/>
      <c r="Y13" s="45" t="str">
        <f>IFERROR(__xludf.DUMMYFUNCTION("""COMPUTED_VALUE"""),"Colegio Escribanos Provincia BsAs")</f>
        <v>Colegio Escribanos Provincia BsAs</v>
      </c>
      <c r="Z13" s="45" t="str">
        <f>IFERROR(__xludf.DUMMYFUNCTION("""COMPUTED_VALUE"""),"Si")</f>
        <v>Si</v>
      </c>
      <c r="AA13" s="7" t="str">
        <f>IFERROR(__xludf.DUMMYFUNCTION("""COMPUTED_VALUE"""),"Acepto")</f>
        <v>Acepto</v>
      </c>
      <c r="AB13" s="45" t="str">
        <f>IFERROR(__xludf.DUMMYFUNCTION("""COMPUTED_VALUE"""),"Repetido")</f>
        <v>Repetido</v>
      </c>
      <c r="AC13" s="7"/>
      <c r="AD13" s="45"/>
      <c r="AE13" s="45"/>
      <c r="AF13" s="45" t="str">
        <f>IFERROR(__xludf.DUMMYFUNCTION("""COMPUTED_VALUE"""),"No Corresp")</f>
        <v>No Corresp</v>
      </c>
      <c r="AG13" s="45"/>
    </row>
    <row r="14">
      <c r="B14" s="83">
        <f>IFERROR(__xludf.DUMMYFUNCTION("""COMPUTED_VALUE"""),45535.49352118056)</f>
        <v>45535.49352</v>
      </c>
      <c r="C14" s="43" t="str">
        <f>IFERROR(__xludf.DUMMYFUNCTION("""COMPUTED_VALUE"""),"Pedro")</f>
        <v>Pedro</v>
      </c>
      <c r="D14" s="43" t="str">
        <f>IFERROR(__xludf.DUMMYFUNCTION("""COMPUTED_VALUE"""),"Rodriguez Reynoso")</f>
        <v>Rodriguez Reynoso</v>
      </c>
      <c r="E14" s="43" t="str">
        <f>IFERROR(__xludf.DUMMYFUNCTION("""COMPUTED_VALUE"""),"Buenos aires")</f>
        <v>Buenos aires</v>
      </c>
      <c r="F14" s="7" t="str">
        <f>IFERROR(__xludf.DUMMYFUNCTION("""COMPUTED_VALUE"""),"ARG")</f>
        <v>ARG</v>
      </c>
      <c r="G14" s="7">
        <f>IFERROR(__xludf.DUMMYFUNCTION("""COMPUTED_VALUE"""),4.7436764E7)</f>
        <v>47436764</v>
      </c>
      <c r="H14" s="44">
        <f>IFERROR(__xludf.DUMMYFUNCTION("""COMPUTED_VALUE"""),38945.0)</f>
        <v>38945</v>
      </c>
      <c r="I14" s="45">
        <f>IFERROR(__xludf.DUMMYFUNCTION("""COMPUTED_VALUE"""),1.159460039E9)</f>
        <v>1159460039</v>
      </c>
      <c r="J14" s="45">
        <f>IFERROR(__xludf.DUMMYFUNCTION("""COMPUTED_VALUE"""),1.151832001E9)</f>
        <v>1151832001</v>
      </c>
      <c r="K14" s="45" t="str">
        <f>IFERROR(__xludf.DUMMYFUNCTION("""COMPUTED_VALUE"""),"pedrorodriguezreynoso54@gmail.com")</f>
        <v>pedrorodriguezreynoso54@gmail.com</v>
      </c>
      <c r="L14" s="45" t="str">
        <f>IFERROR(__xludf.DUMMYFUNCTION("""COMPUTED_VALUE"""),"Masculino")</f>
        <v>Masculino</v>
      </c>
      <c r="M14" s="45" t="str">
        <f>IFERROR(__xludf.DUMMYFUNCTION("""COMPUTED_VALUE"""),"CNO")</f>
        <v>CNO</v>
      </c>
      <c r="N14" s="45" t="str">
        <f>IFERROR(__xludf.DUMMYFUNCTION("""COMPUTED_VALUE"""),"U21")</f>
        <v>U21</v>
      </c>
      <c r="O14" s="45" t="str">
        <f>IFERROR(__xludf.DUMMYFUNCTION("""COMPUTED_VALUE"""),"ILCA 7")</f>
        <v>ILCA 7</v>
      </c>
      <c r="P14" s="45" t="str">
        <f>IFERROR(__xludf.DUMMYFUNCTION("""COMPUTED_VALUE"""),".")</f>
        <v>.</v>
      </c>
      <c r="Q14" s="45">
        <f>IFERROR(__xludf.DUMMYFUNCTION("""COMPUTED_VALUE"""),219355.0)</f>
        <v>219355</v>
      </c>
      <c r="R14" s="45" t="str">
        <f>IFERROR(__xludf.DUMMYFUNCTION("""COMPUTED_VALUE"""),"Cruz diablo")</f>
        <v>Cruz diablo</v>
      </c>
      <c r="S14" s="45"/>
      <c r="T14" s="45"/>
      <c r="U14" s="45"/>
      <c r="V14" s="45"/>
      <c r="W14" s="45"/>
      <c r="X14" s="45"/>
      <c r="Y14" s="45" t="str">
        <f>IFERROR(__xludf.DUMMYFUNCTION("""COMPUTED_VALUE"""),"Swiss medical")</f>
        <v>Swiss medical</v>
      </c>
      <c r="Z14" s="45" t="str">
        <f>IFERROR(__xludf.DUMMYFUNCTION("""COMPUTED_VALUE"""),"No")</f>
        <v>No</v>
      </c>
      <c r="AA14" s="7" t="str">
        <f>IFERROR(__xludf.DUMMYFUNCTION("""COMPUTED_VALUE"""),"Acepto")</f>
        <v>Acepto</v>
      </c>
      <c r="AB14" s="45" t="str">
        <f>IFERROR(__xludf.DUMMYFUNCTION("""COMPUTED_VALUE"""),"Terminado")</f>
        <v>Terminado</v>
      </c>
      <c r="AC14" s="7">
        <f>IFERROR(__xludf.DUMMYFUNCTION("""COMPUTED_VALUE"""),45000.0)</f>
        <v>45000</v>
      </c>
      <c r="AD14" s="45">
        <f>IFERROR(__xludf.DUMMYFUNCTION("""COMPUTED_VALUE"""),205642.0)</f>
        <v>205642</v>
      </c>
      <c r="AE14" s="45" t="str">
        <f>IFERROR(__xludf.DUMMYFUNCTION("""COMPUTED_VALUE"""),"TRF 10-09")</f>
        <v>TRF 10-09</v>
      </c>
      <c r="AF14" s="45" t="str">
        <f>IFERROR(__xludf.DUMMYFUNCTION("""COMPUTED_VALUE"""),"No Corresp")</f>
        <v>No Corresp</v>
      </c>
      <c r="AG14" s="45"/>
    </row>
    <row r="15">
      <c r="B15" s="83">
        <f>IFERROR(__xludf.DUMMYFUNCTION("""COMPUTED_VALUE"""),45540.6187827199)</f>
        <v>45540.61878</v>
      </c>
      <c r="C15" s="43" t="str">
        <f>IFERROR(__xludf.DUMMYFUNCTION("""COMPUTED_VALUE"""),"Mariano")</f>
        <v>Mariano</v>
      </c>
      <c r="D15" s="43" t="str">
        <f>IFERROR(__xludf.DUMMYFUNCTION("""COMPUTED_VALUE"""),"Saul")</f>
        <v>Saul</v>
      </c>
      <c r="E15" s="43" t="str">
        <f>IFERROR(__xludf.DUMMYFUNCTION("""COMPUTED_VALUE"""),"Vicente Lopez")</f>
        <v>Vicente Lopez</v>
      </c>
      <c r="F15" s="7" t="str">
        <f>IFERROR(__xludf.DUMMYFUNCTION("""COMPUTED_VALUE"""),"ARG")</f>
        <v>ARG</v>
      </c>
      <c r="G15" s="7">
        <f>IFERROR(__xludf.DUMMYFUNCTION("""COMPUTED_VALUE"""),2.3374203E7)</f>
        <v>23374203</v>
      </c>
      <c r="H15" s="44">
        <f>IFERROR(__xludf.DUMMYFUNCTION("""COMPUTED_VALUE"""),26786.0)</f>
        <v>26786</v>
      </c>
      <c r="I15" s="45">
        <f>IFERROR(__xludf.DUMMYFUNCTION("""COMPUTED_VALUE"""),1.557131286E9)</f>
        <v>1557131286</v>
      </c>
      <c r="J15" s="45">
        <f>IFERROR(__xludf.DUMMYFUNCTION("""COMPUTED_VALUE"""),1.563668146E9)</f>
        <v>1563668146</v>
      </c>
      <c r="K15" s="45" t="str">
        <f>IFERROR(__xludf.DUMMYFUNCTION("""COMPUTED_VALUE"""),"mariguard02@yahoo.com.ar")</f>
        <v>mariguard02@yahoo.com.ar</v>
      </c>
      <c r="L15" s="45" t="str">
        <f>IFERROR(__xludf.DUMMYFUNCTION("""COMPUTED_VALUE"""),"Masculino")</f>
        <v>Masculino</v>
      </c>
      <c r="M15" s="45" t="str">
        <f>IFERROR(__xludf.DUMMYFUNCTION("""COMPUTED_VALUE"""),"YCO")</f>
        <v>YCO</v>
      </c>
      <c r="N15" s="45" t="str">
        <f>IFERROR(__xludf.DUMMYFUNCTION("""COMPUTED_VALUE"""),"Master (ILCA)")</f>
        <v>Master (ILCA)</v>
      </c>
      <c r="O15" s="45" t="str">
        <f>IFERROR(__xludf.DUMMYFUNCTION("""COMPUTED_VALUE"""),"ILCA 7")</f>
        <v>ILCA 7</v>
      </c>
      <c r="P15" s="45"/>
      <c r="Q15" s="45">
        <f>IFERROR(__xludf.DUMMYFUNCTION("""COMPUTED_VALUE"""),211981.0)</f>
        <v>211981</v>
      </c>
      <c r="R15" s="45"/>
      <c r="S15" s="45"/>
      <c r="T15" s="45"/>
      <c r="U15" s="45"/>
      <c r="V15" s="45"/>
      <c r="W15" s="45"/>
      <c r="X15" s="45"/>
      <c r="Y15" s="45"/>
      <c r="Z15" s="45" t="str">
        <f>IFERROR(__xludf.DUMMYFUNCTION("""COMPUTED_VALUE"""),"Si")</f>
        <v>Si</v>
      </c>
      <c r="AA15" s="7" t="str">
        <f>IFERROR(__xludf.DUMMYFUNCTION("""COMPUTED_VALUE"""),"Acepto")</f>
        <v>Acepto</v>
      </c>
      <c r="AB15" s="45" t="str">
        <f>IFERROR(__xludf.DUMMYFUNCTION("""COMPUTED_VALUE"""),"Terminado")</f>
        <v>Terminado</v>
      </c>
      <c r="AC15" s="7">
        <f>IFERROR(__xludf.DUMMYFUNCTION("""COMPUTED_VALUE"""),45000.0)</f>
        <v>45000</v>
      </c>
      <c r="AD15" s="45"/>
      <c r="AE15" s="45" t="str">
        <f>IFERROR(__xludf.DUMMYFUNCTION("""COMPUTED_VALUE"""),"AF")</f>
        <v>AF</v>
      </c>
      <c r="AF15" s="45" t="str">
        <f>IFERROR(__xludf.DUMMYFUNCTION("""COMPUTED_VALUE"""),"No Corresp")</f>
        <v>No Corresp</v>
      </c>
      <c r="AG15" s="45"/>
    </row>
    <row r="16">
      <c r="B16" s="83">
        <f>IFERROR(__xludf.DUMMYFUNCTION("""COMPUTED_VALUE"""),45534.72008841435)</f>
        <v>45534.72009</v>
      </c>
      <c r="C16" s="43" t="str">
        <f>IFERROR(__xludf.DUMMYFUNCTION("""COMPUTED_VALUE"""),"ramiro")</f>
        <v>ramiro</v>
      </c>
      <c r="D16" s="43" t="str">
        <f>IFERROR(__xludf.DUMMYFUNCTION("""COMPUTED_VALUE"""),"Suarez Fabbro")</f>
        <v>Suarez Fabbro</v>
      </c>
      <c r="E16" s="43" t="str">
        <f>IFERROR(__xludf.DUMMYFUNCTION("""COMPUTED_VALUE"""),"cordoba")</f>
        <v>cordoba</v>
      </c>
      <c r="F16" s="7" t="str">
        <f>IFERROR(__xludf.DUMMYFUNCTION("""COMPUTED_VALUE"""),"ARG")</f>
        <v>ARG</v>
      </c>
      <c r="G16" s="7">
        <f>IFERROR(__xludf.DUMMYFUNCTION("""COMPUTED_VALUE"""),4.3142102E7)</f>
        <v>43142102</v>
      </c>
      <c r="H16" s="44">
        <f>IFERROR(__xludf.DUMMYFUNCTION("""COMPUTED_VALUE"""),36864.0)</f>
        <v>36864</v>
      </c>
      <c r="I16" s="45">
        <f>IFERROR(__xludf.DUMMYFUNCTION("""COMPUTED_VALUE"""),3.512025971E9)</f>
        <v>3512025971</v>
      </c>
      <c r="J16" s="45">
        <f>IFERROR(__xludf.DUMMYFUNCTION("""COMPUTED_VALUE"""),3.512025968E9)</f>
        <v>3512025968</v>
      </c>
      <c r="K16" s="45" t="str">
        <f>IFERROR(__xludf.DUMMYFUNCTION("""COMPUTED_VALUE"""),"Rsuarezfabbro@gmail.com")</f>
        <v>Rsuarezfabbro@gmail.com</v>
      </c>
      <c r="L16" s="45" t="str">
        <f>IFERROR(__xludf.DUMMYFUNCTION("""COMPUTED_VALUE"""),"Masculino")</f>
        <v>Masculino</v>
      </c>
      <c r="M16" s="45" t="str">
        <f>IFERROR(__xludf.DUMMYFUNCTION("""COMPUTED_VALUE"""),"CNC")</f>
        <v>CNC</v>
      </c>
      <c r="N16" s="45" t="str">
        <f>IFERROR(__xludf.DUMMYFUNCTION("""COMPUTED_VALUE"""),"senior")</f>
        <v>senior</v>
      </c>
      <c r="O16" s="45" t="str">
        <f>IFERROR(__xludf.DUMMYFUNCTION("""COMPUTED_VALUE"""),"ILCA 7")</f>
        <v>ILCA 7</v>
      </c>
      <c r="P16" s="45"/>
      <c r="Q16" s="45">
        <f>IFERROR(__xludf.DUMMYFUNCTION("""COMPUTED_VALUE"""),203212.0)</f>
        <v>203212</v>
      </c>
      <c r="R16" s="45"/>
      <c r="S16" s="45"/>
      <c r="T16" s="45"/>
      <c r="U16" s="45"/>
      <c r="V16" s="45"/>
      <c r="W16" s="45"/>
      <c r="X16" s="45"/>
      <c r="Y16" s="45" t="str">
        <f>IFERROR(__xludf.DUMMYFUNCTION("""COMPUTED_VALUE"""),"DASPU")</f>
        <v>DASPU</v>
      </c>
      <c r="Z16" s="45" t="str">
        <f>IFERROR(__xludf.DUMMYFUNCTION("""COMPUTED_VALUE"""),"No")</f>
        <v>No</v>
      </c>
      <c r="AA16" s="7" t="str">
        <f>IFERROR(__xludf.DUMMYFUNCTION("""COMPUTED_VALUE"""),"Acepto")</f>
        <v>Acepto</v>
      </c>
      <c r="AB16" s="45" t="str">
        <f>IFERROR(__xludf.DUMMYFUNCTION("""COMPUTED_VALUE"""),"Repetido")</f>
        <v>Repetido</v>
      </c>
      <c r="AC16" s="7"/>
      <c r="AD16" s="45"/>
      <c r="AE16" s="45"/>
      <c r="AF16" s="45" t="str">
        <f>IFERROR(__xludf.DUMMYFUNCTION("""COMPUTED_VALUE"""),"No Corresp")</f>
        <v>No Corresp</v>
      </c>
      <c r="AG16" s="45"/>
    </row>
    <row r="17">
      <c r="B17" s="83">
        <f>IFERROR(__xludf.DUMMYFUNCTION("""COMPUTED_VALUE"""),45534.726353148144)</f>
        <v>45534.72635</v>
      </c>
      <c r="C17" s="43" t="str">
        <f>IFERROR(__xludf.DUMMYFUNCTION("""COMPUTED_VALUE"""),"Ramiro")</f>
        <v>Ramiro</v>
      </c>
      <c r="D17" s="43" t="str">
        <f>IFERROR(__xludf.DUMMYFUNCTION("""COMPUTED_VALUE"""),"Suarez Fabbro")</f>
        <v>Suarez Fabbro</v>
      </c>
      <c r="E17" s="43" t="str">
        <f>IFERROR(__xludf.DUMMYFUNCTION("""COMPUTED_VALUE"""),"Córdoba")</f>
        <v>Córdoba</v>
      </c>
      <c r="F17" s="7" t="str">
        <f>IFERROR(__xludf.DUMMYFUNCTION("""COMPUTED_VALUE"""),"ARG")</f>
        <v>ARG</v>
      </c>
      <c r="G17" s="7">
        <f>IFERROR(__xludf.DUMMYFUNCTION("""COMPUTED_VALUE"""),4.3142102E7)</f>
        <v>43142102</v>
      </c>
      <c r="H17" s="44">
        <f>IFERROR(__xludf.DUMMYFUNCTION("""COMPUTED_VALUE"""),36864.0)</f>
        <v>36864</v>
      </c>
      <c r="I17" s="45">
        <f>IFERROR(__xludf.DUMMYFUNCTION("""COMPUTED_VALUE"""),3.512025971E9)</f>
        <v>3512025971</v>
      </c>
      <c r="J17" s="45">
        <f>IFERROR(__xludf.DUMMYFUNCTION("""COMPUTED_VALUE"""),3.512025968E9)</f>
        <v>3512025968</v>
      </c>
      <c r="K17" s="45" t="str">
        <f>IFERROR(__xludf.DUMMYFUNCTION("""COMPUTED_VALUE"""),"rsuarezfabbro@gmail.com")</f>
        <v>rsuarezfabbro@gmail.com</v>
      </c>
      <c r="L17" s="45" t="str">
        <f>IFERROR(__xludf.DUMMYFUNCTION("""COMPUTED_VALUE"""),"Masculino")</f>
        <v>Masculino</v>
      </c>
      <c r="M17" s="45" t="str">
        <f>IFERROR(__xludf.DUMMYFUNCTION("""COMPUTED_VALUE"""),"CNC")</f>
        <v>CNC</v>
      </c>
      <c r="N17" s="45" t="str">
        <f>IFERROR(__xludf.DUMMYFUNCTION("""COMPUTED_VALUE"""),"SENIOR")</f>
        <v>SENIOR</v>
      </c>
      <c r="O17" s="45" t="str">
        <f>IFERROR(__xludf.DUMMYFUNCTION("""COMPUTED_VALUE"""),"ILCA 7")</f>
        <v>ILCA 7</v>
      </c>
      <c r="P17" s="45"/>
      <c r="Q17" s="45">
        <f>IFERROR(__xludf.DUMMYFUNCTION("""COMPUTED_VALUE"""),203212.0)</f>
        <v>203212</v>
      </c>
      <c r="R17" s="45"/>
      <c r="S17" s="45"/>
      <c r="T17" s="45"/>
      <c r="U17" s="45"/>
      <c r="V17" s="45"/>
      <c r="W17" s="45"/>
      <c r="X17" s="45"/>
      <c r="Y17" s="45" t="str">
        <f>IFERROR(__xludf.DUMMYFUNCTION("""COMPUTED_VALUE"""),"DASPU")</f>
        <v>DASPU</v>
      </c>
      <c r="Z17" s="45" t="str">
        <f>IFERROR(__xludf.DUMMYFUNCTION("""COMPUTED_VALUE"""),"No")</f>
        <v>No</v>
      </c>
      <c r="AA17" s="7" t="str">
        <f>IFERROR(__xludf.DUMMYFUNCTION("""COMPUTED_VALUE"""),"Acepto")</f>
        <v>Acepto</v>
      </c>
      <c r="AB17" s="45" t="str">
        <f>IFERROR(__xludf.DUMMYFUNCTION("""COMPUTED_VALUE"""),"Terminado")</f>
        <v>Terminado</v>
      </c>
      <c r="AC17" s="7">
        <f>IFERROR(__xludf.DUMMYFUNCTION("""COMPUTED_VALUE"""),38250.0)</f>
        <v>38250</v>
      </c>
      <c r="AD17" s="45">
        <f>IFERROR(__xludf.DUMMYFUNCTION("""COMPUTED_VALUE"""),205137.0)</f>
        <v>205137</v>
      </c>
      <c r="AE17" s="45" t="str">
        <f>IFERROR(__xludf.DUMMYFUNCTION("""COMPUTED_VALUE"""),"TRF 30-08")</f>
        <v>TRF 30-08</v>
      </c>
      <c r="AF17" s="45" t="str">
        <f>IFERROR(__xludf.DUMMYFUNCTION("""COMPUTED_VALUE"""),"No Corresp")</f>
        <v>No Corresp</v>
      </c>
      <c r="AG17" s="45"/>
    </row>
    <row r="18">
      <c r="B18" s="83">
        <f>IFERROR(__xludf.DUMMYFUNCTION("""COMPUTED_VALUE"""),45541.40578393519)</f>
        <v>45541.40578</v>
      </c>
      <c r="C18" s="43" t="str">
        <f>IFERROR(__xludf.DUMMYFUNCTION("""COMPUTED_VALUE"""),"Thomas ")</f>
        <v>Thomas </v>
      </c>
      <c r="D18" s="43" t="str">
        <f>IFERROR(__xludf.DUMMYFUNCTION("""COMPUTED_VALUE"""),"Deho")</f>
        <v>Deho</v>
      </c>
      <c r="E18" s="43" t="str">
        <f>IFERROR(__xludf.DUMMYFUNCTION("""COMPUTED_VALUE"""),"Buenos Aires")</f>
        <v>Buenos Aires</v>
      </c>
      <c r="F18" s="7" t="str">
        <f>IFERROR(__xludf.DUMMYFUNCTION("""COMPUTED_VALUE"""),"ARG")</f>
        <v>ARG</v>
      </c>
      <c r="G18" s="7">
        <f>IFERROR(__xludf.DUMMYFUNCTION("""COMPUTED_VALUE"""),4.6958758E7)</f>
        <v>46958758</v>
      </c>
      <c r="H18" s="44">
        <f>IFERROR(__xludf.DUMMYFUNCTION("""COMPUTED_VALUE"""),38600.0)</f>
        <v>38600</v>
      </c>
      <c r="I18" s="45">
        <f>IFERROR(__xludf.DUMMYFUNCTION("""COMPUTED_VALUE"""),1.169403645E9)</f>
        <v>1169403645</v>
      </c>
      <c r="J18" s="45">
        <f>IFERROR(__xludf.DUMMYFUNCTION("""COMPUTED_VALUE"""),1.160965644E9)</f>
        <v>1160965644</v>
      </c>
      <c r="K18" s="45" t="str">
        <f>IFERROR(__xludf.DUMMYFUNCTION("""COMPUTED_VALUE"""),"thomasdeho@gmail.com")</f>
        <v>thomasdeho@gmail.com</v>
      </c>
      <c r="L18" s="45" t="str">
        <f>IFERROR(__xludf.DUMMYFUNCTION("""COMPUTED_VALUE"""),"Masculino")</f>
        <v>Masculino</v>
      </c>
      <c r="M18" s="45" t="str">
        <f>IFERROR(__xludf.DUMMYFUNCTION("""COMPUTED_VALUE"""),"CNA")</f>
        <v>CNA</v>
      </c>
      <c r="N18" s="45" t="str">
        <f>IFERROR(__xludf.DUMMYFUNCTION("""COMPUTED_VALUE"""),"Master (ILCA)")</f>
        <v>Master (ILCA)</v>
      </c>
      <c r="O18" s="45" t="str">
        <f>IFERROR(__xludf.DUMMYFUNCTION("""COMPUTED_VALUE"""),"ILCA 7")</f>
        <v>ILCA 7</v>
      </c>
      <c r="P18" s="45"/>
      <c r="Q18" s="45">
        <f>IFERROR(__xludf.DUMMYFUNCTION("""COMPUTED_VALUE"""),711.0)</f>
        <v>711</v>
      </c>
      <c r="R18" s="45"/>
      <c r="S18" s="45"/>
      <c r="T18" s="45"/>
      <c r="U18" s="45"/>
      <c r="V18" s="45"/>
      <c r="W18" s="45"/>
      <c r="X18" s="45"/>
      <c r="Y18" s="45"/>
      <c r="Z18" s="45" t="str">
        <f>IFERROR(__xludf.DUMMYFUNCTION("""COMPUTED_VALUE"""),"No")</f>
        <v>No</v>
      </c>
      <c r="AA18" s="7" t="str">
        <f>IFERROR(__xludf.DUMMYFUNCTION("""COMPUTED_VALUE"""),"Acepto")</f>
        <v>Acepto</v>
      </c>
      <c r="AB18" s="45" t="str">
        <f>IFERROR(__xludf.DUMMYFUNCTION("""COMPUTED_VALUE"""),"Terminado")</f>
        <v>Terminado</v>
      </c>
      <c r="AC18" s="7">
        <f>IFERROR(__xludf.DUMMYFUNCTION("""COMPUTED_VALUE"""),45000.0)</f>
        <v>45000</v>
      </c>
      <c r="AD18" s="45">
        <f>IFERROR(__xludf.DUMMYFUNCTION("""COMPUTED_VALUE"""),205576.0)</f>
        <v>205576</v>
      </c>
      <c r="AE18" s="45" t="str">
        <f>IFERROR(__xludf.DUMMYFUNCTION("""COMPUTED_VALUE"""),"TRF 07-09")</f>
        <v>TRF 07-09</v>
      </c>
      <c r="AF18" s="45" t="str">
        <f>IFERROR(__xludf.DUMMYFUNCTION("""COMPUTED_VALUE"""),"No Corresp")</f>
        <v>No Corresp</v>
      </c>
      <c r="AG18" s="45"/>
    </row>
    <row r="19">
      <c r="B19" s="83">
        <f>IFERROR(__xludf.DUMMYFUNCTION("""COMPUTED_VALUE"""),45543.76980365741)</f>
        <v>45543.7698</v>
      </c>
      <c r="C19" s="43" t="str">
        <f>IFERROR(__xludf.DUMMYFUNCTION("""COMPUTED_VALUE"""),"JAVO")</f>
        <v>JAVO</v>
      </c>
      <c r="D19" s="43" t="str">
        <f>IFERROR(__xludf.DUMMYFUNCTION("""COMPUTED_VALUE"""),"GEIMAN")</f>
        <v>GEIMAN</v>
      </c>
      <c r="E19" s="43" t="str">
        <f>IFERROR(__xludf.DUMMYFUNCTION("""COMPUTED_VALUE"""),"OLIVOS")</f>
        <v>OLIVOS</v>
      </c>
      <c r="F19" s="7" t="str">
        <f>IFERROR(__xludf.DUMMYFUNCTION("""COMPUTED_VALUE"""),"ARG")</f>
        <v>ARG</v>
      </c>
      <c r="G19" s="7">
        <f>IFERROR(__xludf.DUMMYFUNCTION("""COMPUTED_VALUE"""),1.6640116E7)</f>
        <v>16640116</v>
      </c>
      <c r="H19" s="44">
        <f>IFERROR(__xludf.DUMMYFUNCTION("""COMPUTED_VALUE"""),23304.0)</f>
        <v>23304</v>
      </c>
      <c r="I19" s="45">
        <f>IFERROR(__xludf.DUMMYFUNCTION("""COMPUTED_VALUE"""),1.1686301E9)</f>
        <v>1168630100</v>
      </c>
      <c r="J19" s="45">
        <f>IFERROR(__xludf.DUMMYFUNCTION("""COMPUTED_VALUE"""),1.1688102E9)</f>
        <v>1168810200</v>
      </c>
      <c r="K19" s="45" t="str">
        <f>IFERROR(__xludf.DUMMYFUNCTION("""COMPUTED_VALUE"""),"javogeiman@gmail.com")</f>
        <v>javogeiman@gmail.com</v>
      </c>
      <c r="L19" s="45" t="str">
        <f>IFERROR(__xludf.DUMMYFUNCTION("""COMPUTED_VALUE"""),"Masculino")</f>
        <v>Masculino</v>
      </c>
      <c r="M19" s="45" t="str">
        <f>IFERROR(__xludf.DUMMYFUNCTION("""COMPUTED_VALUE"""),"YCO")</f>
        <v>YCO</v>
      </c>
      <c r="N19" s="45" t="str">
        <f>IFERROR(__xludf.DUMMYFUNCTION("""COMPUTED_VALUE"""),"Master (ILCA)")</f>
        <v>Master (ILCA)</v>
      </c>
      <c r="O19" s="45" t="str">
        <f>IFERROR(__xludf.DUMMYFUNCTION("""COMPUTED_VALUE"""),"ILCA 7")</f>
        <v>ILCA 7</v>
      </c>
      <c r="P19" s="45"/>
      <c r="Q19" s="45">
        <f>IFERROR(__xludf.DUMMYFUNCTION("""COMPUTED_VALUE"""),206702.0)</f>
        <v>206702</v>
      </c>
      <c r="R19" s="45" t="str">
        <f>IFERROR(__xludf.DUMMYFUNCTION("""COMPUTED_VALUE"""),"MORFEO")</f>
        <v>MORFEO</v>
      </c>
      <c r="S19" s="45"/>
      <c r="T19" s="45"/>
      <c r="U19" s="45"/>
      <c r="V19" s="45"/>
      <c r="W19" s="45"/>
      <c r="X19" s="45"/>
      <c r="Y19" s="45"/>
      <c r="Z19" s="45" t="str">
        <f>IFERROR(__xludf.DUMMYFUNCTION("""COMPUTED_VALUE"""),"Si")</f>
        <v>Si</v>
      </c>
      <c r="AA19" s="7" t="str">
        <f>IFERROR(__xludf.DUMMYFUNCTION("""COMPUTED_VALUE"""),"Acepto")</f>
        <v>Acepto</v>
      </c>
      <c r="AB19" s="45" t="str">
        <f>IFERROR(__xludf.DUMMYFUNCTION("""COMPUTED_VALUE"""),"Pendiente")</f>
        <v>Pendiente</v>
      </c>
      <c r="AC19" s="7"/>
      <c r="AD19" s="45"/>
      <c r="AE19" s="45"/>
      <c r="AF19" s="45" t="str">
        <f>IFERROR(__xludf.DUMMYFUNCTION("""COMPUTED_VALUE"""),"No Corresp")</f>
        <v>No Corresp</v>
      </c>
      <c r="AG19" s="45"/>
    </row>
    <row r="20">
      <c r="B20" s="83">
        <f>IFERROR(__xludf.DUMMYFUNCTION("""COMPUTED_VALUE"""),45545.75832405093)</f>
        <v>45545.75832</v>
      </c>
      <c r="C20" s="43" t="str">
        <f>IFERROR(__xludf.DUMMYFUNCTION("""COMPUTED_VALUE"""),"Lucas")</f>
        <v>Lucas</v>
      </c>
      <c r="D20" s="43" t="str">
        <f>IFERROR(__xludf.DUMMYFUNCTION("""COMPUTED_VALUE"""),"Fagnani")</f>
        <v>Fagnani</v>
      </c>
      <c r="E20" s="43" t="str">
        <f>IFERROR(__xludf.DUMMYFUNCTION("""COMPUTED_VALUE"""),"General San Martín ")</f>
        <v>General San Martín </v>
      </c>
      <c r="F20" s="7" t="str">
        <f>IFERROR(__xludf.DUMMYFUNCTION("""COMPUTED_VALUE"""),"ARG")</f>
        <v>ARG</v>
      </c>
      <c r="G20" s="7">
        <f>IFERROR(__xludf.DUMMYFUNCTION("""COMPUTED_VALUE"""),3.0654303E7)</f>
        <v>30654303</v>
      </c>
      <c r="H20" s="44">
        <f>IFERROR(__xludf.DUMMYFUNCTION("""COMPUTED_VALUE"""),30668.0)</f>
        <v>30668</v>
      </c>
      <c r="I20" s="45">
        <f>IFERROR(__xludf.DUMMYFUNCTION("""COMPUTED_VALUE"""),1.157450073E9)</f>
        <v>1157450073</v>
      </c>
      <c r="J20" s="45">
        <f>IFERROR(__xludf.DUMMYFUNCTION("""COMPUTED_VALUE"""),1.166719827E9)</f>
        <v>1166719827</v>
      </c>
      <c r="K20" s="45" t="str">
        <f>IFERROR(__xludf.DUMMYFUNCTION("""COMPUTED_VALUE"""),"fagnanilucas@hotmail.com")</f>
        <v>fagnanilucas@hotmail.com</v>
      </c>
      <c r="L20" s="45" t="str">
        <f>IFERROR(__xludf.DUMMYFUNCTION("""COMPUTED_VALUE"""),"Masculino")</f>
        <v>Masculino</v>
      </c>
      <c r="M20" s="45" t="str">
        <f>IFERROR(__xludf.DUMMYFUNCTION("""COMPUTED_VALUE"""),"YCO - YCSI")</f>
        <v>YCO - YCSI</v>
      </c>
      <c r="N20" s="45" t="str">
        <f>IFERROR(__xludf.DUMMYFUNCTION("""COMPUTED_VALUE"""),"Master (ILCA)")</f>
        <v>Master (ILCA)</v>
      </c>
      <c r="O20" s="45" t="str">
        <f>IFERROR(__xludf.DUMMYFUNCTION("""COMPUTED_VALUE"""),"ILCA 7")</f>
        <v>ILCA 7</v>
      </c>
      <c r="P20" s="45"/>
      <c r="Q20" s="45">
        <f>IFERROR(__xludf.DUMMYFUNCTION("""COMPUTED_VALUE"""),202581.0)</f>
        <v>202581</v>
      </c>
      <c r="R20" s="45" t="str">
        <f>IFERROR(__xludf.DUMMYFUNCTION("""COMPUTED_VALUE"""),"-")</f>
        <v>-</v>
      </c>
      <c r="S20" s="45"/>
      <c r="T20" s="45"/>
      <c r="U20" s="45"/>
      <c r="V20" s="45"/>
      <c r="W20" s="45"/>
      <c r="X20" s="45"/>
      <c r="Y20" s="45" t="str">
        <f>IFERROR(__xludf.DUMMYFUNCTION("""COMPUTED_VALUE"""),"Swiss Medical")</f>
        <v>Swiss Medical</v>
      </c>
      <c r="Z20" s="45" t="str">
        <f>IFERROR(__xludf.DUMMYFUNCTION("""COMPUTED_VALUE"""),"Si")</f>
        <v>Si</v>
      </c>
      <c r="AA20" s="7" t="str">
        <f>IFERROR(__xludf.DUMMYFUNCTION("""COMPUTED_VALUE"""),"Acepto")</f>
        <v>Acepto</v>
      </c>
      <c r="AB20" s="45" t="str">
        <f>IFERROR(__xludf.DUMMYFUNCTION("""COMPUTED_VALUE"""),"Terminado")</f>
        <v>Terminado</v>
      </c>
      <c r="AC20" s="7">
        <f>IFERROR(__xludf.DUMMYFUNCTION("""COMPUTED_VALUE"""),45000.0)</f>
        <v>45000</v>
      </c>
      <c r="AD20" s="45">
        <f>IFERROR(__xludf.DUMMYFUNCTION("""COMPUTED_VALUE"""),205656.0)</f>
        <v>205656</v>
      </c>
      <c r="AE20" s="45" t="str">
        <f>IFERROR(__xludf.DUMMYFUNCTION("""COMPUTED_VALUE"""),"TRF 10-09")</f>
        <v>TRF 10-09</v>
      </c>
      <c r="AF20" s="45" t="str">
        <f>IFERROR(__xludf.DUMMYFUNCTION("""COMPUTED_VALUE"""),"No Corresp")</f>
        <v>No Corresp</v>
      </c>
      <c r="AG20" s="45"/>
    </row>
    <row r="21">
      <c r="B21" s="83">
        <f>IFERROR(__xludf.DUMMYFUNCTION("""COMPUTED_VALUE"""),45546.32849206019)</f>
        <v>45546.32849</v>
      </c>
      <c r="C21" s="43" t="str">
        <f>IFERROR(__xludf.DUMMYFUNCTION("""COMPUTED_VALUE"""),"Diego")</f>
        <v>Diego</v>
      </c>
      <c r="D21" s="43" t="str">
        <f>IFERROR(__xludf.DUMMYFUNCTION("""COMPUTED_VALUE"""),"Moreno")</f>
        <v>Moreno</v>
      </c>
      <c r="E21" s="43" t="str">
        <f>IFERROR(__xludf.DUMMYFUNCTION("""COMPUTED_VALUE"""),"Buenos Aires")</f>
        <v>Buenos Aires</v>
      </c>
      <c r="F21" s="7" t="str">
        <f>IFERROR(__xludf.DUMMYFUNCTION("""COMPUTED_VALUE"""),"ARG")</f>
        <v>ARG</v>
      </c>
      <c r="G21" s="7">
        <f>IFERROR(__xludf.DUMMYFUNCTION("""COMPUTED_VALUE"""),2.2657058E7)</f>
        <v>22657058</v>
      </c>
      <c r="H21" s="44">
        <f>IFERROR(__xludf.DUMMYFUNCTION("""COMPUTED_VALUE"""),26433.0)</f>
        <v>26433</v>
      </c>
      <c r="I21" s="45">
        <f>IFERROR(__xludf.DUMMYFUNCTION("""COMPUTED_VALUE"""),1.169536564E9)</f>
        <v>1169536564</v>
      </c>
      <c r="J21" s="45">
        <f>IFERROR(__xludf.DUMMYFUNCTION("""COMPUTED_VALUE"""),1.157674944E9)</f>
        <v>1157674944</v>
      </c>
      <c r="K21" s="45" t="str">
        <f>IFERROR(__xludf.DUMMYFUNCTION("""COMPUTED_VALUE"""),"Diegofvsa@gmail,com")</f>
        <v>Diegofvsa@gmail,com</v>
      </c>
      <c r="L21" s="45" t="str">
        <f>IFERROR(__xludf.DUMMYFUNCTION("""COMPUTED_VALUE"""),"Masculino")</f>
        <v>Masculino</v>
      </c>
      <c r="M21" s="45" t="str">
        <f>IFERROR(__xludf.DUMMYFUNCTION("""COMPUTED_VALUE"""),"YCO")</f>
        <v>YCO</v>
      </c>
      <c r="N21" s="45" t="str">
        <f>IFERROR(__xludf.DUMMYFUNCTION("""COMPUTED_VALUE"""),"Master (ILCA)")</f>
        <v>Master (ILCA)</v>
      </c>
      <c r="O21" s="45" t="str">
        <f>IFERROR(__xludf.DUMMYFUNCTION("""COMPUTED_VALUE"""),"ILCA 7")</f>
        <v>ILCA 7</v>
      </c>
      <c r="P21" s="45"/>
      <c r="Q21" s="45">
        <f>IFERROR(__xludf.DUMMYFUNCTION("""COMPUTED_VALUE"""),8.0)</f>
        <v>8</v>
      </c>
      <c r="R21" s="45" t="str">
        <f>IFERROR(__xludf.DUMMYFUNCTION("""COMPUTED_VALUE"""),"Picado fino")</f>
        <v>Picado fino</v>
      </c>
      <c r="S21" s="45"/>
      <c r="T21" s="45"/>
      <c r="U21" s="45"/>
      <c r="V21" s="45"/>
      <c r="W21" s="45"/>
      <c r="X21" s="45"/>
      <c r="Y21" s="45"/>
      <c r="Z21" s="45" t="str">
        <f>IFERROR(__xludf.DUMMYFUNCTION("""COMPUTED_VALUE"""),"Si")</f>
        <v>Si</v>
      </c>
      <c r="AA21" s="7" t="str">
        <f>IFERROR(__xludf.DUMMYFUNCTION("""COMPUTED_VALUE"""),"Acepto")</f>
        <v>Acepto</v>
      </c>
      <c r="AB21" s="45" t="str">
        <f>IFERROR(__xludf.DUMMYFUNCTION("""COMPUTED_VALUE"""),"Pendiente")</f>
        <v>Pendiente</v>
      </c>
      <c r="AC21" s="7"/>
      <c r="AD21" s="45"/>
      <c r="AE21" s="45"/>
      <c r="AF21" s="45" t="str">
        <f>IFERROR(__xludf.DUMMYFUNCTION("""COMPUTED_VALUE"""),"No Corresp")</f>
        <v>No Corresp</v>
      </c>
      <c r="AG21" s="45"/>
    </row>
    <row r="22">
      <c r="B22" s="83">
        <f>IFERROR(__xludf.DUMMYFUNCTION("""COMPUTED_VALUE"""),45546.44513101852)</f>
        <v>45546.44513</v>
      </c>
      <c r="C22" s="43" t="str">
        <f>IFERROR(__xludf.DUMMYFUNCTION("""COMPUTED_VALUE"""),"Delfin")</f>
        <v>Delfin</v>
      </c>
      <c r="D22" s="43" t="str">
        <f>IFERROR(__xludf.DUMMYFUNCTION("""COMPUTED_VALUE"""),"Nogues")</f>
        <v>Nogues</v>
      </c>
      <c r="E22" s="43" t="str">
        <f>IFERROR(__xludf.DUMMYFUNCTION("""COMPUTED_VALUE"""),"Pilar")</f>
        <v>Pilar</v>
      </c>
      <c r="F22" s="7" t="str">
        <f>IFERROR(__xludf.DUMMYFUNCTION("""COMPUTED_VALUE"""),"ARG")</f>
        <v>ARG</v>
      </c>
      <c r="G22" s="7">
        <f>IFERROR(__xludf.DUMMYFUNCTION("""COMPUTED_VALUE"""),4.6025948E7)</f>
        <v>46025948</v>
      </c>
      <c r="H22" s="44">
        <f>IFERROR(__xludf.DUMMYFUNCTION("""COMPUTED_VALUE"""),38250.0)</f>
        <v>38250</v>
      </c>
      <c r="I22" s="45">
        <f>IFERROR(__xludf.DUMMYFUNCTION("""COMPUTED_VALUE"""),1.137828754E9)</f>
        <v>1137828754</v>
      </c>
      <c r="J22" s="45">
        <f>IFERROR(__xludf.DUMMYFUNCTION("""COMPUTED_VALUE"""),1.137828753E9)</f>
        <v>1137828753</v>
      </c>
      <c r="K22" s="45" t="str">
        <f>IFERROR(__xludf.DUMMYFUNCTION("""COMPUTED_VALUE"""),"delfinlaser@gmail.com")</f>
        <v>delfinlaser@gmail.com</v>
      </c>
      <c r="L22" s="45" t="str">
        <f>IFERROR(__xludf.DUMMYFUNCTION("""COMPUTED_VALUE"""),"Masculino")</f>
        <v>Masculino</v>
      </c>
      <c r="M22" s="45" t="str">
        <f>IFERROR(__xludf.DUMMYFUNCTION("""COMPUTED_VALUE"""),"CNO")</f>
        <v>CNO</v>
      </c>
      <c r="N22" s="45"/>
      <c r="O22" s="45" t="str">
        <f>IFERROR(__xludf.DUMMYFUNCTION("""COMPUTED_VALUE"""),"ILCA 7")</f>
        <v>ILCA 7</v>
      </c>
      <c r="P22" s="45"/>
      <c r="Q22" s="45">
        <f>IFERROR(__xludf.DUMMYFUNCTION("""COMPUTED_VALUE"""),238.0)</f>
        <v>238</v>
      </c>
      <c r="R22" s="45" t="str">
        <f>IFERROR(__xludf.DUMMYFUNCTION("""COMPUTED_VALUE"""),"xx")</f>
        <v>xx</v>
      </c>
      <c r="S22" s="45"/>
      <c r="T22" s="45"/>
      <c r="U22" s="45"/>
      <c r="V22" s="45"/>
      <c r="W22" s="45"/>
      <c r="X22" s="45"/>
      <c r="Y22" s="45"/>
      <c r="Z22" s="45" t="str">
        <f>IFERROR(__xludf.DUMMYFUNCTION("""COMPUTED_VALUE"""),"No")</f>
        <v>No</v>
      </c>
      <c r="AA22" s="7" t="str">
        <f>IFERROR(__xludf.DUMMYFUNCTION("""COMPUTED_VALUE"""),"Acepto")</f>
        <v>Acepto</v>
      </c>
      <c r="AB22" s="45" t="str">
        <f>IFERROR(__xludf.DUMMYFUNCTION("""COMPUTED_VALUE"""),"Pendiente")</f>
        <v>Pendiente</v>
      </c>
      <c r="AC22" s="7"/>
      <c r="AD22" s="45"/>
      <c r="AE22" s="45"/>
      <c r="AF22" s="45" t="str">
        <f>IFERROR(__xludf.DUMMYFUNCTION("""COMPUTED_VALUE"""),"No Corresp")</f>
        <v>No Corresp</v>
      </c>
      <c r="AG22" s="45"/>
    </row>
    <row r="23">
      <c r="B23" s="83">
        <f>IFERROR(__xludf.DUMMYFUNCTION("""COMPUTED_VALUE"""),45546.82565758102)</f>
        <v>45546.82566</v>
      </c>
      <c r="C23" s="43" t="str">
        <f>IFERROR(__xludf.DUMMYFUNCTION("""COMPUTED_VALUE"""),"Ramon")</f>
        <v>Ramon</v>
      </c>
      <c r="D23" s="43" t="str">
        <f>IFERROR(__xludf.DUMMYFUNCTION("""COMPUTED_VALUE"""),"Frene")</f>
        <v>Frene</v>
      </c>
      <c r="E23" s="43" t="str">
        <f>IFERROR(__xludf.DUMMYFUNCTION("""COMPUTED_VALUE"""),"Olivos")</f>
        <v>Olivos</v>
      </c>
      <c r="F23" s="7" t="str">
        <f>IFERROR(__xludf.DUMMYFUNCTION("""COMPUTED_VALUE"""),"ARG")</f>
        <v>ARG</v>
      </c>
      <c r="G23" s="7">
        <f>IFERROR(__xludf.DUMMYFUNCTION("""COMPUTED_VALUE"""),4.7692351E7)</f>
        <v>47692351</v>
      </c>
      <c r="H23" s="44">
        <f>IFERROR(__xludf.DUMMYFUNCTION("""COMPUTED_VALUE"""),39107.0)</f>
        <v>39107</v>
      </c>
      <c r="I23" s="45">
        <f>IFERROR(__xludf.DUMMYFUNCTION("""COMPUTED_VALUE"""),1.132976387E9)</f>
        <v>1132976387</v>
      </c>
      <c r="J23" s="45">
        <f>IFERROR(__xludf.DUMMYFUNCTION("""COMPUTED_VALUE"""),1.132977377E9)</f>
        <v>1132977377</v>
      </c>
      <c r="K23" s="45" t="str">
        <f>IFERROR(__xludf.DUMMYFUNCTION("""COMPUTED_VALUE"""),"ramonfrene07@gmail.com")</f>
        <v>ramonfrene07@gmail.com</v>
      </c>
      <c r="L23" s="45" t="str">
        <f>IFERROR(__xludf.DUMMYFUNCTION("""COMPUTED_VALUE"""),"Masculino")</f>
        <v>Masculino</v>
      </c>
      <c r="M23" s="45" t="str">
        <f>IFERROR(__xludf.DUMMYFUNCTION("""COMPUTED_VALUE"""),"CNO")</f>
        <v>CNO</v>
      </c>
      <c r="N23" s="45"/>
      <c r="O23" s="45" t="str">
        <f>IFERROR(__xludf.DUMMYFUNCTION("""COMPUTED_VALUE"""),"ILCA 7")</f>
        <v>ILCA 7</v>
      </c>
      <c r="P23" s="45"/>
      <c r="Q23" s="45">
        <f>IFERROR(__xludf.DUMMYFUNCTION("""COMPUTED_VALUE"""),201297.0)</f>
        <v>201297</v>
      </c>
      <c r="R23" s="45"/>
      <c r="S23" s="45"/>
      <c r="T23" s="45"/>
      <c r="U23" s="45"/>
      <c r="V23" s="45"/>
      <c r="W23" s="45"/>
      <c r="X23" s="45"/>
      <c r="Y23" s="45" t="str">
        <f>IFERROR(__xludf.DUMMYFUNCTION("""COMPUTED_VALUE"""),"OSDE")</f>
        <v>OSDE</v>
      </c>
      <c r="Z23" s="45" t="str">
        <f>IFERROR(__xludf.DUMMYFUNCTION("""COMPUTED_VALUE"""),"No")</f>
        <v>No</v>
      </c>
      <c r="AA23" s="7" t="str">
        <f>IFERROR(__xludf.DUMMYFUNCTION("""COMPUTED_VALUE"""),"Acepto")</f>
        <v>Acepto</v>
      </c>
      <c r="AB23" s="45" t="str">
        <f>IFERROR(__xludf.DUMMYFUNCTION("""COMPUTED_VALUE"""),"Terminado")</f>
        <v>Terminado</v>
      </c>
      <c r="AC23" s="7">
        <f>IFERROR(__xludf.DUMMYFUNCTION("""COMPUTED_VALUE"""),45000.0)</f>
        <v>45000</v>
      </c>
      <c r="AD23" s="45">
        <f>IFERROR(__xludf.DUMMYFUNCTION("""COMPUTED_VALUE"""),205703.0)</f>
        <v>205703</v>
      </c>
      <c r="AE23" s="45" t="str">
        <f>IFERROR(__xludf.DUMMYFUNCTION("""COMPUTED_VALUE"""),"TRF 11-09")</f>
        <v>TRF 11-09</v>
      </c>
      <c r="AF23" s="45" t="str">
        <f>IFERROR(__xludf.DUMMYFUNCTION("""COMPUTED_VALUE"""),"OK")</f>
        <v>OK</v>
      </c>
      <c r="AG23" s="45"/>
    </row>
    <row r="24">
      <c r="B24" s="83">
        <f>IFERROR(__xludf.DUMMYFUNCTION("""COMPUTED_VALUE"""),45547.47760787037)</f>
        <v>45547.47761</v>
      </c>
      <c r="C24" s="43" t="str">
        <f>IFERROR(__xludf.DUMMYFUNCTION("""COMPUTED_VALUE"""),"Juan")</f>
        <v>Juan</v>
      </c>
      <c r="D24" s="43" t="str">
        <f>IFERROR(__xludf.DUMMYFUNCTION("""COMPUTED_VALUE"""),"Vugdelija")</f>
        <v>Vugdelija</v>
      </c>
      <c r="E24" s="43" t="str">
        <f>IFERROR(__xludf.DUMMYFUNCTION("""COMPUTED_VALUE"""),"Caba")</f>
        <v>Caba</v>
      </c>
      <c r="F24" s="7" t="str">
        <f>IFERROR(__xludf.DUMMYFUNCTION("""COMPUTED_VALUE"""),"ARG")</f>
        <v>ARG</v>
      </c>
      <c r="G24" s="7">
        <f>IFERROR(__xludf.DUMMYFUNCTION("""COMPUTED_VALUE"""),3.6594987E7)</f>
        <v>36594987</v>
      </c>
      <c r="H24" s="44">
        <f>IFERROR(__xludf.DUMMYFUNCTION("""COMPUTED_VALUE"""),33578.0)</f>
        <v>33578</v>
      </c>
      <c r="I24" s="45"/>
      <c r="J24" s="45"/>
      <c r="K24" s="45" t="str">
        <f>IFERROR(__xludf.DUMMYFUNCTION("""COMPUTED_VALUE"""),"juanvugdelija@gmail.com")</f>
        <v>juanvugdelija@gmail.com</v>
      </c>
      <c r="L24" s="45" t="str">
        <f>IFERROR(__xludf.DUMMYFUNCTION("""COMPUTED_VALUE"""),"Masculino")</f>
        <v>Masculino</v>
      </c>
      <c r="M24" s="45" t="str">
        <f>IFERROR(__xludf.DUMMYFUNCTION("""COMPUTED_VALUE"""),"CUBA")</f>
        <v>CUBA</v>
      </c>
      <c r="N24" s="45" t="str">
        <f>IFERROR(__xludf.DUMMYFUNCTION("""COMPUTED_VALUE"""),"Master (ILCA)")</f>
        <v>Master (ILCA)</v>
      </c>
      <c r="O24" s="45" t="str">
        <f>IFERROR(__xludf.DUMMYFUNCTION("""COMPUTED_VALUE"""),"ILCA 7")</f>
        <v>ILCA 7</v>
      </c>
      <c r="P24" s="45"/>
      <c r="Q24" s="45">
        <f>IFERROR(__xludf.DUMMYFUNCTION("""COMPUTED_VALUE"""),223035.0)</f>
        <v>223035</v>
      </c>
      <c r="R24" s="45"/>
      <c r="S24" s="45"/>
      <c r="T24" s="45"/>
      <c r="U24" s="45"/>
      <c r="V24" s="45"/>
      <c r="W24" s="45"/>
      <c r="X24" s="45"/>
      <c r="Y24" s="45"/>
      <c r="Z24" s="45" t="str">
        <f>IFERROR(__xludf.DUMMYFUNCTION("""COMPUTED_VALUE"""),"No")</f>
        <v>No</v>
      </c>
      <c r="AA24" s="7" t="str">
        <f>IFERROR(__xludf.DUMMYFUNCTION("""COMPUTED_VALUE"""),"Acepto")</f>
        <v>Acepto</v>
      </c>
      <c r="AB24" s="45" t="str">
        <f>IFERROR(__xludf.DUMMYFUNCTION("""COMPUTED_VALUE"""),"Pendiente")</f>
        <v>Pendiente</v>
      </c>
      <c r="AC24" s="7"/>
      <c r="AD24" s="45"/>
      <c r="AE24" s="45"/>
      <c r="AF24" s="45" t="str">
        <f>IFERROR(__xludf.DUMMYFUNCTION("""COMPUTED_VALUE"""),"No Corresp")</f>
        <v>No Corresp</v>
      </c>
      <c r="AG24" s="45"/>
    </row>
    <row r="25">
      <c r="B25" s="103"/>
      <c r="C25" s="43"/>
      <c r="D25" s="43"/>
      <c r="E25" s="43"/>
      <c r="F25" s="7"/>
      <c r="G25" s="7"/>
      <c r="AA25" s="7"/>
      <c r="AC25" s="7"/>
    </row>
    <row r="26">
      <c r="B26" s="103"/>
      <c r="C26" s="43"/>
      <c r="D26" s="43"/>
      <c r="E26" s="43"/>
      <c r="F26" s="7"/>
      <c r="G26" s="7"/>
      <c r="AA26" s="7"/>
      <c r="AC26" s="7"/>
    </row>
    <row r="27">
      <c r="C27" s="43"/>
      <c r="D27" s="43"/>
      <c r="E27" s="43"/>
      <c r="F27" s="7"/>
      <c r="G27" s="7"/>
      <c r="AA27" s="7"/>
      <c r="AC27" s="7"/>
    </row>
    <row r="28">
      <c r="C28" s="43"/>
      <c r="D28" s="43"/>
      <c r="E28" s="43"/>
      <c r="F28" s="7"/>
      <c r="G28" s="7"/>
      <c r="AA28" s="7"/>
      <c r="AC28" s="7"/>
    </row>
    <row r="29">
      <c r="C29" s="43"/>
      <c r="D29" s="43"/>
      <c r="E29" s="43"/>
      <c r="F29" s="7"/>
      <c r="G29" s="7"/>
      <c r="AA29" s="7"/>
      <c r="AC29" s="7"/>
    </row>
    <row r="30">
      <c r="D30" s="7"/>
      <c r="E30" s="7"/>
      <c r="F30" s="7"/>
      <c r="G30" s="7"/>
      <c r="AA30" s="7"/>
      <c r="AC30" s="7"/>
    </row>
    <row r="31">
      <c r="D31" s="7"/>
      <c r="E31" s="7"/>
      <c r="F31" s="7"/>
      <c r="G31" s="7"/>
      <c r="AA31" s="7"/>
      <c r="AC31" s="7"/>
    </row>
    <row r="32">
      <c r="D32" s="7"/>
      <c r="E32" s="7"/>
      <c r="F32" s="7"/>
      <c r="G32" s="7"/>
      <c r="AA32" s="7"/>
      <c r="AC32" s="7"/>
    </row>
    <row r="33">
      <c r="D33" s="7"/>
      <c r="E33" s="7"/>
      <c r="F33" s="7"/>
      <c r="G33" s="7"/>
      <c r="AA33" s="7"/>
      <c r="AC33" s="7"/>
    </row>
    <row r="34">
      <c r="D34" s="7"/>
      <c r="E34" s="7"/>
      <c r="F34" s="7"/>
      <c r="G34" s="7"/>
      <c r="AA34" s="7"/>
      <c r="AC34" s="7"/>
    </row>
    <row r="35">
      <c r="D35" s="7"/>
      <c r="E35" s="7"/>
      <c r="F35" s="7"/>
      <c r="G35" s="7"/>
      <c r="AA35" s="7"/>
      <c r="AC35" s="7"/>
    </row>
    <row r="36">
      <c r="D36" s="7"/>
      <c r="E36" s="7"/>
      <c r="F36" s="7"/>
      <c r="G36" s="7"/>
      <c r="AA36" s="7"/>
      <c r="AC36" s="7"/>
    </row>
    <row r="37">
      <c r="D37" s="7"/>
      <c r="E37" s="7"/>
      <c r="F37" s="7"/>
      <c r="G37" s="7"/>
      <c r="AA37" s="7"/>
      <c r="AC37" s="7"/>
    </row>
    <row r="38">
      <c r="D38" s="7"/>
      <c r="E38" s="7"/>
      <c r="F38" s="7"/>
      <c r="G38" s="7"/>
      <c r="AA38" s="7"/>
      <c r="AC38" s="7"/>
    </row>
    <row r="39">
      <c r="D39" s="7"/>
      <c r="E39" s="7"/>
      <c r="F39" s="7"/>
      <c r="G39" s="7"/>
      <c r="AA39" s="7"/>
      <c r="AC39" s="7"/>
    </row>
    <row r="40">
      <c r="D40" s="7"/>
      <c r="E40" s="7"/>
      <c r="F40" s="7"/>
      <c r="G40" s="7"/>
      <c r="AA40" s="7"/>
      <c r="AC40" s="7"/>
    </row>
    <row r="41">
      <c r="D41" s="7"/>
      <c r="E41" s="7"/>
      <c r="F41" s="7"/>
      <c r="G41" s="7"/>
      <c r="AA41" s="7"/>
      <c r="AC41" s="7"/>
    </row>
    <row r="42">
      <c r="D42" s="7"/>
      <c r="E42" s="7"/>
      <c r="F42" s="7"/>
      <c r="G42" s="7"/>
      <c r="AA42" s="7"/>
      <c r="AC42" s="7"/>
    </row>
    <row r="43">
      <c r="D43" s="7"/>
      <c r="E43" s="7"/>
      <c r="F43" s="7"/>
      <c r="G43" s="7"/>
      <c r="AA43" s="7"/>
      <c r="AC43" s="7"/>
    </row>
    <row r="44">
      <c r="D44" s="7"/>
      <c r="E44" s="7"/>
      <c r="F44" s="7"/>
      <c r="G44" s="7"/>
      <c r="AA44" s="7"/>
      <c r="AC44" s="7"/>
    </row>
    <row r="45">
      <c r="D45" s="7"/>
      <c r="E45" s="7"/>
      <c r="F45" s="7"/>
      <c r="G45" s="7"/>
      <c r="AA45" s="7"/>
      <c r="AC45" s="7"/>
    </row>
    <row r="46">
      <c r="D46" s="7"/>
      <c r="E46" s="7"/>
      <c r="F46" s="7"/>
      <c r="G46" s="7"/>
      <c r="AA46" s="7"/>
      <c r="AC46" s="7"/>
    </row>
    <row r="47">
      <c r="D47" s="7"/>
      <c r="E47" s="7"/>
      <c r="F47" s="7"/>
      <c r="G47" s="7"/>
      <c r="AA47" s="7"/>
      <c r="AC47" s="7"/>
    </row>
    <row r="48">
      <c r="E48" s="7"/>
      <c r="F48" s="7"/>
      <c r="G48" s="7"/>
      <c r="AA48" s="7"/>
      <c r="AC48" s="7"/>
    </row>
    <row r="49">
      <c r="E49" s="7"/>
      <c r="F49" s="7"/>
      <c r="G49" s="7"/>
      <c r="AA49" s="7"/>
      <c r="AC49" s="7"/>
    </row>
    <row r="50">
      <c r="E50" s="7"/>
      <c r="F50" s="7"/>
      <c r="G50" s="7"/>
      <c r="AA50" s="7"/>
      <c r="AC50" s="7"/>
    </row>
    <row r="51">
      <c r="E51" s="7"/>
      <c r="F51" s="7"/>
      <c r="G51" s="7"/>
      <c r="AA51" s="7"/>
      <c r="AC51" s="7"/>
    </row>
    <row r="52">
      <c r="E52" s="7"/>
      <c r="F52" s="7"/>
      <c r="G52" s="7"/>
      <c r="AA52" s="7"/>
      <c r="AC52" s="7"/>
    </row>
    <row r="53">
      <c r="E53" s="7"/>
      <c r="F53" s="7"/>
      <c r="G53" s="7"/>
      <c r="AA53" s="7"/>
      <c r="AC53" s="7"/>
    </row>
    <row r="54">
      <c r="E54" s="7"/>
      <c r="F54" s="7"/>
      <c r="G54" s="7"/>
      <c r="AA54" s="7"/>
      <c r="AC54" s="7"/>
    </row>
    <row r="55">
      <c r="E55" s="7"/>
      <c r="F55" s="7"/>
      <c r="G55" s="7"/>
      <c r="AA55" s="7"/>
      <c r="AC55" s="7"/>
    </row>
    <row r="56">
      <c r="E56" s="7"/>
      <c r="F56" s="7"/>
      <c r="G56" s="7"/>
      <c r="AA56" s="7"/>
      <c r="AC56" s="7"/>
    </row>
    <row r="57">
      <c r="E57" s="7"/>
      <c r="F57" s="7"/>
      <c r="G57" s="7"/>
      <c r="AA57" s="7"/>
      <c r="AC57" s="7"/>
    </row>
    <row r="58">
      <c r="E58" s="7"/>
      <c r="F58" s="7"/>
      <c r="G58" s="7"/>
      <c r="AA58" s="7"/>
      <c r="AC58" s="7"/>
    </row>
    <row r="59">
      <c r="E59" s="7"/>
      <c r="F59" s="7"/>
      <c r="G59" s="7"/>
      <c r="AA59" s="7"/>
      <c r="AC59" s="7"/>
    </row>
    <row r="60">
      <c r="E60" s="7"/>
      <c r="F60" s="7"/>
      <c r="G60" s="7"/>
      <c r="AA60" s="7"/>
      <c r="AC60" s="7"/>
    </row>
    <row r="61">
      <c r="E61" s="7"/>
      <c r="F61" s="7"/>
      <c r="G61" s="7"/>
      <c r="AA61" s="7"/>
      <c r="AC61" s="7"/>
    </row>
    <row r="62">
      <c r="E62" s="7"/>
      <c r="F62" s="7"/>
      <c r="G62" s="7"/>
      <c r="AA62" s="7"/>
      <c r="AC62" s="7"/>
    </row>
    <row r="63">
      <c r="E63" s="7"/>
      <c r="F63" s="7"/>
      <c r="G63" s="7"/>
      <c r="AA63" s="7"/>
      <c r="AC63" s="7"/>
    </row>
    <row r="64">
      <c r="E64" s="7"/>
      <c r="F64" s="7"/>
      <c r="G64" s="7"/>
      <c r="AA64" s="7"/>
      <c r="AC64" s="7"/>
    </row>
    <row r="65">
      <c r="E65" s="7"/>
      <c r="F65" s="7"/>
      <c r="G65" s="7"/>
      <c r="AA65" s="7"/>
      <c r="AC65" s="7"/>
    </row>
    <row r="66">
      <c r="E66" s="7"/>
      <c r="F66" s="7"/>
      <c r="G66" s="7"/>
      <c r="AA66" s="7"/>
      <c r="AC66" s="7"/>
    </row>
    <row r="67">
      <c r="E67" s="7"/>
      <c r="F67" s="7"/>
      <c r="G67" s="7"/>
      <c r="AA67" s="7"/>
      <c r="AC67" s="7"/>
    </row>
    <row r="68">
      <c r="E68" s="7"/>
      <c r="F68" s="7"/>
      <c r="G68" s="7"/>
      <c r="AA68" s="7"/>
      <c r="AC68" s="7"/>
    </row>
    <row r="69">
      <c r="E69" s="7"/>
      <c r="F69" s="7"/>
      <c r="G69" s="7"/>
      <c r="AA69" s="7"/>
      <c r="AC69" s="7"/>
    </row>
    <row r="70">
      <c r="E70" s="7"/>
      <c r="F70" s="7"/>
      <c r="G70" s="7"/>
      <c r="AA70" s="7"/>
      <c r="AC70" s="7"/>
    </row>
    <row r="71">
      <c r="E71" s="7"/>
      <c r="F71" s="7"/>
      <c r="G71" s="7"/>
      <c r="AA71" s="7"/>
      <c r="AC71" s="7"/>
    </row>
    <row r="72">
      <c r="E72" s="7"/>
      <c r="F72" s="7"/>
      <c r="G72" s="7"/>
      <c r="AA72" s="7"/>
      <c r="AC72" s="7"/>
    </row>
    <row r="73">
      <c r="E73" s="7"/>
      <c r="F73" s="7"/>
      <c r="G73" s="7"/>
      <c r="AA73" s="7"/>
      <c r="AC73" s="7"/>
    </row>
    <row r="74">
      <c r="E74" s="7"/>
      <c r="F74" s="7"/>
      <c r="G74" s="7"/>
      <c r="AA74" s="7"/>
      <c r="AC74" s="7"/>
    </row>
    <row r="75">
      <c r="E75" s="7"/>
      <c r="F75" s="7"/>
      <c r="G75" s="7"/>
      <c r="AA75" s="7"/>
      <c r="AC75" s="7"/>
    </row>
    <row r="76">
      <c r="E76" s="7"/>
      <c r="F76" s="7"/>
      <c r="G76" s="7"/>
      <c r="AA76" s="7"/>
      <c r="AC76" s="7"/>
    </row>
    <row r="77">
      <c r="E77" s="7"/>
      <c r="F77" s="7"/>
      <c r="G77" s="7"/>
      <c r="AA77" s="7"/>
      <c r="AC77" s="7"/>
    </row>
    <row r="78">
      <c r="E78" s="7"/>
      <c r="F78" s="7"/>
      <c r="G78" s="7"/>
      <c r="AA78" s="7"/>
      <c r="AC78" s="7"/>
    </row>
    <row r="79">
      <c r="E79" s="7"/>
      <c r="F79" s="7"/>
      <c r="G79" s="7"/>
      <c r="AA79" s="7"/>
      <c r="AC79" s="7"/>
    </row>
    <row r="80">
      <c r="E80" s="7"/>
      <c r="F80" s="7"/>
      <c r="G80" s="7"/>
      <c r="AA80" s="7"/>
      <c r="AC80" s="7"/>
    </row>
    <row r="81">
      <c r="E81" s="7"/>
      <c r="F81" s="7"/>
      <c r="G81" s="7"/>
      <c r="AA81" s="7"/>
      <c r="AC81" s="7"/>
    </row>
    <row r="82">
      <c r="E82" s="7"/>
      <c r="F82" s="7"/>
      <c r="G82" s="7"/>
      <c r="AA82" s="7"/>
      <c r="AC82" s="7"/>
    </row>
    <row r="83">
      <c r="E83" s="7"/>
      <c r="F83" s="7"/>
      <c r="G83" s="7"/>
      <c r="AA83" s="7"/>
      <c r="AC83" s="7"/>
    </row>
    <row r="84">
      <c r="E84" s="7"/>
      <c r="F84" s="7"/>
      <c r="G84" s="7"/>
      <c r="AA84" s="7"/>
      <c r="AC84" s="7"/>
    </row>
    <row r="85">
      <c r="E85" s="7"/>
      <c r="F85" s="7"/>
      <c r="G85" s="7"/>
      <c r="AA85" s="7"/>
      <c r="AC85" s="7"/>
    </row>
    <row r="86">
      <c r="E86" s="7"/>
      <c r="F86" s="7"/>
      <c r="G86" s="7"/>
      <c r="AA86" s="7"/>
      <c r="AC86" s="7"/>
    </row>
    <row r="87">
      <c r="E87" s="7"/>
      <c r="F87" s="7"/>
      <c r="G87" s="7"/>
      <c r="AA87" s="7"/>
      <c r="AC87" s="7"/>
    </row>
    <row r="88">
      <c r="E88" s="7"/>
      <c r="F88" s="7"/>
      <c r="G88" s="7"/>
      <c r="AA88" s="7"/>
      <c r="AC88" s="7"/>
    </row>
    <row r="89">
      <c r="E89" s="7"/>
      <c r="F89" s="7"/>
      <c r="G89" s="7"/>
      <c r="AA89" s="7"/>
    </row>
    <row r="90">
      <c r="E90" s="7"/>
      <c r="F90" s="7"/>
      <c r="G90" s="7"/>
      <c r="AA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:G106 I2">
    <cfRule type="cellIs" dxfId="1" priority="2" operator="equal">
      <formula>"Si"</formula>
    </cfRule>
  </conditionalFormatting>
  <conditionalFormatting sqref="G4:G106">
    <cfRule type="containsText" dxfId="1" priority="3" operator="containsText" text="sorteo">
      <formula>NOT(ISERROR(SEARCH(("sorteo"),(G4))))</formula>
    </cfRule>
  </conditionalFormatting>
  <conditionalFormatting sqref="AC4:AC1002">
    <cfRule type="cellIs" dxfId="3" priority="4" operator="equal">
      <formula>"OK"</formula>
    </cfRule>
  </conditionalFormatting>
  <conditionalFormatting sqref="AB3:AB23">
    <cfRule type="cellIs" dxfId="1" priority="5" operator="equal">
      <formula>"Terminado"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2" max="2" width="17.88"/>
    <col customWidth="1" min="3" max="3" width="11.38"/>
    <col customWidth="1" min="4" max="4" width="12.75"/>
    <col customWidth="1" min="5" max="5" width="14.0"/>
    <col customWidth="1" min="6" max="6" width="6.25"/>
    <col customWidth="1" hidden="1" min="7" max="7" width="5.13"/>
    <col customWidth="1" hidden="1" min="8" max="8" width="5.5"/>
    <col hidden="1" min="9" max="9" width="12.63"/>
    <col customWidth="1" hidden="1" min="10" max="10" width="4.75"/>
    <col customWidth="1" hidden="1" min="11" max="11" width="19.88"/>
    <col customWidth="1" min="12" max="12" width="8.5"/>
    <col customWidth="1" min="13" max="13" width="12.88"/>
    <col customWidth="1" hidden="1" min="14" max="14" width="8.63"/>
    <col hidden="1" min="15" max="15" width="12.63"/>
    <col customWidth="1" hidden="1" min="16" max="16" width="7.0"/>
    <col customWidth="1" min="17" max="17" width="8.75"/>
    <col customWidth="1" min="18" max="18" width="14.63"/>
    <col customWidth="1" min="19" max="19" width="16.75"/>
    <col hidden="1" min="20" max="25" width="12.63"/>
    <col customWidth="1" min="26" max="26" width="7.5"/>
    <col hidden="1" min="27" max="27" width="12.63"/>
    <col customWidth="1" min="28" max="28" width="10.38"/>
    <col hidden="1" min="29" max="33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54</v>
      </c>
      <c r="C2" s="3"/>
      <c r="D2" s="65"/>
      <c r="E2" s="3"/>
      <c r="F2" s="66" t="str">
        <f>"Inscriptos: "&amp;COUNTA(C4:C100)</f>
        <v>Inscriptos: 8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 t="s">
        <v>55</v>
      </c>
      <c r="B3" s="3" t="str">
        <f>IFERROR(__xludf.DUMMYFUNCTION("query(Titulos)"),"Dia y Hora")</f>
        <v>Dia y Hora</v>
      </c>
      <c r="C3" s="3" t="str">
        <f>IFERROR(__xludf.DUMMYFUNCTION("""COMPUTED_VALUE"""),"Nombre")</f>
        <v>Nombre</v>
      </c>
      <c r="D3" s="3" t="str">
        <f>IFERROR(__xludf.DUMMYFUNCTION("""COMPUTED_VALUE"""),"Apellido")</f>
        <v>Apellido</v>
      </c>
      <c r="E3" s="3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70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3" t="str">
        <f>IFERROR(__xludf.DUMMYFUNCTION("""COMPUTED_VALUE"""),"Importe")</f>
        <v>Importe</v>
      </c>
      <c r="AD3" s="3" t="str">
        <f>IFERROR(__xludf.DUMMYFUNCTION("""COMPUTED_VALUE"""),"RECIBO")</f>
        <v>RECIBO</v>
      </c>
    </row>
    <row r="4">
      <c r="B4" s="42">
        <f>IFERROR(__xludf.DUMMYFUNCTION("filter(Datos,Clases=A3)"),45545.45571892361)</f>
        <v>45545.45572</v>
      </c>
      <c r="C4" s="43" t="str">
        <f>IFERROR(__xludf.DUMMYFUNCTION("""COMPUTED_VALUE"""),"Dante")</f>
        <v>Dante</v>
      </c>
      <c r="D4" s="43" t="str">
        <f>IFERROR(__xludf.DUMMYFUNCTION("""COMPUTED_VALUE"""),"Cittadini")</f>
        <v>Cittadini</v>
      </c>
      <c r="E4" s="43" t="str">
        <f>IFERROR(__xludf.DUMMYFUNCTION("""COMPUTED_VALUE"""),"San Pedro")</f>
        <v>San Pedro</v>
      </c>
      <c r="F4" s="7" t="str">
        <f>IFERROR(__xludf.DUMMYFUNCTION("""COMPUTED_VALUE"""),"ARG")</f>
        <v>ARG</v>
      </c>
      <c r="G4" s="7">
        <f>IFERROR(__xludf.DUMMYFUNCTION("""COMPUTED_VALUE"""),4.3513461E7)</f>
        <v>43513461</v>
      </c>
      <c r="H4" s="44">
        <f>IFERROR(__xludf.DUMMYFUNCTION("""COMPUTED_VALUE"""),37166.0)</f>
        <v>37166</v>
      </c>
      <c r="I4" s="45">
        <f>IFERROR(__xludf.DUMMYFUNCTION("""COMPUTED_VALUE"""),3.329316637E9)</f>
        <v>3329316637</v>
      </c>
      <c r="J4" s="45"/>
      <c r="K4" s="45" t="str">
        <f>IFERROR(__xludf.DUMMYFUNCTION("""COMPUTED_VALUE"""),"octidorbessan@hotmail.com")</f>
        <v>octidorbessan@hotmail.com</v>
      </c>
      <c r="L4" s="45" t="str">
        <f>IFERROR(__xludf.DUMMYFUNCTION("""COMPUTED_VALUE"""),"Masculino")</f>
        <v>Masculino</v>
      </c>
      <c r="M4" s="45" t="str">
        <f>IFERROR(__xludf.DUMMYFUNCTION("""COMPUTED_VALUE"""),"CNSP - CNP")</f>
        <v>CNSP - CNP</v>
      </c>
      <c r="N4" s="45"/>
      <c r="O4" s="45" t="str">
        <f>IFERROR(__xludf.DUMMYFUNCTION("""COMPUTED_VALUE"""),"F 18")</f>
        <v>F 18</v>
      </c>
      <c r="P4" s="45"/>
      <c r="Q4" s="7" t="str">
        <f>IFERROR(__xludf.DUMMYFUNCTION("""COMPUTED_VALUE"""),"ARG 111")</f>
        <v>ARG 111</v>
      </c>
      <c r="R4" s="45"/>
      <c r="S4" s="45" t="str">
        <f>IFERROR(__xludf.DUMMYFUNCTION("""COMPUTED_VALUE"""),"Octavio Dorbessan")</f>
        <v>Octavio Dorbessan</v>
      </c>
      <c r="T4" s="45"/>
      <c r="U4" s="45"/>
      <c r="V4" s="45"/>
      <c r="W4" s="45"/>
      <c r="X4" s="45"/>
      <c r="Y4" s="45"/>
      <c r="Z4" s="7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IFERROR(__xludf.DUMMYFUNCTION("""COMPUTED_VALUE"""),"Pendiente")</f>
        <v>Pendiente</v>
      </c>
      <c r="AC4" s="45"/>
      <c r="AD4" s="45"/>
      <c r="AE4" s="45"/>
      <c r="AF4" s="45" t="str">
        <f>IFERROR(__xludf.DUMMYFUNCTION("""COMPUTED_VALUE"""),"No Corresp")</f>
        <v>No Corresp</v>
      </c>
      <c r="AG4" s="45"/>
    </row>
    <row r="5">
      <c r="B5" s="42">
        <f>IFERROR(__xludf.DUMMYFUNCTION("""COMPUTED_VALUE"""),45545.550604965276)</f>
        <v>45545.5506</v>
      </c>
      <c r="C5" s="43" t="str">
        <f>IFERROR(__xludf.DUMMYFUNCTION("""COMPUTED_VALUE"""),"Alfredo ")</f>
        <v>Alfredo </v>
      </c>
      <c r="D5" s="43" t="str">
        <f>IFERROR(__xludf.DUMMYFUNCTION("""COMPUTED_VALUE"""),"Agote")</f>
        <v>Agote</v>
      </c>
      <c r="E5" s="43" t="str">
        <f>IFERROR(__xludf.DUMMYFUNCTION("""COMPUTED_VALUE"""),"Caba")</f>
        <v>Caba</v>
      </c>
      <c r="F5" s="7" t="str">
        <f>IFERROR(__xludf.DUMMYFUNCTION("""COMPUTED_VALUE"""),"ARG")</f>
        <v>ARG</v>
      </c>
      <c r="G5" s="7">
        <f>IFERROR(__xludf.DUMMYFUNCTION("""COMPUTED_VALUE"""),4.5749525E7)</f>
        <v>45749525</v>
      </c>
      <c r="H5" s="44">
        <f>IFERROR(__xludf.DUMMYFUNCTION("""COMPUTED_VALUE"""),38111.0)</f>
        <v>38111</v>
      </c>
      <c r="I5" s="45">
        <f>IFERROR(__xludf.DUMMYFUNCTION("""COMPUTED_VALUE"""),1.125169438E9)</f>
        <v>1125169438</v>
      </c>
      <c r="J5" s="45">
        <f>IFERROR(__xludf.DUMMYFUNCTION("""COMPUTED_VALUE"""),1.135529126E9)</f>
        <v>1135529126</v>
      </c>
      <c r="K5" s="45" t="str">
        <f>IFERROR(__xludf.DUMMYFUNCTION("""COMPUTED_VALUE"""),"tinchobarletta@gmail.com")</f>
        <v>tinchobarletta@gmail.com</v>
      </c>
      <c r="L5" s="45" t="str">
        <f>IFERROR(__xludf.DUMMYFUNCTION("""COMPUTED_VALUE"""),"Masculino")</f>
        <v>Masculino</v>
      </c>
      <c r="M5" s="45" t="str">
        <f>IFERROR(__xludf.DUMMYFUNCTION("""COMPUTED_VALUE"""),"YCA")</f>
        <v>YCA</v>
      </c>
      <c r="N5" s="45"/>
      <c r="O5" s="45" t="str">
        <f>IFERROR(__xludf.DUMMYFUNCTION("""COMPUTED_VALUE"""),"F 18")</f>
        <v>F 18</v>
      </c>
      <c r="P5" s="45"/>
      <c r="Q5" s="7">
        <f>IFERROR(__xludf.DUMMYFUNCTION("""COMPUTED_VALUE"""),90.0)</f>
        <v>90</v>
      </c>
      <c r="R5" s="45"/>
      <c r="S5" s="45" t="str">
        <f>IFERROR(__xludf.DUMMYFUNCTION("""COMPUTED_VALUE"""),"Martin Barletta")</f>
        <v>Martin Barletta</v>
      </c>
      <c r="T5" s="45"/>
      <c r="U5" s="45"/>
      <c r="V5" s="45"/>
      <c r="W5" s="45"/>
      <c r="X5" s="45"/>
      <c r="Y5" s="45"/>
      <c r="Z5" s="7" t="str">
        <f>IFERROR(__xludf.DUMMYFUNCTION("""COMPUTED_VALUE"""),"No")</f>
        <v>No</v>
      </c>
      <c r="AA5" s="7" t="str">
        <f>IFERROR(__xludf.DUMMYFUNCTION("""COMPUTED_VALUE"""),"Acepto")</f>
        <v>Acepto</v>
      </c>
      <c r="AB5" s="7" t="str">
        <f>IFERROR(__xludf.DUMMYFUNCTION("""COMPUTED_VALUE"""),"Pendiente")</f>
        <v>Pendiente</v>
      </c>
      <c r="AC5" s="45"/>
      <c r="AD5" s="45"/>
      <c r="AE5" s="45"/>
      <c r="AF5" s="45" t="str">
        <f>IFERROR(__xludf.DUMMYFUNCTION("""COMPUTED_VALUE"""),"No Corresp")</f>
        <v>No Corresp</v>
      </c>
      <c r="AG5" s="45"/>
    </row>
    <row r="6">
      <c r="B6" s="42">
        <f>IFERROR(__xludf.DUMMYFUNCTION("""COMPUTED_VALUE"""),45545.594908009254)</f>
        <v>45545.59491</v>
      </c>
      <c r="C6" s="43" t="str">
        <f>IFERROR(__xludf.DUMMYFUNCTION("""COMPUTED_VALUE"""),"Alejandro")</f>
        <v>Alejandro</v>
      </c>
      <c r="D6" s="43" t="str">
        <f>IFERROR(__xludf.DUMMYFUNCTION("""COMPUTED_VALUE"""),"Colombo")</f>
        <v>Colombo</v>
      </c>
      <c r="E6" s="43" t="str">
        <f>IFERROR(__xludf.DUMMYFUNCTION("""COMPUTED_VALUE"""),"Buenos Aires")</f>
        <v>Buenos Aires</v>
      </c>
      <c r="F6" s="7" t="str">
        <f>IFERROR(__xludf.DUMMYFUNCTION("""COMPUTED_VALUE"""),"ARG")</f>
        <v>ARG</v>
      </c>
      <c r="G6" s="7">
        <f>IFERROR(__xludf.DUMMYFUNCTION("""COMPUTED_VALUE"""),1.3995051E7)</f>
        <v>13995051</v>
      </c>
      <c r="H6" s="44">
        <f>IFERROR(__xludf.DUMMYFUNCTION("""COMPUTED_VALUE"""),21942.0)</f>
        <v>21942</v>
      </c>
      <c r="I6" s="45">
        <f>IFERROR(__xludf.DUMMYFUNCTION("""COMPUTED_VALUE"""),1.150222553E9)</f>
        <v>1150222553</v>
      </c>
      <c r="J6" s="45">
        <f>IFERROR(__xludf.DUMMYFUNCTION("""COMPUTED_VALUE"""),1.155266231E9)</f>
        <v>1155266231</v>
      </c>
      <c r="K6" s="45" t="str">
        <f>IFERROR(__xludf.DUMMYFUNCTION("""COMPUTED_VALUE"""),"alejandro.m.colombo@gmail.com")</f>
        <v>alejandro.m.colombo@gmail.com</v>
      </c>
      <c r="L6" s="45" t="str">
        <f>IFERROR(__xludf.DUMMYFUNCTION("""COMPUTED_VALUE"""),"Masculino")</f>
        <v>Masculino</v>
      </c>
      <c r="M6" s="45" t="str">
        <f>IFERROR(__xludf.DUMMYFUNCTION("""COMPUTED_VALUE"""),"CVSI")</f>
        <v>CVSI</v>
      </c>
      <c r="N6" s="45"/>
      <c r="O6" s="45" t="str">
        <f>IFERROR(__xludf.DUMMYFUNCTION("""COMPUTED_VALUE"""),"F 18")</f>
        <v>F 18</v>
      </c>
      <c r="P6" s="45"/>
      <c r="Q6" s="7">
        <f>IFERROR(__xludf.DUMMYFUNCTION("""COMPUTED_VALUE"""),1062.0)</f>
        <v>1062</v>
      </c>
      <c r="R6" s="45"/>
      <c r="S6" s="45" t="str">
        <f>IFERROR(__xludf.DUMMYFUNCTION("""COMPUTED_VALUE"""),"Santiago Sotomayor")</f>
        <v>Santiago Sotomayor</v>
      </c>
      <c r="T6" s="45"/>
      <c r="U6" s="45"/>
      <c r="V6" s="45"/>
      <c r="W6" s="45"/>
      <c r="X6" s="45"/>
      <c r="Y6" s="45" t="str">
        <f>IFERROR(__xludf.DUMMYFUNCTION("""COMPUTED_VALUE"""),"OSDE 60874747701")</f>
        <v>OSDE 60874747701</v>
      </c>
      <c r="Z6" s="7" t="str">
        <f>IFERROR(__xludf.DUMMYFUNCTION("""COMPUTED_VALUE"""),"No")</f>
        <v>No</v>
      </c>
      <c r="AA6" s="7" t="str">
        <f>IFERROR(__xludf.DUMMYFUNCTION("""COMPUTED_VALUE"""),"Acepto")</f>
        <v>Acepto</v>
      </c>
      <c r="AB6" s="7" t="str">
        <f>IFERROR(__xludf.DUMMYFUNCTION("""COMPUTED_VALUE"""),"Pendiente")</f>
        <v>Pendiente</v>
      </c>
      <c r="AC6" s="45"/>
      <c r="AD6" s="45"/>
      <c r="AE6" s="45"/>
      <c r="AF6" s="45" t="str">
        <f>IFERROR(__xludf.DUMMYFUNCTION("""COMPUTED_VALUE"""),"No Corresp")</f>
        <v>No Corresp</v>
      </c>
      <c r="AG6" s="45"/>
    </row>
    <row r="7">
      <c r="B7" s="42">
        <f>IFERROR(__xludf.DUMMYFUNCTION("""COMPUTED_VALUE"""),45545.632140671296)</f>
        <v>45545.63214</v>
      </c>
      <c r="C7" s="43" t="str">
        <f>IFERROR(__xludf.DUMMYFUNCTION("""COMPUTED_VALUE"""),"Cruz")</f>
        <v>Cruz</v>
      </c>
      <c r="D7" s="43" t="str">
        <f>IFERROR(__xludf.DUMMYFUNCTION("""COMPUTED_VALUE"""),"Gonzalez Smith")</f>
        <v>Gonzalez Smith</v>
      </c>
      <c r="E7" s="43" t="str">
        <f>IFERROR(__xludf.DUMMYFUNCTION("""COMPUTED_VALUE"""),"Vicente Lopez")</f>
        <v>Vicente Lopez</v>
      </c>
      <c r="F7" s="7" t="str">
        <f>IFERROR(__xludf.DUMMYFUNCTION("""COMPUTED_VALUE"""),"ARG")</f>
        <v>ARG</v>
      </c>
      <c r="G7" s="7">
        <f>IFERROR(__xludf.DUMMYFUNCTION("""COMPUTED_VALUE"""),2.4892642E7)</f>
        <v>24892642</v>
      </c>
      <c r="H7" s="44">
        <f>IFERROR(__xludf.DUMMYFUNCTION("""COMPUTED_VALUE"""),27733.0)</f>
        <v>27733</v>
      </c>
      <c r="I7" s="45">
        <f>IFERROR(__xludf.DUMMYFUNCTION("""COMPUTED_VALUE"""),1.149353764E9)</f>
        <v>1149353764</v>
      </c>
      <c r="J7" s="45">
        <f>IFERROR(__xludf.DUMMYFUNCTION("""COMPUTED_VALUE"""),1.136979873E9)</f>
        <v>1136979873</v>
      </c>
      <c r="K7" s="45" t="str">
        <f>IFERROR(__xludf.DUMMYFUNCTION("""COMPUTED_VALUE"""),"cruzgsmith@gmail.com")</f>
        <v>cruzgsmith@gmail.com</v>
      </c>
      <c r="L7" s="45" t="str">
        <f>IFERROR(__xludf.DUMMYFUNCTION("""COMPUTED_VALUE"""),"Masculino")</f>
        <v>Masculino</v>
      </c>
      <c r="M7" s="45" t="str">
        <f>IFERROR(__xludf.DUMMYFUNCTION("""COMPUTED_VALUE"""),"YCA")</f>
        <v>YCA</v>
      </c>
      <c r="N7" s="45" t="str">
        <f>IFERROR(__xludf.DUMMYFUNCTION("""COMPUTED_VALUE"""),"F18")</f>
        <v>F18</v>
      </c>
      <c r="O7" s="45" t="str">
        <f>IFERROR(__xludf.DUMMYFUNCTION("""COMPUTED_VALUE"""),"F 18")</f>
        <v>F 18</v>
      </c>
      <c r="P7" s="45"/>
      <c r="Q7" s="7" t="str">
        <f>IFERROR(__xludf.DUMMYFUNCTION("""COMPUTED_VALUE"""),"AUS05")</f>
        <v>AUS05</v>
      </c>
      <c r="R7" s="45" t="str">
        <f>IFERROR(__xludf.DUMMYFUNCTION("""COMPUTED_VALUE"""),"CRAZY CHICKEN")</f>
        <v>CRAZY CHICKEN</v>
      </c>
      <c r="S7" s="45" t="str">
        <f>IFERROR(__xludf.DUMMYFUNCTION("""COMPUTED_VALUE"""),"Mariano Heuser")</f>
        <v>Mariano Heuser</v>
      </c>
      <c r="T7" s="45"/>
      <c r="U7" s="45"/>
      <c r="V7" s="45"/>
      <c r="W7" s="45"/>
      <c r="X7" s="45"/>
      <c r="Y7" s="45"/>
      <c r="Z7" s="7" t="str">
        <f>IFERROR(__xludf.DUMMYFUNCTION("""COMPUTED_VALUE"""),"Si")</f>
        <v>Si</v>
      </c>
      <c r="AA7" s="7" t="str">
        <f>IFERROR(__xludf.DUMMYFUNCTION("""COMPUTED_VALUE"""),"Acepto")</f>
        <v>Acepto</v>
      </c>
      <c r="AB7" s="7" t="str">
        <f>IFERROR(__xludf.DUMMYFUNCTION("""COMPUTED_VALUE"""),"Terminado")</f>
        <v>Terminado</v>
      </c>
      <c r="AC7" s="45">
        <f>IFERROR(__xludf.DUMMYFUNCTION("""COMPUTED_VALUE"""),60000.0)</f>
        <v>60000</v>
      </c>
      <c r="AD7" s="45">
        <f>IFERROR(__xludf.DUMMYFUNCTION("""COMPUTED_VALUE"""),205651.0)</f>
        <v>205651</v>
      </c>
      <c r="AE7" s="45" t="str">
        <f>IFERROR(__xludf.DUMMYFUNCTION("""COMPUTED_VALUE"""),"TRF 10-09")</f>
        <v>TRF 10-09</v>
      </c>
      <c r="AF7" s="45" t="str">
        <f>IFERROR(__xludf.DUMMYFUNCTION("""COMPUTED_VALUE"""),"No Corresp")</f>
        <v>No Corresp</v>
      </c>
      <c r="AG7" s="45"/>
    </row>
    <row r="8">
      <c r="B8" s="42">
        <f>IFERROR(__xludf.DUMMYFUNCTION("""COMPUTED_VALUE"""),45545.89957083334)</f>
        <v>45545.89957</v>
      </c>
      <c r="C8" s="43" t="str">
        <f>IFERROR(__xludf.DUMMYFUNCTION("""COMPUTED_VALUE"""),"Pedro")</f>
        <v>Pedro</v>
      </c>
      <c r="D8" s="43" t="str">
        <f>IFERROR(__xludf.DUMMYFUNCTION("""COMPUTED_VALUE"""),"Anino")</f>
        <v>Anino</v>
      </c>
      <c r="E8" s="43" t="str">
        <f>IFERROR(__xludf.DUMMYFUNCTION("""COMPUTED_VALUE"""),"Cordoba")</f>
        <v>Cordoba</v>
      </c>
      <c r="F8" s="7" t="str">
        <f>IFERROR(__xludf.DUMMYFUNCTION("""COMPUTED_VALUE"""),"ARG")</f>
        <v>ARG</v>
      </c>
      <c r="G8" s="7">
        <f>IFERROR(__xludf.DUMMYFUNCTION("""COMPUTED_VALUE"""),2.2843538E7)</f>
        <v>22843538</v>
      </c>
      <c r="H8" s="44">
        <f>IFERROR(__xludf.DUMMYFUNCTION("""COMPUTED_VALUE"""),26585.0)</f>
        <v>26585</v>
      </c>
      <c r="I8" s="45">
        <f>IFERROR(__xludf.DUMMYFUNCTION("""COMPUTED_VALUE"""),5.493584251353E12)</f>
        <v>5493584251353</v>
      </c>
      <c r="J8" s="45">
        <f>IFERROR(__xludf.DUMMYFUNCTION("""COMPUTED_VALUE"""),5.491140782289E12)</f>
        <v>5491140782289</v>
      </c>
      <c r="K8" s="45" t="str">
        <f>IFERROR(__xludf.DUMMYFUNCTION("""COMPUTED_VALUE"""),"alejandrogearlab@gmail.com")</f>
        <v>alejandrogearlab@gmail.com</v>
      </c>
      <c r="L8" s="45" t="str">
        <f>IFERROR(__xludf.DUMMYFUNCTION("""COMPUTED_VALUE"""),"Masculino")</f>
        <v>Masculino</v>
      </c>
      <c r="M8" s="45" t="str">
        <f>IFERROR(__xludf.DUMMYFUNCTION("""COMPUTED_VALUE"""),"CVSI")</f>
        <v>CVSI</v>
      </c>
      <c r="N8" s="45"/>
      <c r="O8" s="45" t="str">
        <f>IFERROR(__xludf.DUMMYFUNCTION("""COMPUTED_VALUE"""),"F 18")</f>
        <v>F 18</v>
      </c>
      <c r="P8" s="45"/>
      <c r="Q8" s="7">
        <f>IFERROR(__xludf.DUMMYFUNCTION("""COMPUTED_VALUE"""),27.0)</f>
        <v>27</v>
      </c>
      <c r="R8" s="45" t="str">
        <f>IFERROR(__xludf.DUMMYFUNCTION("""COMPUTED_VALUE"""),"Dobles de Riesgo")</f>
        <v>Dobles de Riesgo</v>
      </c>
      <c r="S8" s="45" t="str">
        <f>IFERROR(__xludf.DUMMYFUNCTION("""COMPUTED_VALUE"""),"Alejandro Rosso")</f>
        <v>Alejandro Rosso</v>
      </c>
      <c r="T8" s="45"/>
      <c r="U8" s="45"/>
      <c r="V8" s="45"/>
      <c r="W8" s="45"/>
      <c r="X8" s="45"/>
      <c r="Y8" s="45" t="str">
        <f>IFERROR(__xludf.DUMMYFUNCTION("""COMPUTED_VALUE"""),"Mutual Medica")</f>
        <v>Mutual Medica</v>
      </c>
      <c r="Z8" s="7" t="str">
        <f>IFERROR(__xludf.DUMMYFUNCTION("""COMPUTED_VALUE"""),"No")</f>
        <v>No</v>
      </c>
      <c r="AA8" s="7" t="str">
        <f>IFERROR(__xludf.DUMMYFUNCTION("""COMPUTED_VALUE"""),"Acepto")</f>
        <v>Acepto</v>
      </c>
      <c r="AB8" s="7" t="str">
        <f>IFERROR(__xludf.DUMMYFUNCTION("""COMPUTED_VALUE"""),"Pendiente")</f>
        <v>Pendiente</v>
      </c>
      <c r="AC8" s="45"/>
      <c r="AD8" s="45"/>
      <c r="AE8" s="45"/>
      <c r="AF8" s="45" t="str">
        <f>IFERROR(__xludf.DUMMYFUNCTION("""COMPUTED_VALUE"""),"No Corresp")</f>
        <v>No Corresp</v>
      </c>
      <c r="AG8" s="45"/>
    </row>
    <row r="9">
      <c r="B9" s="42">
        <f>IFERROR(__xludf.DUMMYFUNCTION("""COMPUTED_VALUE"""),45546.91804967592)</f>
        <v>45546.91805</v>
      </c>
      <c r="C9" s="43" t="str">
        <f>IFERROR(__xludf.DUMMYFUNCTION("""COMPUTED_VALUE"""),"Agustín ")</f>
        <v>Agustín </v>
      </c>
      <c r="D9" s="43" t="str">
        <f>IFERROR(__xludf.DUMMYFUNCTION("""COMPUTED_VALUE"""),"Krevisky ")</f>
        <v>Krevisky </v>
      </c>
      <c r="E9" s="43" t="str">
        <f>IFERROR(__xludf.DUMMYFUNCTION("""COMPUTED_VALUE"""),"Paraná ")</f>
        <v>Paraná </v>
      </c>
      <c r="F9" s="7" t="str">
        <f>IFERROR(__xludf.DUMMYFUNCTION("""COMPUTED_VALUE"""),"ARG")</f>
        <v>ARG</v>
      </c>
      <c r="G9" s="7">
        <f>IFERROR(__xludf.DUMMYFUNCTION("""COMPUTED_VALUE"""),2.5032856E7)</f>
        <v>25032856</v>
      </c>
      <c r="H9" s="44">
        <f>IFERROR(__xludf.DUMMYFUNCTION("""COMPUTED_VALUE"""),27837.0)</f>
        <v>27837</v>
      </c>
      <c r="I9" s="45">
        <f>IFERROR(__xludf.DUMMYFUNCTION("""COMPUTED_VALUE"""),3.435127359E9)</f>
        <v>3435127359</v>
      </c>
      <c r="J9" s="45">
        <f>IFERROR(__xludf.DUMMYFUNCTION("""COMPUTED_VALUE"""),3.435124066E9)</f>
        <v>3435124066</v>
      </c>
      <c r="K9" s="45" t="str">
        <f>IFERROR(__xludf.DUMMYFUNCTION("""COMPUTED_VALUE"""),"Agustinkrevisky@hotmail.com")</f>
        <v>Agustinkrevisky@hotmail.com</v>
      </c>
      <c r="L9" s="45" t="str">
        <f>IFERROR(__xludf.DUMMYFUNCTION("""COMPUTED_VALUE"""),"Masculino")</f>
        <v>Masculino</v>
      </c>
      <c r="M9" s="45" t="str">
        <f>IFERROR(__xludf.DUMMYFUNCTION("""COMPUTED_VALUE"""),"Cnp")</f>
        <v>Cnp</v>
      </c>
      <c r="N9" s="45"/>
      <c r="O9" s="45" t="str">
        <f>IFERROR(__xludf.DUMMYFUNCTION("""COMPUTED_VALUE"""),"F 18")</f>
        <v>F 18</v>
      </c>
      <c r="P9" s="45"/>
      <c r="Q9" s="7">
        <f>IFERROR(__xludf.DUMMYFUNCTION("""COMPUTED_VALUE"""),4.0)</f>
        <v>4</v>
      </c>
      <c r="R9" s="45" t="str">
        <f>IFERROR(__xludf.DUMMYFUNCTION("""COMPUTED_VALUE"""),"Invertir online ")</f>
        <v>Invertir online </v>
      </c>
      <c r="S9" s="45" t="str">
        <f>IFERROR(__xludf.DUMMYFUNCTION("""COMPUTED_VALUE"""),"Juan Martín Benítez ")</f>
        <v>Juan Martín Benítez </v>
      </c>
      <c r="T9" s="45"/>
      <c r="U9" s="45"/>
      <c r="V9" s="45"/>
      <c r="W9" s="45"/>
      <c r="X9" s="45"/>
      <c r="Y9" s="45" t="str">
        <f>IFERROR(__xludf.DUMMYFUNCTION("""COMPUTED_VALUE"""),"Osde")</f>
        <v>Osde</v>
      </c>
      <c r="Z9" s="7" t="str">
        <f>IFERROR(__xludf.DUMMYFUNCTION("""COMPUTED_VALUE"""),"No")</f>
        <v>No</v>
      </c>
      <c r="AA9" s="7" t="str">
        <f>IFERROR(__xludf.DUMMYFUNCTION("""COMPUTED_VALUE"""),"Acepto")</f>
        <v>Acepto</v>
      </c>
      <c r="AB9" s="7" t="str">
        <f>IFERROR(__xludf.DUMMYFUNCTION("""COMPUTED_VALUE"""),"Terminado")</f>
        <v>Terminado</v>
      </c>
      <c r="AC9" s="45">
        <f>IFERROR(__xludf.DUMMYFUNCTION("""COMPUTED_VALUE"""),51000.0)</f>
        <v>51000</v>
      </c>
      <c r="AD9" s="45">
        <f>IFERROR(__xludf.DUMMYFUNCTION("""COMPUTED_VALUE"""),205704.0)</f>
        <v>205704</v>
      </c>
      <c r="AE9" s="45" t="str">
        <f>IFERROR(__xludf.DUMMYFUNCTION("""COMPUTED_VALUE"""),"TRF 11-09")</f>
        <v>TRF 11-09</v>
      </c>
      <c r="AF9" s="45" t="str">
        <f>IFERROR(__xludf.DUMMYFUNCTION("""COMPUTED_VALUE"""),"No Corresp")</f>
        <v>No Corresp</v>
      </c>
      <c r="AG9" s="45"/>
    </row>
    <row r="10">
      <c r="B10" s="42">
        <f>IFERROR(__xludf.DUMMYFUNCTION("""COMPUTED_VALUE"""),45547.422011041665)</f>
        <v>45547.42201</v>
      </c>
      <c r="C10" s="43" t="str">
        <f>IFERROR(__xludf.DUMMYFUNCTION("""COMPUTED_VALUE"""),"Pablo")</f>
        <v>Pablo</v>
      </c>
      <c r="D10" s="43" t="str">
        <f>IFERROR(__xludf.DUMMYFUNCTION("""COMPUTED_VALUE"""),"Völker")</f>
        <v>Völker</v>
      </c>
      <c r="E10" s="43" t="str">
        <f>IFERROR(__xludf.DUMMYFUNCTION("""COMPUTED_VALUE"""),"Beccar")</f>
        <v>Beccar</v>
      </c>
      <c r="F10" s="7" t="str">
        <f>IFERROR(__xludf.DUMMYFUNCTION("""COMPUTED_VALUE"""),"ARG")</f>
        <v>ARG</v>
      </c>
      <c r="G10" s="7">
        <f>IFERROR(__xludf.DUMMYFUNCTION("""COMPUTED_VALUE"""),3.5657397E7)</f>
        <v>35657397</v>
      </c>
      <c r="H10" s="44">
        <f>IFERROR(__xludf.DUMMYFUNCTION("""COMPUTED_VALUE"""),33377.0)</f>
        <v>33377</v>
      </c>
      <c r="I10" s="45" t="str">
        <f>IFERROR(__xludf.DUMMYFUNCTION("""COMPUTED_VALUE"""),"+5491165100711")</f>
        <v>+5491165100711</v>
      </c>
      <c r="J10" s="45"/>
      <c r="K10" s="45" t="str">
        <f>IFERROR(__xludf.DUMMYFUNCTION("""COMPUTED_VALUE"""),"pablovolker@gmail.com")</f>
        <v>pablovolker@gmail.com</v>
      </c>
      <c r="L10" s="45" t="str">
        <f>IFERROR(__xludf.DUMMYFUNCTION("""COMPUTED_VALUE"""),"Masculino")</f>
        <v>Masculino</v>
      </c>
      <c r="M10" s="45" t="str">
        <f>IFERROR(__xludf.DUMMYFUNCTION("""COMPUTED_VALUE"""),"CNSI")</f>
        <v>CNSI</v>
      </c>
      <c r="N10" s="45"/>
      <c r="O10" s="45" t="str">
        <f>IFERROR(__xludf.DUMMYFUNCTION("""COMPUTED_VALUE"""),"F 18")</f>
        <v>F 18</v>
      </c>
      <c r="P10" s="45"/>
      <c r="Q10" s="45" t="str">
        <f>IFERROR(__xludf.DUMMYFUNCTION("""COMPUTED_VALUE"""),"ARG 11")</f>
        <v>ARG 11</v>
      </c>
      <c r="R10" s="45"/>
      <c r="S10" s="45" t="str">
        <f>IFERROR(__xludf.DUMMYFUNCTION("""COMPUTED_VALUE"""),"Valentín Frey")</f>
        <v>Valentín Frey</v>
      </c>
      <c r="T10" s="45"/>
      <c r="U10" s="45"/>
      <c r="V10" s="45"/>
      <c r="W10" s="45"/>
      <c r="X10" s="45"/>
      <c r="Y10" s="45"/>
      <c r="Z10" s="7" t="str">
        <f>IFERROR(__xludf.DUMMYFUNCTION("""COMPUTED_VALUE"""),"No")</f>
        <v>No</v>
      </c>
      <c r="AA10" s="7" t="str">
        <f>IFERROR(__xludf.DUMMYFUNCTION("""COMPUTED_VALUE"""),"Acepto")</f>
        <v>Acepto</v>
      </c>
      <c r="AB10" s="7" t="str">
        <f>IFERROR(__xludf.DUMMYFUNCTION("""COMPUTED_VALUE"""),"Pendiente")</f>
        <v>Pendiente</v>
      </c>
      <c r="AC10" s="45"/>
      <c r="AD10" s="45"/>
      <c r="AE10" s="45"/>
      <c r="AF10" s="45" t="str">
        <f>IFERROR(__xludf.DUMMYFUNCTION("""COMPUTED_VALUE"""),"No Corresp")</f>
        <v>No Corresp</v>
      </c>
      <c r="AG10" s="45"/>
    </row>
    <row r="11">
      <c r="B11" s="42">
        <f>IFERROR(__xludf.DUMMYFUNCTION("""COMPUTED_VALUE"""),45547.43976246528)</f>
        <v>45547.43976</v>
      </c>
      <c r="C11" s="43" t="str">
        <f>IFERROR(__xludf.DUMMYFUNCTION("""COMPUTED_VALUE"""),"Leonardo")</f>
        <v>Leonardo</v>
      </c>
      <c r="D11" s="43" t="str">
        <f>IFERROR(__xludf.DUMMYFUNCTION("""COMPUTED_VALUE"""),"Culotta")</f>
        <v>Culotta</v>
      </c>
      <c r="E11" s="43" t="str">
        <f>IFERROR(__xludf.DUMMYFUNCTION("""COMPUTED_VALUE"""),"Martinez")</f>
        <v>Martinez</v>
      </c>
      <c r="F11" s="7" t="str">
        <f>IFERROR(__xludf.DUMMYFUNCTION("""COMPUTED_VALUE"""),"ARG")</f>
        <v>ARG</v>
      </c>
      <c r="G11" s="7">
        <f>IFERROR(__xludf.DUMMYFUNCTION("""COMPUTED_VALUE"""),2.0007959E7)</f>
        <v>20007959</v>
      </c>
      <c r="H11" s="44">
        <f>IFERROR(__xludf.DUMMYFUNCTION("""COMPUTED_VALUE"""),24874.0)</f>
        <v>24874</v>
      </c>
      <c r="I11" s="45">
        <f>IFERROR(__xludf.DUMMYFUNCTION("""COMPUTED_VALUE"""),1.168304004E9)</f>
        <v>1168304004</v>
      </c>
      <c r="J11" s="45">
        <f>IFERROR(__xludf.DUMMYFUNCTION("""COMPUTED_VALUE"""),1.151608831E9)</f>
        <v>1151608831</v>
      </c>
      <c r="K11" s="45" t="str">
        <f>IFERROR(__xludf.DUMMYFUNCTION("""COMPUTED_VALUE"""),"leoculotta@gmail.com")</f>
        <v>leoculotta@gmail.com</v>
      </c>
      <c r="L11" s="45" t="str">
        <f>IFERROR(__xludf.DUMMYFUNCTION("""COMPUTED_VALUE"""),"Masculino")</f>
        <v>Masculino</v>
      </c>
      <c r="M11" s="45" t="str">
        <f>IFERROR(__xludf.DUMMYFUNCTION("""COMPUTED_VALUE"""),"Águila")</f>
        <v>Águila</v>
      </c>
      <c r="N11" s="45"/>
      <c r="O11" s="45" t="str">
        <f>IFERROR(__xludf.DUMMYFUNCTION("""COMPUTED_VALUE"""),"F 18")</f>
        <v>F 18</v>
      </c>
      <c r="P11" s="45" t="str">
        <f>IFERROR(__xludf.DUMMYFUNCTION("""COMPUTED_VALUE"""),"no tenemos")</f>
        <v>no tenemos</v>
      </c>
      <c r="Q11" s="45">
        <f>IFERROR(__xludf.DUMMYFUNCTION("""COMPUTED_VALUE"""),81.0)</f>
        <v>81</v>
      </c>
      <c r="R11" s="45" t="str">
        <f>IFERROR(__xludf.DUMMYFUNCTION("""COMPUTED_VALUE"""),"Perla Blanca")</f>
        <v>Perla Blanca</v>
      </c>
      <c r="S11" s="45" t="str">
        <f>IFERROR(__xludf.DUMMYFUNCTION("""COMPUTED_VALUE"""),"Alejandro Caputo")</f>
        <v>Alejandro Caputo</v>
      </c>
      <c r="T11" s="45" t="str">
        <f>IFERROR(__xludf.DUMMYFUNCTION("""COMPUTED_VALUE"""),"Leonardo Culotta")</f>
        <v>Leonardo Culotta</v>
      </c>
      <c r="U11" s="45"/>
      <c r="V11" s="45"/>
      <c r="W11" s="45"/>
      <c r="X11" s="45"/>
      <c r="Y11" s="45" t="str">
        <f>IFERROR(__xludf.DUMMYFUNCTION("""COMPUTED_VALUE"""),"OSDE")</f>
        <v>OSDE</v>
      </c>
      <c r="Z11" s="7" t="str">
        <f>IFERROR(__xludf.DUMMYFUNCTION("""COMPUTED_VALUE"""),"No")</f>
        <v>No</v>
      </c>
      <c r="AA11" s="7" t="str">
        <f>IFERROR(__xludf.DUMMYFUNCTION("""COMPUTED_VALUE"""),"Acepto")</f>
        <v>Acepto</v>
      </c>
      <c r="AB11" s="7" t="str">
        <f>IFERROR(__xludf.DUMMYFUNCTION("""COMPUTED_VALUE"""),"Pendiente")</f>
        <v>Pendiente</v>
      </c>
      <c r="AC11" s="45"/>
      <c r="AD11" s="45"/>
      <c r="AE11" s="45"/>
      <c r="AF11" s="45" t="str">
        <f>IFERROR(__xludf.DUMMYFUNCTION("""COMPUTED_VALUE"""),"No Corresp")</f>
        <v>No Corresp</v>
      </c>
      <c r="AG11" s="45"/>
    </row>
    <row r="12">
      <c r="C12" s="43"/>
      <c r="D12" s="43"/>
      <c r="E12" s="43"/>
      <c r="F12" s="7"/>
      <c r="G12" s="7"/>
      <c r="Z12" s="7"/>
      <c r="AA12" s="7"/>
      <c r="AB12" s="7"/>
    </row>
    <row r="13">
      <c r="C13" s="43"/>
      <c r="D13" s="43"/>
      <c r="E13" s="43"/>
      <c r="F13" s="7"/>
      <c r="G13" s="7"/>
      <c r="Z13" s="7"/>
      <c r="AA13" s="7"/>
      <c r="AB13" s="7"/>
    </row>
    <row r="14">
      <c r="C14" s="43"/>
      <c r="D14" s="43"/>
      <c r="E14" s="43"/>
      <c r="F14" s="7"/>
      <c r="G14" s="7"/>
      <c r="Z14" s="7"/>
      <c r="AA14" s="7"/>
      <c r="AB14" s="7"/>
    </row>
    <row r="15">
      <c r="C15" s="43"/>
      <c r="D15" s="43"/>
      <c r="E15" s="43"/>
      <c r="F15" s="7"/>
      <c r="G15" s="7"/>
      <c r="Z15" s="7"/>
      <c r="AA15" s="7"/>
      <c r="AB15" s="7"/>
    </row>
    <row r="16">
      <c r="C16" s="43"/>
      <c r="D16" s="43"/>
      <c r="E16" s="43"/>
      <c r="F16" s="7"/>
      <c r="G16" s="7"/>
      <c r="Z16" s="7"/>
      <c r="AA16" s="7"/>
      <c r="AB16" s="7"/>
    </row>
    <row r="17">
      <c r="D17" s="7"/>
      <c r="E17" s="7"/>
      <c r="F17" s="7"/>
      <c r="G17" s="7"/>
    </row>
    <row r="18">
      <c r="D18" s="7"/>
      <c r="E18" s="7"/>
      <c r="F18" s="7"/>
      <c r="G18" s="7"/>
    </row>
    <row r="19">
      <c r="D19" s="7"/>
      <c r="E19" s="7"/>
      <c r="F19" s="7"/>
      <c r="G19" s="7"/>
    </row>
    <row r="20">
      <c r="D20" s="7"/>
      <c r="E20" s="7"/>
      <c r="F20" s="7"/>
      <c r="G20" s="7"/>
    </row>
    <row r="21">
      <c r="D21" s="7"/>
      <c r="E21" s="7"/>
      <c r="F21" s="7"/>
      <c r="G21" s="7"/>
    </row>
    <row r="22">
      <c r="D22" s="7"/>
      <c r="E22" s="7"/>
      <c r="F22" s="7"/>
      <c r="G22" s="7"/>
    </row>
    <row r="23">
      <c r="D23" s="7"/>
      <c r="E23" s="7"/>
      <c r="F23" s="7"/>
      <c r="G23" s="7"/>
    </row>
    <row r="24">
      <c r="D24" s="7"/>
      <c r="E24" s="7"/>
      <c r="F24" s="7"/>
      <c r="G24" s="7"/>
    </row>
    <row r="25">
      <c r="D25" s="7"/>
      <c r="E25" s="7"/>
      <c r="F25" s="7"/>
      <c r="G25" s="7"/>
    </row>
    <row r="26">
      <c r="D26" s="7"/>
      <c r="E26" s="7"/>
      <c r="F26" s="7"/>
      <c r="G26" s="7"/>
    </row>
    <row r="27">
      <c r="D27" s="7"/>
      <c r="E27" s="7"/>
      <c r="F27" s="7"/>
      <c r="G27" s="7"/>
    </row>
    <row r="28">
      <c r="D28" s="7"/>
      <c r="E28" s="7"/>
      <c r="F28" s="7"/>
      <c r="G28" s="7"/>
    </row>
    <row r="29">
      <c r="D29" s="7"/>
      <c r="E29" s="7"/>
      <c r="F29" s="7"/>
      <c r="G29" s="7"/>
    </row>
    <row r="30">
      <c r="D30" s="7"/>
      <c r="E30" s="7"/>
      <c r="F30" s="7"/>
      <c r="G30" s="7"/>
    </row>
    <row r="31">
      <c r="D31" s="7"/>
      <c r="E31" s="7"/>
      <c r="F31" s="7"/>
      <c r="G31" s="7"/>
    </row>
    <row r="32">
      <c r="D32" s="7"/>
      <c r="E32" s="7"/>
      <c r="F32" s="7"/>
      <c r="G32" s="7"/>
    </row>
    <row r="33">
      <c r="D33" s="7"/>
      <c r="E33" s="7"/>
      <c r="F33" s="7"/>
      <c r="G33" s="7"/>
    </row>
    <row r="34">
      <c r="D34" s="7"/>
      <c r="E34" s="7"/>
      <c r="F34" s="7"/>
      <c r="G34" s="7"/>
    </row>
    <row r="35">
      <c r="D35" s="7"/>
      <c r="E35" s="7"/>
      <c r="F35" s="7"/>
      <c r="G35" s="7"/>
    </row>
    <row r="36">
      <c r="D36" s="7"/>
      <c r="E36" s="7"/>
      <c r="F36" s="7"/>
      <c r="G36" s="7"/>
    </row>
    <row r="37">
      <c r="D37" s="7"/>
      <c r="E37" s="7"/>
      <c r="F37" s="7"/>
      <c r="G37" s="7"/>
    </row>
    <row r="38">
      <c r="D38" s="7"/>
      <c r="E38" s="7"/>
      <c r="F38" s="7"/>
      <c r="G38" s="7"/>
    </row>
    <row r="39">
      <c r="D39" s="7"/>
      <c r="E39" s="7"/>
      <c r="F39" s="7"/>
      <c r="G39" s="7"/>
    </row>
    <row r="40">
      <c r="D40" s="7"/>
      <c r="E40" s="7"/>
      <c r="F40" s="7"/>
      <c r="G40" s="7"/>
    </row>
    <row r="41">
      <c r="D41" s="7"/>
      <c r="E41" s="7"/>
      <c r="F41" s="7"/>
      <c r="G41" s="7"/>
    </row>
    <row r="42">
      <c r="D42" s="7"/>
      <c r="E42" s="7"/>
      <c r="F42" s="7"/>
      <c r="G42" s="7"/>
    </row>
    <row r="43">
      <c r="D43" s="7"/>
      <c r="E43" s="7"/>
      <c r="F43" s="7"/>
      <c r="G43" s="7"/>
    </row>
    <row r="44">
      <c r="D44" s="7"/>
      <c r="E44" s="7"/>
      <c r="F44" s="7"/>
      <c r="G44" s="7"/>
    </row>
    <row r="45">
      <c r="D45" s="7"/>
      <c r="E45" s="7"/>
      <c r="F45" s="7"/>
      <c r="G45" s="7"/>
    </row>
    <row r="46">
      <c r="D46" s="7"/>
      <c r="E46" s="7"/>
      <c r="F46" s="7"/>
      <c r="G46" s="7"/>
    </row>
    <row r="47">
      <c r="D47" s="7"/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 I2 G4:G11">
    <cfRule type="cellIs" dxfId="1" priority="2" operator="equal">
      <formula>"Si"</formula>
    </cfRule>
  </conditionalFormatting>
  <conditionalFormatting sqref="AB4:AB19">
    <cfRule type="cellIs" dxfId="3" priority="3" operator="equal">
      <formula>"Terminado"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4" max="4" width="15.0"/>
    <col customWidth="1" min="5" max="5" width="18.0"/>
    <col customWidth="1" min="6" max="6" width="10.88"/>
    <col customWidth="1" hidden="1" min="7" max="7" width="7.38"/>
    <col customWidth="1" hidden="1" min="8" max="8" width="5.5"/>
    <col hidden="1" min="9" max="9" width="12.63"/>
    <col customWidth="1" hidden="1" min="10" max="10" width="5.63"/>
    <col customWidth="1" hidden="1" min="11" max="11" width="12.88"/>
    <col customWidth="1" min="12" max="12" width="8.5"/>
    <col customWidth="1" min="13" max="13" width="5.75"/>
    <col customWidth="1" min="14" max="14" width="8.63"/>
    <col hidden="1" min="15" max="15" width="12.63"/>
    <col customWidth="1" hidden="1" min="16" max="16" width="7.0"/>
    <col customWidth="1" min="17" max="17" width="8.88"/>
    <col customWidth="1" min="18" max="18" width="13.0"/>
    <col customWidth="1" min="19" max="19" width="24.88"/>
    <col hidden="1" min="20" max="25" width="12.63"/>
    <col customWidth="1" min="26" max="26" width="7.0"/>
    <col hidden="1" min="27" max="27" width="12.63"/>
    <col hidden="1" min="29" max="31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56</v>
      </c>
      <c r="C2" s="3"/>
      <c r="D2" s="65"/>
      <c r="E2" s="3"/>
      <c r="F2" s="66" t="str">
        <f>"Inscriptos: "&amp;COUNTA(C4:C100)</f>
        <v>Inscriptos: 6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 t="s">
        <v>57</v>
      </c>
      <c r="B3" s="3" t="str">
        <f>IFERROR(__xludf.DUMMYFUNCTION("query(Titulos)"),"Dia y Hora")</f>
        <v>Dia y Hora</v>
      </c>
      <c r="C3" s="3" t="str">
        <f>IFERROR(__xludf.DUMMYFUNCTION("""COMPUTED_VALUE"""),"Nombre")</f>
        <v>Nombre</v>
      </c>
      <c r="D3" s="3" t="str">
        <f>IFERROR(__xludf.DUMMYFUNCTION("""COMPUTED_VALUE"""),"Apellido")</f>
        <v>Apellido</v>
      </c>
      <c r="E3" s="3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3" t="str">
        <f>IFERROR(__xludf.DUMMYFUNCTION("""COMPUTED_VALUE"""),"RECIBO")</f>
        <v>RECIBO</v>
      </c>
      <c r="AF3" s="107" t="s">
        <v>39</v>
      </c>
      <c r="AG3" s="105" t="s">
        <v>32</v>
      </c>
    </row>
    <row r="4">
      <c r="B4" s="42">
        <f>IFERROR(__xludf.DUMMYFUNCTION("filter(Datos,Clases=A3)"),45535.60746813657)</f>
        <v>45535.60747</v>
      </c>
      <c r="C4" s="43" t="str">
        <f>IFERROR(__xludf.DUMMYFUNCTION("""COMPUTED_VALUE"""),"Vicente")</f>
        <v>Vicente</v>
      </c>
      <c r="D4" s="43" t="str">
        <f>IFERROR(__xludf.DUMMYFUNCTION("""COMPUTED_VALUE"""),"Di stefano")</f>
        <v>Di stefano</v>
      </c>
      <c r="E4" s="43" t="str">
        <f>IFERROR(__xludf.DUMMYFUNCTION("""COMPUTED_VALUE"""),"Buenos Aires")</f>
        <v>Buenos Aires</v>
      </c>
      <c r="F4" s="7" t="str">
        <f>IFERROR(__xludf.DUMMYFUNCTION("""COMPUTED_VALUE"""),"ARG")</f>
        <v>ARG</v>
      </c>
      <c r="G4" s="7">
        <f>IFERROR(__xludf.DUMMYFUNCTION("""COMPUTED_VALUE"""),4.8044836E7)</f>
        <v>48044836</v>
      </c>
      <c r="H4" s="44">
        <f>IFERROR(__xludf.DUMMYFUNCTION("""COMPUTED_VALUE"""),39305.0)</f>
        <v>39305</v>
      </c>
      <c r="I4" s="45">
        <f>IFERROR(__xludf.DUMMYFUNCTION("""COMPUTED_VALUE"""),1.130355629E9)</f>
        <v>1130355629</v>
      </c>
      <c r="J4" s="45">
        <f>IFERROR(__xludf.DUMMYFUNCTION("""COMPUTED_VALUE"""),1.125588407E9)</f>
        <v>1125588407</v>
      </c>
      <c r="K4" s="45" t="str">
        <f>IFERROR(__xludf.DUMMYFUNCTION("""COMPUTED_VALUE"""),"Fueguelvicente@gmail.com")</f>
        <v>Fueguelvicente@gmail.com</v>
      </c>
      <c r="L4" s="45" t="str">
        <f>IFERROR(__xludf.DUMMYFUNCTION("""COMPUTED_VALUE"""),"Masculino")</f>
        <v>Masculino</v>
      </c>
      <c r="M4" s="45" t="str">
        <f>IFERROR(__xludf.DUMMYFUNCTION("""COMPUTED_VALUE"""),"YCCN")</f>
        <v>YCCN</v>
      </c>
      <c r="N4" s="45" t="str">
        <f>IFERROR(__xludf.DUMMYFUNCTION("""COMPUTED_VALUE"""),"Cadet")</f>
        <v>Cadet</v>
      </c>
      <c r="O4" s="45" t="str">
        <f>IFERROR(__xludf.DUMMYFUNCTION("""COMPUTED_VALUE"""),"CADET")</f>
        <v>CADET</v>
      </c>
      <c r="P4" s="45"/>
      <c r="Q4" s="45">
        <f>IFERROR(__xludf.DUMMYFUNCTION("""COMPUTED_VALUE"""),9473.0)</f>
        <v>9473</v>
      </c>
      <c r="R4" s="45" t="str">
        <f>IFERROR(__xludf.DUMMYFUNCTION("""COMPUTED_VALUE"""),"El millonario")</f>
        <v>El millonario</v>
      </c>
      <c r="S4" s="45" t="str">
        <f>IFERROR(__xludf.DUMMYFUNCTION("""COMPUTED_VALUE"""),"Libertad Nandin")</f>
        <v>Libertad Nandin</v>
      </c>
      <c r="T4" s="45"/>
      <c r="U4" s="45"/>
      <c r="V4" s="45"/>
      <c r="W4" s="45"/>
      <c r="X4" s="45"/>
      <c r="Y4" s="45" t="str">
        <f>IFERROR(__xludf.DUMMYFUNCTION("""COMPUTED_VALUE"""),"Osde 62 984177 1 02")</f>
        <v>Osde 62 984177 1 02</v>
      </c>
      <c r="Z4" s="7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IFERROR(__xludf.DUMMYFUNCTION("""COMPUTED_VALUE"""),"Terminado")</f>
        <v>Terminado</v>
      </c>
      <c r="AC4" s="7">
        <f>IFERROR(__xludf.DUMMYFUNCTION("""COMPUTED_VALUE"""),55000.0)</f>
        <v>55000</v>
      </c>
      <c r="AD4" s="45">
        <f>IFERROR(__xludf.DUMMYFUNCTION("""COMPUTED_VALUE"""),205695.0)</f>
        <v>205695</v>
      </c>
      <c r="AE4" s="45" t="str">
        <f>IFERROR(__xludf.DUMMYFUNCTION("""COMPUTED_VALUE"""),"TRF 11-09")</f>
        <v>TRF 11-09</v>
      </c>
      <c r="AF4" s="7" t="str">
        <f>IFERROR(__xludf.DUMMYFUNCTION("""COMPUTED_VALUE"""),"OK")</f>
        <v>OK</v>
      </c>
      <c r="AG4" s="45"/>
    </row>
    <row r="5">
      <c r="B5" s="42">
        <f>IFERROR(__xludf.DUMMYFUNCTION("""COMPUTED_VALUE"""),45546.56936357639)</f>
        <v>45546.56936</v>
      </c>
      <c r="C5" s="43" t="str">
        <f>IFERROR(__xludf.DUMMYFUNCTION("""COMPUTED_VALUE"""),"Tomas")</f>
        <v>Tomas</v>
      </c>
      <c r="D5" s="43" t="str">
        <f>IFERROR(__xludf.DUMMYFUNCTION("""COMPUTED_VALUE"""),"Atanasoff")</f>
        <v>Atanasoff</v>
      </c>
      <c r="E5" s="43" t="str">
        <f>IFERROR(__xludf.DUMMYFUNCTION("""COMPUTED_VALUE"""),"Buenos Aires")</f>
        <v>Buenos Aires</v>
      </c>
      <c r="F5" s="7" t="str">
        <f>IFERROR(__xludf.DUMMYFUNCTION("""COMPUTED_VALUE"""),"ARG")</f>
        <v>ARG</v>
      </c>
      <c r="G5" s="7">
        <f>IFERROR(__xludf.DUMMYFUNCTION("""COMPUTED_VALUE"""),4.9059091E7)</f>
        <v>49059091</v>
      </c>
      <c r="H5" s="44">
        <f>IFERROR(__xludf.DUMMYFUNCTION("""COMPUTED_VALUE"""),39752.0)</f>
        <v>39752</v>
      </c>
      <c r="I5" s="45">
        <f>IFERROR(__xludf.DUMMYFUNCTION("""COMPUTED_VALUE"""),1.146738058E9)</f>
        <v>1146738058</v>
      </c>
      <c r="J5" s="45">
        <f>IFERROR(__xludf.DUMMYFUNCTION("""COMPUTED_VALUE"""),1.149151135E9)</f>
        <v>1149151135</v>
      </c>
      <c r="K5" s="45" t="str">
        <f>IFERROR(__xludf.DUMMYFUNCTION("""COMPUTED_VALUE"""),"atanasoffariel@hotmail.com")</f>
        <v>atanasoffariel@hotmail.com</v>
      </c>
      <c r="L5" s="45" t="str">
        <f>IFERROR(__xludf.DUMMYFUNCTION("""COMPUTED_VALUE"""),"Masculino")</f>
        <v>Masculino</v>
      </c>
      <c r="M5" s="45" t="str">
        <f>IFERROR(__xludf.DUMMYFUNCTION("""COMPUTED_VALUE"""),"Yccn")</f>
        <v>Yccn</v>
      </c>
      <c r="N5" s="45"/>
      <c r="O5" s="45" t="str">
        <f>IFERROR(__xludf.DUMMYFUNCTION("""COMPUTED_VALUE"""),"CADET")</f>
        <v>CADET</v>
      </c>
      <c r="P5" s="45"/>
      <c r="Q5" s="45">
        <f>IFERROR(__xludf.DUMMYFUNCTION("""COMPUTED_VALUE"""),9728.0)</f>
        <v>9728</v>
      </c>
      <c r="R5" s="45"/>
      <c r="S5" s="45" t="str">
        <f>IFERROR(__xludf.DUMMYFUNCTION("""COMPUTED_VALUE"""),"Salvador Lastra")</f>
        <v>Salvador Lastra</v>
      </c>
      <c r="T5" s="45"/>
      <c r="U5" s="45"/>
      <c r="V5" s="45"/>
      <c r="W5" s="45"/>
      <c r="X5" s="45"/>
      <c r="Y5" s="45" t="str">
        <f>IFERROR(__xludf.DUMMYFUNCTION("""COMPUTED_VALUE"""),"Osde")</f>
        <v>Osde</v>
      </c>
      <c r="Z5" s="7" t="str">
        <f>IFERROR(__xludf.DUMMYFUNCTION("""COMPUTED_VALUE"""),"No")</f>
        <v>No</v>
      </c>
      <c r="AA5" s="7" t="str">
        <f>IFERROR(__xludf.DUMMYFUNCTION("""COMPUTED_VALUE"""),"Acepto")</f>
        <v>Acepto</v>
      </c>
      <c r="AB5" s="7" t="str">
        <f>IFERROR(__xludf.DUMMYFUNCTION("""COMPUTED_VALUE"""),"Pendiente")</f>
        <v>Pendiente</v>
      </c>
      <c r="AC5" s="7"/>
      <c r="AD5" s="45"/>
      <c r="AE5" s="45"/>
      <c r="AF5" s="7" t="str">
        <f>IFERROR(__xludf.DUMMYFUNCTION("""COMPUTED_VALUE"""),"OK")</f>
        <v>OK</v>
      </c>
      <c r="AG5" s="45"/>
    </row>
    <row r="6">
      <c r="B6" s="42">
        <f>IFERROR(__xludf.DUMMYFUNCTION("""COMPUTED_VALUE"""),45546.82644081018)</f>
        <v>45546.82644</v>
      </c>
      <c r="C6" s="43" t="str">
        <f>IFERROR(__xludf.DUMMYFUNCTION("""COMPUTED_VALUE"""),"Vicente")</f>
        <v>Vicente</v>
      </c>
      <c r="D6" s="43" t="str">
        <f>IFERROR(__xludf.DUMMYFUNCTION("""COMPUTED_VALUE"""),"Carloni Bohl")</f>
        <v>Carloni Bohl</v>
      </c>
      <c r="E6" s="43" t="str">
        <f>IFERROR(__xludf.DUMMYFUNCTION("""COMPUTED_VALUE"""),"Olivos")</f>
        <v>Olivos</v>
      </c>
      <c r="F6" s="7" t="str">
        <f>IFERROR(__xludf.DUMMYFUNCTION("""COMPUTED_VALUE"""),"ARG")</f>
        <v>ARG</v>
      </c>
      <c r="G6" s="7">
        <f>IFERROR(__xludf.DUMMYFUNCTION("""COMPUTED_VALUE"""),5.1218184E7)</f>
        <v>51218184</v>
      </c>
      <c r="H6" s="44">
        <f>IFERROR(__xludf.DUMMYFUNCTION("""COMPUTED_VALUE"""),40687.0)</f>
        <v>40687</v>
      </c>
      <c r="I6" s="45">
        <f>IFERROR(__xludf.DUMMYFUNCTION("""COMPUTED_VALUE"""),1.159609485E9)</f>
        <v>1159609485</v>
      </c>
      <c r="J6" s="45">
        <f>IFERROR(__xludf.DUMMYFUNCTION("""COMPUTED_VALUE"""),1.134119214E9)</f>
        <v>1134119214</v>
      </c>
      <c r="K6" s="45" t="str">
        <f>IFERROR(__xludf.DUMMYFUNCTION("""COMPUTED_VALUE"""),"mirihirsch@gmail.com")</f>
        <v>mirihirsch@gmail.com</v>
      </c>
      <c r="L6" s="45" t="str">
        <f>IFERROR(__xludf.DUMMYFUNCTION("""COMPUTED_VALUE"""),"Masculino")</f>
        <v>Masculino</v>
      </c>
      <c r="M6" s="45" t="str">
        <f>IFERROR(__xludf.DUMMYFUNCTION("""COMPUTED_VALUE"""),"CVSI")</f>
        <v>CVSI</v>
      </c>
      <c r="N6" s="45" t="str">
        <f>IFERROR(__xludf.DUMMYFUNCTION("""COMPUTED_VALUE"""),"CADET")</f>
        <v>CADET</v>
      </c>
      <c r="O6" s="45" t="str">
        <f>IFERROR(__xludf.DUMMYFUNCTION("""COMPUTED_VALUE"""),"CADET")</f>
        <v>CADET</v>
      </c>
      <c r="P6" s="45"/>
      <c r="Q6" s="45">
        <f>IFERROR(__xludf.DUMMYFUNCTION("""COMPUTED_VALUE"""),9988.0)</f>
        <v>9988</v>
      </c>
      <c r="R6" s="45"/>
      <c r="S6" s="45" t="str">
        <f>IFERROR(__xludf.DUMMYFUNCTION("""COMPUTED_VALUE"""),"Felipe Murchio")</f>
        <v>Felipe Murchio</v>
      </c>
      <c r="T6" s="45"/>
      <c r="U6" s="45"/>
      <c r="V6" s="45"/>
      <c r="W6" s="45"/>
      <c r="X6" s="45"/>
      <c r="Y6" s="45" t="str">
        <f>IFERROR(__xludf.DUMMYFUNCTION("""COMPUTED_VALUE"""),"Galeno")</f>
        <v>Galeno</v>
      </c>
      <c r="Z6" s="7" t="str">
        <f>IFERROR(__xludf.DUMMYFUNCTION("""COMPUTED_VALUE"""),"No")</f>
        <v>No</v>
      </c>
      <c r="AA6" s="7" t="str">
        <f>IFERROR(__xludf.DUMMYFUNCTION("""COMPUTED_VALUE"""),"Acepto")</f>
        <v>Acepto</v>
      </c>
      <c r="AB6" s="7" t="str">
        <f>IFERROR(__xludf.DUMMYFUNCTION("""COMPUTED_VALUE"""),"Terminado")</f>
        <v>Terminado</v>
      </c>
      <c r="AC6" s="7">
        <f>IFERROR(__xludf.DUMMYFUNCTION("""COMPUTED_VALUE"""),55000.0)</f>
        <v>55000</v>
      </c>
      <c r="AD6" s="45">
        <f>IFERROR(__xludf.DUMMYFUNCTION("""COMPUTED_VALUE"""),205681.0)</f>
        <v>205681</v>
      </c>
      <c r="AE6" s="45" t="str">
        <f>IFERROR(__xludf.DUMMYFUNCTION("""COMPUTED_VALUE"""),"TRF 11-09")</f>
        <v>TRF 11-09</v>
      </c>
      <c r="AF6" s="7" t="str">
        <f>IFERROR(__xludf.DUMMYFUNCTION("""COMPUTED_VALUE"""),"Pendiente")</f>
        <v>Pendiente</v>
      </c>
      <c r="AG6" s="45"/>
    </row>
    <row r="7">
      <c r="B7" s="42">
        <f>IFERROR(__xludf.DUMMYFUNCTION("""COMPUTED_VALUE"""),45546.8284190625)</f>
        <v>45546.82842</v>
      </c>
      <c r="C7" s="43" t="str">
        <f>IFERROR(__xludf.DUMMYFUNCTION("""COMPUTED_VALUE"""),"Martin")</f>
        <v>Martin</v>
      </c>
      <c r="D7" s="43" t="str">
        <f>IFERROR(__xludf.DUMMYFUNCTION("""COMPUTED_VALUE"""),"Manrique Gasme")</f>
        <v>Manrique Gasme</v>
      </c>
      <c r="E7" s="43" t="str">
        <f>IFERROR(__xludf.DUMMYFUNCTION("""COMPUTED_VALUE"""),"Olivos")</f>
        <v>Olivos</v>
      </c>
      <c r="F7" s="7" t="str">
        <f>IFERROR(__xludf.DUMMYFUNCTION("""COMPUTED_VALUE"""),"ARG")</f>
        <v>ARG</v>
      </c>
      <c r="G7" s="7">
        <f>IFERROR(__xludf.DUMMYFUNCTION("""COMPUTED_VALUE"""),4.8521146E7)</f>
        <v>48521146</v>
      </c>
      <c r="H7" s="44">
        <f>IFERROR(__xludf.DUMMYFUNCTION("""COMPUTED_VALUE"""),39486.0)</f>
        <v>39486</v>
      </c>
      <c r="I7" s="45">
        <f>IFERROR(__xludf.DUMMYFUNCTION("""COMPUTED_VALUE"""),1.159609485E9)</f>
        <v>1159609485</v>
      </c>
      <c r="J7" s="45">
        <f>IFERROR(__xludf.DUMMYFUNCTION("""COMPUTED_VALUE"""),1.165227E9)</f>
        <v>1165227000</v>
      </c>
      <c r="K7" s="45" t="str">
        <f>IFERROR(__xludf.DUMMYFUNCTION("""COMPUTED_VALUE"""),"mirihirsch@gmail.com")</f>
        <v>mirihirsch@gmail.com</v>
      </c>
      <c r="L7" s="45" t="str">
        <f>IFERROR(__xludf.DUMMYFUNCTION("""COMPUTED_VALUE"""),"Masculino")</f>
        <v>Masculino</v>
      </c>
      <c r="M7" s="45" t="str">
        <f>IFERROR(__xludf.DUMMYFUNCTION("""COMPUTED_VALUE"""),"CVSI")</f>
        <v>CVSI</v>
      </c>
      <c r="N7" s="45" t="str">
        <f>IFERROR(__xludf.DUMMYFUNCTION("""COMPUTED_VALUE"""),"CADET")</f>
        <v>CADET</v>
      </c>
      <c r="O7" s="45" t="str">
        <f>IFERROR(__xludf.DUMMYFUNCTION("""COMPUTED_VALUE"""),"CADET")</f>
        <v>CADET</v>
      </c>
      <c r="P7" s="45"/>
      <c r="Q7" s="45">
        <f>IFERROR(__xludf.DUMMYFUNCTION("""COMPUTED_VALUE"""),10013.0)</f>
        <v>10013</v>
      </c>
      <c r="R7" s="45"/>
      <c r="S7" s="45" t="str">
        <f>IFERROR(__xludf.DUMMYFUNCTION("""COMPUTED_VALUE"""),"Valentin Asaf Carloni Hirsch")</f>
        <v>Valentin Asaf Carloni Hirsch</v>
      </c>
      <c r="T7" s="45"/>
      <c r="U7" s="45"/>
      <c r="V7" s="45"/>
      <c r="W7" s="45"/>
      <c r="X7" s="45"/>
      <c r="Y7" s="45"/>
      <c r="Z7" s="7" t="str">
        <f>IFERROR(__xludf.DUMMYFUNCTION("""COMPUTED_VALUE"""),"No")</f>
        <v>No</v>
      </c>
      <c r="AA7" s="7" t="str">
        <f>IFERROR(__xludf.DUMMYFUNCTION("""COMPUTED_VALUE"""),"Acepto")</f>
        <v>Acepto</v>
      </c>
      <c r="AB7" s="7" t="str">
        <f>IFERROR(__xludf.DUMMYFUNCTION("""COMPUTED_VALUE"""),"Terminado")</f>
        <v>Terminado</v>
      </c>
      <c r="AC7" s="7">
        <f>IFERROR(__xludf.DUMMYFUNCTION("""COMPUTED_VALUE"""),55000.0)</f>
        <v>55000</v>
      </c>
      <c r="AD7" s="45">
        <f>IFERROR(__xludf.DUMMYFUNCTION("""COMPUTED_VALUE"""),205681.0)</f>
        <v>205681</v>
      </c>
      <c r="AE7" s="45" t="str">
        <f>IFERROR(__xludf.DUMMYFUNCTION("""COMPUTED_VALUE"""),"TRF 11-09")</f>
        <v>TRF 11-09</v>
      </c>
      <c r="AF7" s="7" t="str">
        <f>IFERROR(__xludf.DUMMYFUNCTION("""COMPUTED_VALUE"""),"OK")</f>
        <v>OK</v>
      </c>
      <c r="AG7" s="45"/>
    </row>
    <row r="8">
      <c r="B8" s="42">
        <f>IFERROR(__xludf.DUMMYFUNCTION("""COMPUTED_VALUE"""),45546.96491797453)</f>
        <v>45546.96492</v>
      </c>
      <c r="C8" s="43" t="str">
        <f>IFERROR(__xludf.DUMMYFUNCTION("""COMPUTED_VALUE"""),"Nicolás Alejandro")</f>
        <v>Nicolás Alejandro</v>
      </c>
      <c r="D8" s="43" t="str">
        <f>IFERROR(__xludf.DUMMYFUNCTION("""COMPUTED_VALUE"""),"Britos")</f>
        <v>Britos</v>
      </c>
      <c r="E8" s="43" t="str">
        <f>IFERROR(__xludf.DUMMYFUNCTION("""COMPUTED_VALUE"""),"San Fernando")</f>
        <v>San Fernando</v>
      </c>
      <c r="F8" s="7" t="str">
        <f>IFERROR(__xludf.DUMMYFUNCTION("""COMPUTED_VALUE"""),"ARG")</f>
        <v>ARG</v>
      </c>
      <c r="G8" s="7">
        <f>IFERROR(__xludf.DUMMYFUNCTION("""COMPUTED_VALUE"""),4.8679981E7)</f>
        <v>48679981</v>
      </c>
      <c r="H8" s="44">
        <f>IFERROR(__xludf.DUMMYFUNCTION("""COMPUTED_VALUE"""),39638.0)</f>
        <v>39638</v>
      </c>
      <c r="I8" s="45">
        <f>IFERROR(__xludf.DUMMYFUNCTION("""COMPUTED_VALUE"""),1.170204401E9)</f>
        <v>1170204401</v>
      </c>
      <c r="J8" s="45">
        <f>IFERROR(__xludf.DUMMYFUNCTION("""COMPUTED_VALUE"""),1.16836897E9)</f>
        <v>1168368970</v>
      </c>
      <c r="K8" s="45" t="str">
        <f>IFERROR(__xludf.DUMMYFUNCTION("""COMPUTED_VALUE"""),"nicoalebr2@gmail.com")</f>
        <v>nicoalebr2@gmail.com</v>
      </c>
      <c r="L8" s="45" t="str">
        <f>IFERROR(__xludf.DUMMYFUNCTION("""COMPUTED_VALUE"""),"Masculino")</f>
        <v>Masculino</v>
      </c>
      <c r="M8" s="45" t="str">
        <f>IFERROR(__xludf.DUMMYFUNCTION("""COMPUTED_VALUE"""),"CVSI")</f>
        <v>CVSI</v>
      </c>
      <c r="N8" s="45"/>
      <c r="O8" s="45" t="str">
        <f>IFERROR(__xludf.DUMMYFUNCTION("""COMPUTED_VALUE"""),"CADET")</f>
        <v>CADET</v>
      </c>
      <c r="P8" s="45"/>
      <c r="Q8" s="45">
        <f>IFERROR(__xludf.DUMMYFUNCTION("""COMPUTED_VALUE"""),6160.0)</f>
        <v>6160</v>
      </c>
      <c r="R8" s="45" t="str">
        <f>IFERROR(__xludf.DUMMYFUNCTION("""COMPUTED_VALUE"""),"Pachamama")</f>
        <v>Pachamama</v>
      </c>
      <c r="S8" s="45" t="str">
        <f>IFERROR(__xludf.DUMMYFUNCTION("""COMPUTED_VALUE"""),"Julieta Britos")</f>
        <v>Julieta Britos</v>
      </c>
      <c r="T8" s="45"/>
      <c r="U8" s="45"/>
      <c r="V8" s="45"/>
      <c r="W8" s="45"/>
      <c r="X8" s="45"/>
      <c r="Y8" s="45" t="str">
        <f>IFERROR(__xludf.DUMMYFUNCTION("""COMPUTED_VALUE"""),"UPCN/00957366012")</f>
        <v>UPCN/00957366012</v>
      </c>
      <c r="Z8" s="7" t="str">
        <f>IFERROR(__xludf.DUMMYFUNCTION("""COMPUTED_VALUE"""),"No")</f>
        <v>No</v>
      </c>
      <c r="AA8" s="7" t="str">
        <f>IFERROR(__xludf.DUMMYFUNCTION("""COMPUTED_VALUE"""),"Acepto")</f>
        <v>Acepto</v>
      </c>
      <c r="AB8" s="7" t="str">
        <f>IFERROR(__xludf.DUMMYFUNCTION("""COMPUTED_VALUE"""),"Terminado")</f>
        <v>Terminado</v>
      </c>
      <c r="AC8" s="7">
        <f>IFERROR(__xludf.DUMMYFUNCTION("""COMPUTED_VALUE"""),55000.0)</f>
        <v>55000</v>
      </c>
      <c r="AD8" s="45">
        <f>IFERROR(__xludf.DUMMYFUNCTION("""COMPUTED_VALUE"""),205706.0)</f>
        <v>205706</v>
      </c>
      <c r="AE8" s="45" t="str">
        <f>IFERROR(__xludf.DUMMYFUNCTION("""COMPUTED_VALUE"""),"TRF 11-09")</f>
        <v>TRF 11-09</v>
      </c>
      <c r="AF8" s="7" t="str">
        <f>IFERROR(__xludf.DUMMYFUNCTION("""COMPUTED_VALUE"""),"Pendiente")</f>
        <v>Pendiente</v>
      </c>
      <c r="AG8" s="45"/>
    </row>
    <row r="9">
      <c r="B9" s="42">
        <f>IFERROR(__xludf.DUMMYFUNCTION("""COMPUTED_VALUE"""),45547.53635811343)</f>
        <v>45547.53636</v>
      </c>
      <c r="C9" s="43" t="str">
        <f>IFERROR(__xludf.DUMMYFUNCTION("""COMPUTED_VALUE"""),"Augusto")</f>
        <v>Augusto</v>
      </c>
      <c r="D9" s="43" t="str">
        <f>IFERROR(__xludf.DUMMYFUNCTION("""COMPUTED_VALUE"""),"Moreira Quinn")</f>
        <v>Moreira Quinn</v>
      </c>
      <c r="E9" s="43" t="str">
        <f>IFERROR(__xludf.DUMMYFUNCTION("""COMPUTED_VALUE"""),"Buenos Aires")</f>
        <v>Buenos Aires</v>
      </c>
      <c r="F9" s="7" t="str">
        <f>IFERROR(__xludf.DUMMYFUNCTION("""COMPUTED_VALUE"""),"ARG")</f>
        <v>ARG</v>
      </c>
      <c r="G9" s="7">
        <f>IFERROR(__xludf.DUMMYFUNCTION("""COMPUTED_VALUE"""),4.8677539E7)</f>
        <v>48677539</v>
      </c>
      <c r="H9" s="44">
        <f>IFERROR(__xludf.DUMMYFUNCTION("""COMPUTED_VALUE"""),39569.0)</f>
        <v>39569</v>
      </c>
      <c r="I9" s="45" t="str">
        <f>IFERROR(__xludf.DUMMYFUNCTION("""COMPUTED_VALUE"""),"54 11 6210 8872")</f>
        <v>54 11 6210 8872</v>
      </c>
      <c r="J9" s="45" t="str">
        <f>IFERROR(__xludf.DUMMYFUNCTION("""COMPUTED_VALUE"""),"11 6216 8501")</f>
        <v>11 6216 8501</v>
      </c>
      <c r="K9" s="45" t="str">
        <f>IFERROR(__xludf.DUMMYFUNCTION("""COMPUTED_VALUE"""),"mqaugusto54@gmail.com")</f>
        <v>mqaugusto54@gmail.com</v>
      </c>
      <c r="L9" s="45" t="str">
        <f>IFERROR(__xludf.DUMMYFUNCTION("""COMPUTED_VALUE"""),"Masculino")</f>
        <v>Masculino</v>
      </c>
      <c r="M9" s="45" t="str">
        <f>IFERROR(__xludf.DUMMYFUNCTION("""COMPUTED_VALUE"""),"CVSI")</f>
        <v>CVSI</v>
      </c>
      <c r="N9" s="45" t="str">
        <f>IFERROR(__xludf.DUMMYFUNCTION("""COMPUTED_VALUE"""),"Cadet")</f>
        <v>Cadet</v>
      </c>
      <c r="O9" s="45" t="str">
        <f>IFERROR(__xludf.DUMMYFUNCTION("""COMPUTED_VALUE"""),"CADET")</f>
        <v>CADET</v>
      </c>
      <c r="P9" s="45"/>
      <c r="Q9" s="45">
        <f>IFERROR(__xludf.DUMMYFUNCTION("""COMPUTED_VALUE"""),9989.0)</f>
        <v>9989</v>
      </c>
      <c r="R9" s="45" t="str">
        <f>IFERROR(__xludf.DUMMYFUNCTION("""COMPUTED_VALUE"""),"Palta")</f>
        <v>Palta</v>
      </c>
      <c r="S9" s="45" t="str">
        <f>IFERROR(__xludf.DUMMYFUNCTION("""COMPUTED_VALUE"""),"Camila Aguirre Gari")</f>
        <v>Camila Aguirre Gari</v>
      </c>
      <c r="T9" s="45"/>
      <c r="U9" s="45"/>
      <c r="V9" s="45"/>
      <c r="W9" s="45"/>
      <c r="X9" s="45"/>
      <c r="Y9" s="45" t="str">
        <f>IFERROR(__xludf.DUMMYFUNCTION("""COMPUTED_VALUE"""),"OSDE")</f>
        <v>OSDE</v>
      </c>
      <c r="Z9" s="7" t="str">
        <f>IFERROR(__xludf.DUMMYFUNCTION("""COMPUTED_VALUE"""),"Si")</f>
        <v>Si</v>
      </c>
      <c r="AA9" s="7" t="str">
        <f>IFERROR(__xludf.DUMMYFUNCTION("""COMPUTED_VALUE"""),"Acepto")</f>
        <v>Acepto</v>
      </c>
      <c r="AB9" s="7" t="str">
        <f>IFERROR(__xludf.DUMMYFUNCTION("""COMPUTED_VALUE"""),"Pendiente")</f>
        <v>Pendiente</v>
      </c>
      <c r="AC9" s="7"/>
      <c r="AD9" s="45"/>
      <c r="AE9" s="45"/>
      <c r="AF9" s="7" t="str">
        <f>IFERROR(__xludf.DUMMYFUNCTION("""COMPUTED_VALUE"""),"OK")</f>
        <v>OK</v>
      </c>
      <c r="AG9" s="45"/>
    </row>
    <row r="10">
      <c r="C10" s="43"/>
      <c r="D10" s="43"/>
      <c r="E10" s="43"/>
      <c r="F10" s="7"/>
      <c r="G10" s="7"/>
      <c r="Z10" s="7"/>
      <c r="AA10" s="7"/>
      <c r="AB10" s="7"/>
      <c r="AC10" s="7"/>
      <c r="AF10" s="7"/>
    </row>
    <row r="11">
      <c r="C11" s="43"/>
      <c r="D11" s="43"/>
      <c r="E11" s="43"/>
      <c r="F11" s="7"/>
      <c r="G11" s="7"/>
      <c r="Z11" s="7"/>
      <c r="AB11" s="7"/>
      <c r="AC11" s="7"/>
      <c r="AF11" s="7"/>
    </row>
    <row r="12">
      <c r="C12" s="43"/>
      <c r="D12" s="43"/>
      <c r="E12" s="43"/>
      <c r="F12" s="7"/>
      <c r="G12" s="7"/>
      <c r="Z12" s="7"/>
      <c r="AB12" s="7"/>
      <c r="AC12" s="7"/>
      <c r="AF12" s="7"/>
    </row>
    <row r="13">
      <c r="C13" s="43"/>
      <c r="D13" s="43"/>
      <c r="E13" s="43"/>
      <c r="F13" s="7"/>
      <c r="G13" s="7"/>
      <c r="Z13" s="7"/>
      <c r="AB13" s="7"/>
      <c r="AC13" s="7"/>
      <c r="AF13" s="7"/>
    </row>
    <row r="14">
      <c r="C14" s="43"/>
      <c r="D14" s="43"/>
      <c r="E14" s="43"/>
      <c r="F14" s="7"/>
      <c r="G14" s="7"/>
      <c r="AC14" s="7"/>
      <c r="AF14" s="7"/>
    </row>
    <row r="15">
      <c r="C15" s="43"/>
      <c r="D15" s="43"/>
      <c r="E15" s="43"/>
      <c r="F15" s="7"/>
      <c r="G15" s="7"/>
      <c r="AC15" s="7"/>
      <c r="AF15" s="7"/>
    </row>
    <row r="16">
      <c r="C16" s="43"/>
      <c r="D16" s="43"/>
      <c r="E16" s="43"/>
      <c r="F16" s="7"/>
      <c r="G16" s="7"/>
    </row>
    <row r="17">
      <c r="C17" s="43"/>
      <c r="D17" s="43"/>
      <c r="E17" s="43"/>
      <c r="F17" s="7"/>
      <c r="G17" s="7"/>
    </row>
    <row r="18">
      <c r="C18" s="43"/>
      <c r="D18" s="43"/>
      <c r="E18" s="43"/>
      <c r="F18" s="7"/>
      <c r="G18" s="7"/>
    </row>
    <row r="19">
      <c r="C19" s="43"/>
      <c r="D19" s="43"/>
      <c r="E19" s="43"/>
      <c r="F19" s="7"/>
      <c r="G19" s="7"/>
    </row>
    <row r="20">
      <c r="D20" s="7"/>
      <c r="E20" s="7"/>
      <c r="F20" s="7"/>
      <c r="G20" s="7"/>
    </row>
    <row r="21">
      <c r="D21" s="7"/>
      <c r="E21" s="7"/>
      <c r="F21" s="7"/>
      <c r="G21" s="7"/>
    </row>
    <row r="22">
      <c r="D22" s="7"/>
      <c r="E22" s="7"/>
      <c r="F22" s="7"/>
      <c r="G22" s="7"/>
    </row>
    <row r="23">
      <c r="D23" s="7"/>
      <c r="E23" s="7"/>
      <c r="F23" s="7"/>
      <c r="G23" s="7"/>
    </row>
    <row r="24">
      <c r="D24" s="7"/>
      <c r="E24" s="7"/>
      <c r="F24" s="7"/>
      <c r="G24" s="7"/>
    </row>
    <row r="25">
      <c r="D25" s="7"/>
      <c r="E25" s="7"/>
      <c r="F25" s="7"/>
      <c r="G25" s="7"/>
    </row>
    <row r="26">
      <c r="D26" s="7"/>
      <c r="E26" s="7"/>
      <c r="F26" s="7"/>
      <c r="G26" s="7"/>
    </row>
    <row r="27">
      <c r="D27" s="7"/>
      <c r="E27" s="7"/>
      <c r="F27" s="7"/>
      <c r="G27" s="7"/>
    </row>
    <row r="28">
      <c r="D28" s="7"/>
      <c r="E28" s="7"/>
      <c r="F28" s="7"/>
      <c r="G28" s="7"/>
    </row>
    <row r="29">
      <c r="D29" s="7"/>
      <c r="E29" s="7"/>
      <c r="F29" s="7"/>
      <c r="G29" s="7"/>
    </row>
    <row r="30">
      <c r="D30" s="7"/>
      <c r="E30" s="7"/>
      <c r="F30" s="7"/>
      <c r="G30" s="7"/>
    </row>
    <row r="31">
      <c r="D31" s="7"/>
      <c r="E31" s="7"/>
      <c r="F31" s="7"/>
      <c r="G31" s="7"/>
    </row>
    <row r="32">
      <c r="D32" s="7"/>
      <c r="E32" s="7"/>
      <c r="F32" s="7"/>
      <c r="G32" s="7"/>
    </row>
    <row r="33">
      <c r="D33" s="7"/>
      <c r="E33" s="7"/>
      <c r="F33" s="7"/>
      <c r="G33" s="7"/>
    </row>
    <row r="34">
      <c r="D34" s="7"/>
      <c r="E34" s="7"/>
      <c r="F34" s="7"/>
      <c r="G34" s="7"/>
    </row>
    <row r="35">
      <c r="D35" s="7"/>
      <c r="E35" s="7"/>
      <c r="F35" s="7"/>
      <c r="G35" s="7"/>
    </row>
    <row r="36">
      <c r="D36" s="7"/>
      <c r="E36" s="7"/>
      <c r="F36" s="7"/>
      <c r="G36" s="7"/>
    </row>
    <row r="37">
      <c r="D37" s="7"/>
      <c r="E37" s="7"/>
      <c r="F37" s="7"/>
      <c r="G37" s="7"/>
    </row>
    <row r="38">
      <c r="D38" s="7"/>
      <c r="E38" s="7"/>
      <c r="F38" s="7"/>
      <c r="G38" s="7"/>
    </row>
    <row r="39">
      <c r="D39" s="7"/>
      <c r="E39" s="7"/>
      <c r="F39" s="7"/>
      <c r="G39" s="7"/>
    </row>
    <row r="40">
      <c r="D40" s="7"/>
      <c r="E40" s="7"/>
      <c r="F40" s="7"/>
      <c r="G40" s="7"/>
    </row>
    <row r="41">
      <c r="D41" s="7"/>
      <c r="E41" s="7"/>
      <c r="F41" s="7"/>
      <c r="G41" s="7"/>
    </row>
    <row r="42">
      <c r="D42" s="7"/>
      <c r="E42" s="7"/>
      <c r="F42" s="7"/>
      <c r="G42" s="7"/>
    </row>
    <row r="43">
      <c r="D43" s="7"/>
      <c r="E43" s="7"/>
      <c r="F43" s="7"/>
      <c r="G43" s="7"/>
    </row>
    <row r="44">
      <c r="D44" s="7"/>
      <c r="E44" s="7"/>
      <c r="F44" s="7"/>
      <c r="G44" s="7"/>
    </row>
    <row r="45">
      <c r="D45" s="7"/>
      <c r="E45" s="7"/>
      <c r="F45" s="7"/>
      <c r="G45" s="7"/>
    </row>
    <row r="46">
      <c r="D46" s="7"/>
      <c r="E46" s="7"/>
      <c r="F46" s="7"/>
      <c r="G46" s="7"/>
    </row>
    <row r="47">
      <c r="D47" s="7"/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 I2 G4:G33">
    <cfRule type="cellIs" dxfId="1" priority="2" operator="equal">
      <formula>"Si"</formula>
    </cfRule>
  </conditionalFormatting>
  <conditionalFormatting sqref="Z3:AB20">
    <cfRule type="cellIs" dxfId="3" priority="3" operator="equal">
      <formula>"Terminado"</formula>
    </cfRule>
  </conditionalFormatting>
  <conditionalFormatting sqref="AC3:AC15">
    <cfRule type="cellIs" dxfId="3" priority="4" operator="equal">
      <formula>"OK"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0" customHeight="1">
      <c r="A2" s="59"/>
      <c r="B2" s="64" t="s">
        <v>58</v>
      </c>
      <c r="C2" s="3"/>
      <c r="D2" s="65"/>
      <c r="E2" s="3"/>
      <c r="F2" s="66" t="str">
        <f>"Inscriptos: "&amp;COUNTA(C4:C104)</f>
        <v>Inscriptos: 0</v>
      </c>
      <c r="G2" s="3"/>
      <c r="H2" s="3"/>
      <c r="I2" s="67"/>
      <c r="J2" s="67"/>
      <c r="K2" s="67"/>
      <c r="L2" s="68"/>
      <c r="M2" s="3"/>
      <c r="N2" s="3"/>
      <c r="O2" s="3"/>
      <c r="P2" s="3"/>
      <c r="Q2" s="3"/>
      <c r="R2" s="3"/>
      <c r="S2" s="3"/>
      <c r="T2" s="67"/>
      <c r="U2" s="67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59" t="s">
        <v>59</v>
      </c>
      <c r="B3" s="3" t="str">
        <f>IFERROR(__xludf.DUMMYFUNCTION("query(Titulos)"),"Dia y Hora")</f>
        <v>Dia y Hora</v>
      </c>
      <c r="C3" s="79" t="str">
        <f>IFERROR(__xludf.DUMMYFUNCTION("""COMPUTED_VALUE"""),"Nombre")</f>
        <v>Nombre</v>
      </c>
      <c r="D3" s="79" t="str">
        <f>IFERROR(__xludf.DUMMYFUNCTION("""COMPUTED_VALUE"""),"Apellido")</f>
        <v>Apellido</v>
      </c>
      <c r="E3" s="79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3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3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3" t="str">
        <f>IFERROR(__xludf.DUMMYFUNCTION("""COMPUTED_VALUE"""),"RECIBO")</f>
        <v>RECIBO</v>
      </c>
      <c r="AE3" s="3"/>
    </row>
    <row r="4">
      <c r="B4" s="45" t="str">
        <f>IFERROR(__xludf.DUMMYFUNCTION("filter(Datos,Clases=A3)"),"#N/A")</f>
        <v>#N/A</v>
      </c>
    </row>
    <row r="6">
      <c r="A6" s="108"/>
    </row>
  </sheetData>
  <conditionalFormatting sqref="G1:G3 I2">
    <cfRule type="cellIs" dxfId="1" priority="1" operator="equal">
      <formula>"Si"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4" max="4" width="14.63"/>
    <col customWidth="1" min="6" max="6" width="6.0"/>
    <col hidden="1" min="7" max="12" width="12.63"/>
    <col hidden="1" min="14" max="16" width="12.63"/>
    <col hidden="1" min="25" max="27" width="12.63"/>
    <col customWidth="1" min="28" max="28" width="9.0"/>
    <col hidden="1" min="29" max="32" width="12.63"/>
  </cols>
  <sheetData>
    <row r="1">
      <c r="A1" s="108"/>
      <c r="B1" s="60" t="s">
        <v>33</v>
      </c>
      <c r="E1" s="61"/>
      <c r="F1" s="61"/>
      <c r="G1" s="62"/>
      <c r="H1" s="61"/>
      <c r="I1" s="61"/>
      <c r="J1" s="6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108"/>
      <c r="B2" s="64" t="s">
        <v>60</v>
      </c>
      <c r="C2" s="109"/>
      <c r="D2" s="109"/>
      <c r="E2" s="3"/>
      <c r="F2" s="69" t="str">
        <f>"Inscriptos: "&amp;COUNTA(C4:C100)</f>
        <v>Inscriptos: 0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08" t="s">
        <v>61</v>
      </c>
      <c r="B3" s="3" t="str">
        <f>IFERROR(__xludf.DUMMYFUNCTION("query(Titulos)"),"Dia y Hora")</f>
        <v>Dia y Hora</v>
      </c>
      <c r="C3" s="79" t="str">
        <f>IFERROR(__xludf.DUMMYFUNCTION("""COMPUTED_VALUE"""),"Nombre")</f>
        <v>Nombre</v>
      </c>
      <c r="D3" s="80" t="str">
        <f>IFERROR(__xludf.DUMMYFUNCTION("""COMPUTED_VALUE"""),"Apellido")</f>
        <v>Apellido</v>
      </c>
      <c r="E3" s="79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67" t="str">
        <f>IFERROR(__xludf.DUMMYFUNCTION("""COMPUTED_VALUE"""),"Celular de Contacto")</f>
        <v>Celular de Contacto</v>
      </c>
      <c r="J3" s="67" t="str">
        <f>IFERROR(__xludf.DUMMYFUNCTION("""COMPUTED_VALUE"""),"Celular de Emergencias")</f>
        <v>Celular de Emergencias</v>
      </c>
      <c r="K3" s="67" t="str">
        <f>IFERROR(__xludf.DUMMYFUNCTION("""COMPUTED_VALUE"""),"email")</f>
        <v>email</v>
      </c>
      <c r="L3" s="3" t="str">
        <f>IFERROR(__xludf.DUMMYFUNCTION("""COMPUTED_VALUE"""),"Sexo")</f>
        <v>Sexo</v>
      </c>
      <c r="M3" s="79" t="str">
        <f>IFERROR(__xludf.DUMMYFUNCTION("""COMPUTED_VALUE"""),"Club")</f>
        <v>Club</v>
      </c>
      <c r="N3" s="79" t="str">
        <f>IFERROR(__xludf.DUMMYFUNCTION("""COMPUTED_VALUE"""),"Categoría")</f>
        <v>Categoría</v>
      </c>
      <c r="O3" s="79" t="str">
        <f>IFERROR(__xludf.DUMMYFUNCTION("""COMPUTED_VALUE"""),"Clase")</f>
        <v>Clase</v>
      </c>
      <c r="P3" s="79" t="str">
        <f>IFERROR(__xludf.DUMMYFUNCTION("""COMPUTED_VALUE"""),"Proa Nº")</f>
        <v>Proa Nº</v>
      </c>
      <c r="Q3" s="79" t="str">
        <f>IFERROR(__xludf.DUMMYFUNCTION("""COMPUTED_VALUE"""),"Vela")</f>
        <v>Vela</v>
      </c>
      <c r="R3" s="79" t="str">
        <f>IFERROR(__xludf.DUMMYFUNCTION("""COMPUTED_VALUE"""),"Nombre del Barco")</f>
        <v>Nombre del Barco</v>
      </c>
      <c r="S3" s="80" t="str">
        <f>IFERROR(__xludf.DUMMYFUNCTION("""COMPUTED_VALUE"""),"Tripulante 1")</f>
        <v>Tripulante 1</v>
      </c>
      <c r="T3" s="67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3" t="str">
        <f>IFERROR(__xludf.DUMMYFUNCTION("""COMPUTED_VALUE"""),"Bajada YCO")</f>
        <v>Bajada YCO</v>
      </c>
      <c r="AA3" s="3" t="str">
        <f>IFERROR(__xludf.DUMMYFUNCTION("""COMPUTED_VALUE"""),"Términos y Condiciones")</f>
        <v>Términos y Condiciones</v>
      </c>
      <c r="AB3" s="3" t="str">
        <f>IFERROR(__xludf.DUMMYFUNCTION("""COMPUTED_VALUE"""),"Pago")</f>
        <v>Pago</v>
      </c>
      <c r="AC3" s="3" t="str">
        <f>IFERROR(__xludf.DUMMYFUNCTION("""COMPUTED_VALUE"""),"Importe")</f>
        <v>Importe</v>
      </c>
      <c r="AD3" s="3" t="str">
        <f>IFERROR(__xludf.DUMMYFUNCTION("""COMPUTED_VALUE"""),"RECIBO")</f>
        <v>RECIBO</v>
      </c>
    </row>
    <row r="4">
      <c r="B4" s="110" t="str">
        <f>IFERROR(__xludf.DUMMYFUNCTION("filter(Datos,Clases=A3)"),"#N/A")</f>
        <v>#N/A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</row>
    <row r="5"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</row>
    <row r="6"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</row>
    <row r="7"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</row>
    <row r="9"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</sheetData>
  <conditionalFormatting sqref="I1">
    <cfRule type="cellIs" dxfId="1" priority="1" operator="equal">
      <formula>"Si"</formula>
    </cfRule>
  </conditionalFormatting>
  <printOptions gridLines="1" horizontalCentered="1"/>
  <pageMargins bottom="0.75" footer="0.0" header="0.0" left="0.25" right="0.25" top="0.75"/>
  <pageSetup fitToHeight="0" paperSize="5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hidden="1" min="1" max="1" width="12.5"/>
    <col customWidth="1" min="2" max="2" width="13.75"/>
    <col customWidth="1" min="3" max="3" width="12.5"/>
    <col customWidth="1" min="4" max="4" width="10.75"/>
    <col customWidth="1" min="5" max="5" width="20.25"/>
    <col customWidth="1" hidden="1" min="6" max="6" width="4.63"/>
    <col customWidth="1" hidden="1" min="7" max="7" width="11.63"/>
    <col customWidth="1" hidden="1" min="8" max="8" width="4.63"/>
    <col customWidth="1" hidden="1" min="9" max="9" width="16.75"/>
    <col customWidth="1" hidden="1" min="10" max="10" width="18.75"/>
    <col customWidth="1" hidden="1" min="11" max="11" width="20.25"/>
    <col customWidth="1" hidden="1" min="12" max="12" width="8.5"/>
    <col customWidth="1" min="13" max="13" width="19.75"/>
    <col customWidth="1" hidden="1" min="14" max="14" width="9.25"/>
    <col customWidth="1" hidden="1" min="15" max="15" width="7.75"/>
    <col customWidth="1" hidden="1" min="16" max="16" width="6.75"/>
    <col customWidth="1" min="17" max="17" width="7.0"/>
    <col customWidth="1" min="18" max="18" width="17.25"/>
    <col customWidth="1" min="19" max="19" width="21.38"/>
    <col customWidth="1" hidden="1" min="20" max="20" width="11.13"/>
    <col customWidth="1" hidden="1" min="21" max="21" width="12.25"/>
    <col customWidth="1" hidden="1" min="22" max="25" width="9.75"/>
    <col customWidth="1" min="26" max="26" width="6.5"/>
    <col customWidth="1" hidden="1" min="27" max="27" width="10.13"/>
    <col customWidth="1" min="28" max="28" width="11.0"/>
    <col customWidth="1" hidden="1" min="29" max="31" width="12.5"/>
    <col customWidth="1" min="32" max="32" width="12.5"/>
    <col customWidth="1" hidden="1" min="33" max="33" width="10.25"/>
    <col customWidth="1" min="34" max="40" width="12.5"/>
  </cols>
  <sheetData>
    <row r="1">
      <c r="A1" s="108"/>
      <c r="B1" s="60" t="s">
        <v>33</v>
      </c>
      <c r="E1" s="61"/>
      <c r="F1" s="61"/>
      <c r="G1" s="62"/>
      <c r="H1" s="61"/>
      <c r="I1" s="61"/>
      <c r="J1" s="6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108"/>
      <c r="B2" s="64" t="s">
        <v>62</v>
      </c>
      <c r="C2" s="109"/>
      <c r="D2" s="109"/>
      <c r="E2" s="3"/>
      <c r="F2" s="69" t="str">
        <f>"Inscriptos: "&amp;COUNTA(C4:C100)</f>
        <v>Inscriptos: 16</v>
      </c>
      <c r="G2" s="3"/>
      <c r="H2" s="3"/>
      <c r="I2" s="67"/>
      <c r="J2" s="67"/>
      <c r="K2" s="67"/>
      <c r="L2" s="3"/>
      <c r="M2" s="69" t="str">
        <f>"Inscriptos: "&amp;COUNTA(D4:D100)</f>
        <v>Inscriptos: 16</v>
      </c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08" t="s">
        <v>63</v>
      </c>
      <c r="B3" s="112" t="str">
        <f>IFERROR(__xludf.DUMMYFUNCTION("query(Titulos)"),"Dia y Hora")</f>
        <v>Dia y Hora</v>
      </c>
      <c r="C3" s="113" t="str">
        <f>IFERROR(__xludf.DUMMYFUNCTION("""COMPUTED_VALUE"""),"Nombre")</f>
        <v>Nombre</v>
      </c>
      <c r="D3" s="114" t="str">
        <f>IFERROR(__xludf.DUMMYFUNCTION("""COMPUTED_VALUE"""),"Apellido")</f>
        <v>Apellido</v>
      </c>
      <c r="E3" s="113" t="str">
        <f>IFERROR(__xludf.DUMMYFUNCTION("""COMPUTED_VALUE"""),"Ciudad")</f>
        <v>Ciudad</v>
      </c>
      <c r="F3" s="112" t="str">
        <f>IFERROR(__xludf.DUMMYFUNCTION("""COMPUTED_VALUE"""),"Pais")</f>
        <v>Pais</v>
      </c>
      <c r="G3" s="112" t="str">
        <f>IFERROR(__xludf.DUMMYFUNCTION("""COMPUTED_VALUE"""),"DNI")</f>
        <v>DNI</v>
      </c>
      <c r="H3" s="112" t="str">
        <f>IFERROR(__xludf.DUMMYFUNCTION("""COMPUTED_VALUE"""),"Nacimiento")</f>
        <v>Nacimiento</v>
      </c>
      <c r="I3" s="115" t="str">
        <f>IFERROR(__xludf.DUMMYFUNCTION("""COMPUTED_VALUE"""),"Celular de Contacto")</f>
        <v>Celular de Contacto</v>
      </c>
      <c r="J3" s="115" t="str">
        <f>IFERROR(__xludf.DUMMYFUNCTION("""COMPUTED_VALUE"""),"Celular de Emergencias")</f>
        <v>Celular de Emergencias</v>
      </c>
      <c r="K3" s="115" t="str">
        <f>IFERROR(__xludf.DUMMYFUNCTION("""COMPUTED_VALUE"""),"email")</f>
        <v>email</v>
      </c>
      <c r="L3" s="112" t="str">
        <f>IFERROR(__xludf.DUMMYFUNCTION("""COMPUTED_VALUE"""),"Sexo")</f>
        <v>Sexo</v>
      </c>
      <c r="M3" s="113" t="str">
        <f>IFERROR(__xludf.DUMMYFUNCTION("""COMPUTED_VALUE"""),"Club")</f>
        <v>Club</v>
      </c>
      <c r="N3" s="113" t="str">
        <f>IFERROR(__xludf.DUMMYFUNCTION("""COMPUTED_VALUE"""),"Categoría")</f>
        <v>Categoría</v>
      </c>
      <c r="O3" s="113" t="str">
        <f>IFERROR(__xludf.DUMMYFUNCTION("""COMPUTED_VALUE"""),"Clase")</f>
        <v>Clase</v>
      </c>
      <c r="P3" s="113" t="str">
        <f>IFERROR(__xludf.DUMMYFUNCTION("""COMPUTED_VALUE"""),"Proa Nº")</f>
        <v>Proa Nº</v>
      </c>
      <c r="Q3" s="113" t="str">
        <f>IFERROR(__xludf.DUMMYFUNCTION("""COMPUTED_VALUE"""),"Vela")</f>
        <v>Vela</v>
      </c>
      <c r="R3" s="113" t="str">
        <f>IFERROR(__xludf.DUMMYFUNCTION("""COMPUTED_VALUE"""),"Nombre del Barco")</f>
        <v>Nombre del Barco</v>
      </c>
      <c r="S3" s="114" t="str">
        <f>IFERROR(__xludf.DUMMYFUNCTION("""COMPUTED_VALUE"""),"Tripulante 1")</f>
        <v>Tripulante 1</v>
      </c>
      <c r="T3" s="115" t="str">
        <f>IFERROR(__xludf.DUMMYFUNCTION("""COMPUTED_VALUE"""),"Tripulante 2")</f>
        <v>Tripulante 2</v>
      </c>
      <c r="U3" s="112" t="str">
        <f>IFERROR(__xludf.DUMMYFUNCTION("""COMPUTED_VALUE"""),"Tripulante 3")</f>
        <v>Tripulante 3</v>
      </c>
      <c r="V3" s="112" t="str">
        <f>IFERROR(__xludf.DUMMYFUNCTION("""COMPUTED_VALUE"""),"Tripulante 4")</f>
        <v>Tripulante 4</v>
      </c>
      <c r="W3" s="112" t="str">
        <f>IFERROR(__xludf.DUMMYFUNCTION("""COMPUTED_VALUE"""),"Tripulante 5")</f>
        <v>Tripulante 5</v>
      </c>
      <c r="X3" s="112" t="str">
        <f>IFERROR(__xludf.DUMMYFUNCTION("""COMPUTED_VALUE"""),"Tripulante 6")</f>
        <v>Tripulante 6</v>
      </c>
      <c r="Y3" s="112" t="str">
        <f>IFERROR(__xludf.DUMMYFUNCTION("""COMPUTED_VALUE"""),"Obra Social/Nº Afiliado")</f>
        <v>Obra Social/Nº Afiliado</v>
      </c>
      <c r="Z3" s="112" t="str">
        <f>IFERROR(__xludf.DUMMYFUNCTION("""COMPUTED_VALUE"""),"Bajada YCO")</f>
        <v>Bajada YCO</v>
      </c>
      <c r="AA3" s="112" t="str">
        <f>IFERROR(__xludf.DUMMYFUNCTION("""COMPUTED_VALUE"""),"Términos y Condiciones")</f>
        <v>Términos y Condiciones</v>
      </c>
      <c r="AB3" s="112" t="str">
        <f>IFERROR(__xludf.DUMMYFUNCTION("""COMPUTED_VALUE"""),"Pago")</f>
        <v>Pago</v>
      </c>
      <c r="AC3" s="112" t="str">
        <f>IFERROR(__xludf.DUMMYFUNCTION("""COMPUTED_VALUE"""),"Importe")</f>
        <v>Importe</v>
      </c>
      <c r="AD3" s="3" t="str">
        <f>IFERROR(__xludf.DUMMYFUNCTION("""COMPUTED_VALUE"""),"RECIBO")</f>
        <v>RECIBO</v>
      </c>
    </row>
    <row r="4">
      <c r="B4" s="116">
        <f>IFERROR(__xludf.DUMMYFUNCTION("filter(Datos,Clases=A3)"),45525.659996608796)</f>
        <v>45525.66</v>
      </c>
      <c r="C4" s="72" t="str">
        <f>IFERROR(__xludf.DUMMYFUNCTION("""COMPUTED_VALUE"""),"Lisandro ")</f>
        <v>Lisandro </v>
      </c>
      <c r="D4" s="72" t="str">
        <f>IFERROR(__xludf.DUMMYFUNCTION("""COMPUTED_VALUE"""),"Alfonsín ")</f>
        <v>Alfonsín </v>
      </c>
      <c r="E4" s="72" t="str">
        <f>IFERROR(__xludf.DUMMYFUNCTION("""COMPUTED_VALUE"""),"Chascomús ")</f>
        <v>Chascomús </v>
      </c>
      <c r="F4" s="73" t="str">
        <f>IFERROR(__xludf.DUMMYFUNCTION("""COMPUTED_VALUE"""),"ARG")</f>
        <v>ARG</v>
      </c>
      <c r="G4" s="73">
        <f>IFERROR(__xludf.DUMMYFUNCTION("""COMPUTED_VALUE"""),2.3005546E7)</f>
        <v>23005546</v>
      </c>
      <c r="H4" s="117">
        <f>IFERROR(__xludf.DUMMYFUNCTION("""COMPUTED_VALUE"""),26794.0)</f>
        <v>26794</v>
      </c>
      <c r="I4" s="73">
        <f>IFERROR(__xludf.DUMMYFUNCTION("""COMPUTED_VALUE"""),2.24160359E9)</f>
        <v>2241603590</v>
      </c>
      <c r="J4" s="73"/>
      <c r="K4" s="73" t="str">
        <f>IFERROR(__xludf.DUMMYFUNCTION("""COMPUTED_VALUE"""),"leealfonsin@gmail.com")</f>
        <v>leealfonsin@gmail.com</v>
      </c>
      <c r="L4" s="73" t="str">
        <f>IFERROR(__xludf.DUMMYFUNCTION("""COMPUTED_VALUE"""),"Masculino")</f>
        <v>Masculino</v>
      </c>
      <c r="M4" s="72" t="str">
        <f>IFERROR(__xludf.DUMMYFUNCTION("""COMPUTED_VALUE"""),"CRCh")</f>
        <v>CRCh</v>
      </c>
      <c r="N4" s="72"/>
      <c r="O4" s="72" t="str">
        <f>IFERROR(__xludf.DUMMYFUNCTION("""COMPUTED_VALUE"""),"PAMPERO")</f>
        <v>PAMPERO</v>
      </c>
      <c r="P4" s="72">
        <f>IFERROR(__xludf.DUMMYFUNCTION("""COMPUTED_VALUE"""),8.0)</f>
        <v>8</v>
      </c>
      <c r="Q4" s="72">
        <f>IFERROR(__xludf.DUMMYFUNCTION("""COMPUTED_VALUE"""),8.0)</f>
        <v>8</v>
      </c>
      <c r="R4" s="72" t="str">
        <f>IFERROR(__xludf.DUMMYFUNCTION("""COMPUTED_VALUE"""),"Chopper ")</f>
        <v>Chopper </v>
      </c>
      <c r="S4" s="72" t="str">
        <f>IFERROR(__xludf.DUMMYFUNCTION("""COMPUTED_VALUE"""),"Catalina Alfonsín ")</f>
        <v>Catalina Alfonsín </v>
      </c>
      <c r="T4" s="73"/>
      <c r="U4" s="73"/>
      <c r="V4" s="73"/>
      <c r="W4" s="73"/>
      <c r="X4" s="73"/>
      <c r="Y4" s="73"/>
      <c r="Z4" s="73" t="str">
        <f>IFERROR(__xludf.DUMMYFUNCTION("""COMPUTED_VALUE"""),"Si")</f>
        <v>Si</v>
      </c>
      <c r="AA4" s="73" t="str">
        <f>IFERROR(__xludf.DUMMYFUNCTION("""COMPUTED_VALUE"""),"Acepto")</f>
        <v>Acepto</v>
      </c>
      <c r="AB4" s="73" t="str">
        <f>IFERROR(__xludf.DUMMYFUNCTION("""COMPUTED_VALUE"""),"Terminado")</f>
        <v>Terminado</v>
      </c>
      <c r="AC4" s="73">
        <f>IFERROR(__xludf.DUMMYFUNCTION("""COMPUTED_VALUE"""),60000.0)</f>
        <v>60000</v>
      </c>
      <c r="AD4" s="45">
        <f>IFERROR(__xludf.DUMMYFUNCTION("""COMPUTED_VALUE"""),205022.0)</f>
        <v>205022</v>
      </c>
      <c r="AE4" s="45" t="str">
        <f>IFERROR(__xludf.DUMMYFUNCTION("""COMPUTED_VALUE"""),"TRF 21-08")</f>
        <v>TRF 21-08</v>
      </c>
      <c r="AF4" s="45" t="str">
        <f>IFERROR(__xludf.DUMMYFUNCTION("""COMPUTED_VALUE"""),"No Corresp")</f>
        <v>No Corresp</v>
      </c>
      <c r="AG4" s="45"/>
    </row>
    <row r="5">
      <c r="B5" s="116">
        <f>IFERROR(__xludf.DUMMYFUNCTION("""COMPUTED_VALUE"""),45526.79626313657)</f>
        <v>45526.79626</v>
      </c>
      <c r="C5" s="72" t="str">
        <f>IFERROR(__xludf.DUMMYFUNCTION("""COMPUTED_VALUE"""),"Mariano ")</f>
        <v>Mariano </v>
      </c>
      <c r="D5" s="72" t="str">
        <f>IFERROR(__xludf.DUMMYFUNCTION("""COMPUTED_VALUE"""),"Antonini ")</f>
        <v>Antonini </v>
      </c>
      <c r="E5" s="72" t="str">
        <f>IFERROR(__xludf.DUMMYFUNCTION("""COMPUTED_VALUE"""),"Buenos Aires")</f>
        <v>Buenos Aires</v>
      </c>
      <c r="F5" s="73" t="str">
        <f>IFERROR(__xludf.DUMMYFUNCTION("""COMPUTED_VALUE"""),"ARG")</f>
        <v>ARG</v>
      </c>
      <c r="G5" s="73">
        <f>IFERROR(__xludf.DUMMYFUNCTION("""COMPUTED_VALUE"""),2.3941586E7)</f>
        <v>23941586</v>
      </c>
      <c r="H5" s="117">
        <f>IFERROR(__xludf.DUMMYFUNCTION("""COMPUTED_VALUE"""),27333.0)</f>
        <v>27333</v>
      </c>
      <c r="I5" s="73">
        <f>IFERROR(__xludf.DUMMYFUNCTION("""COMPUTED_VALUE"""),1.552591434E9)</f>
        <v>1552591434</v>
      </c>
      <c r="J5" s="73"/>
      <c r="K5" s="73" t="str">
        <f>IFERROR(__xludf.DUMMYFUNCTION("""COMPUTED_VALUE"""),"marianoantonini@hotmail.com")</f>
        <v>marianoantonini@hotmail.com</v>
      </c>
      <c r="L5" s="73" t="str">
        <f>IFERROR(__xludf.DUMMYFUNCTION("""COMPUTED_VALUE"""),"Masculino")</f>
        <v>Masculino</v>
      </c>
      <c r="M5" s="72" t="str">
        <f>IFERROR(__xludf.DUMMYFUNCTION("""COMPUTED_VALUE"""),"YCCN")</f>
        <v>YCCN</v>
      </c>
      <c r="N5" s="72" t="str">
        <f>IFERROR(__xludf.DUMMYFUNCTION("""COMPUTED_VALUE"""),"Master (pampero)")</f>
        <v>Master (pampero)</v>
      </c>
      <c r="O5" s="72" t="str">
        <f>IFERROR(__xludf.DUMMYFUNCTION("""COMPUTED_VALUE"""),"PAMPERO")</f>
        <v>PAMPERO</v>
      </c>
      <c r="P5" s="72"/>
      <c r="Q5" s="72">
        <f>IFERROR(__xludf.DUMMYFUNCTION("""COMPUTED_VALUE"""),300.0)</f>
        <v>300</v>
      </c>
      <c r="R5" s="72" t="str">
        <f>IFERROR(__xludf.DUMMYFUNCTION("""COMPUTED_VALUE"""),"OSKORRI")</f>
        <v>OSKORRI</v>
      </c>
      <c r="S5" s="72" t="str">
        <f>IFERROR(__xludf.DUMMYFUNCTION("""COMPUTED_VALUE"""),"Mariano Antonini ")</f>
        <v>Mariano Antonini </v>
      </c>
      <c r="T5" s="73" t="str">
        <f>IFERROR(__xludf.DUMMYFUNCTION("""COMPUTED_VALUE"""),"Alain Pasquier")</f>
        <v>Alain Pasquier</v>
      </c>
      <c r="U5" s="73"/>
      <c r="V5" s="73"/>
      <c r="W5" s="73"/>
      <c r="X5" s="73"/>
      <c r="Y5" s="73" t="str">
        <f>IFERROR(__xludf.DUMMYFUNCTION("""COMPUTED_VALUE"""),"Swiss Medical")</f>
        <v>Swiss Medical</v>
      </c>
      <c r="Z5" s="73" t="str">
        <f>IFERROR(__xludf.DUMMYFUNCTION("""COMPUTED_VALUE"""),"No")</f>
        <v>No</v>
      </c>
      <c r="AA5" s="73" t="str">
        <f>IFERROR(__xludf.DUMMYFUNCTION("""COMPUTED_VALUE"""),"Acepto")</f>
        <v>Acepto</v>
      </c>
      <c r="AB5" s="73" t="str">
        <f>IFERROR(__xludf.DUMMYFUNCTION("""COMPUTED_VALUE"""),"Terminado")</f>
        <v>Terminado</v>
      </c>
      <c r="AC5" s="73">
        <f>IFERROR(__xludf.DUMMYFUNCTION("""COMPUTED_VALUE"""),60000.0)</f>
        <v>60000</v>
      </c>
      <c r="AD5" s="45">
        <f>IFERROR(__xludf.DUMMYFUNCTION("""COMPUTED_VALUE"""),205042.0)</f>
        <v>205042</v>
      </c>
      <c r="AE5" s="45" t="str">
        <f>IFERROR(__xludf.DUMMYFUNCTION("""COMPUTED_VALUE"""),"TRF 22-08")</f>
        <v>TRF 22-08</v>
      </c>
      <c r="AF5" s="45" t="str">
        <f>IFERROR(__xludf.DUMMYFUNCTION("""COMPUTED_VALUE"""),"No Corresp")</f>
        <v>No Corresp</v>
      </c>
      <c r="AG5" s="45" t="str">
        <f>IFERROR(__xludf.DUMMYFUNCTION("""COMPUTED_VALUE"""),"SI")</f>
        <v>SI</v>
      </c>
    </row>
    <row r="6">
      <c r="B6" s="116">
        <f>IFERROR(__xludf.DUMMYFUNCTION("""COMPUTED_VALUE"""),45525.85326153935)</f>
        <v>45525.85326</v>
      </c>
      <c r="C6" s="72" t="str">
        <f>IFERROR(__xludf.DUMMYFUNCTION("""COMPUTED_VALUE"""),"Mónica Pilar ")</f>
        <v>Mónica Pilar </v>
      </c>
      <c r="D6" s="72" t="str">
        <f>IFERROR(__xludf.DUMMYFUNCTION("""COMPUTED_VALUE"""),"Arjona ")</f>
        <v>Arjona </v>
      </c>
      <c r="E6" s="72" t="str">
        <f>IFERROR(__xludf.DUMMYFUNCTION("""COMPUTED_VALUE"""),"Viedma- Rio Negro")</f>
        <v>Viedma- Rio Negro</v>
      </c>
      <c r="F6" s="73" t="str">
        <f>IFERROR(__xludf.DUMMYFUNCTION("""COMPUTED_VALUE"""),"ARG")</f>
        <v>ARG</v>
      </c>
      <c r="G6" s="73">
        <f>IFERROR(__xludf.DUMMYFUNCTION("""COMPUTED_VALUE"""),2.4080951E7)</f>
        <v>24080951</v>
      </c>
      <c r="H6" s="117">
        <f>IFERROR(__xludf.DUMMYFUNCTION("""COMPUTED_VALUE"""),27308.0)</f>
        <v>27308</v>
      </c>
      <c r="I6" s="73">
        <f>IFERROR(__xludf.DUMMYFUNCTION("""COMPUTED_VALUE"""),2.920366704E9)</f>
        <v>2920366704</v>
      </c>
      <c r="J6" s="73">
        <f>IFERROR(__xludf.DUMMYFUNCTION("""COMPUTED_VALUE"""),2.920568254E9)</f>
        <v>2920568254</v>
      </c>
      <c r="K6" s="73" t="str">
        <f>IFERROR(__xludf.DUMMYFUNCTION("""COMPUTED_VALUE"""),"monicapilar1@hotmail.com")</f>
        <v>monicapilar1@hotmail.com</v>
      </c>
      <c r="L6" s="73" t="str">
        <f>IFERROR(__xludf.DUMMYFUNCTION("""COMPUTED_VALUE"""),"Femenino")</f>
        <v>Femenino</v>
      </c>
      <c r="M6" s="72" t="str">
        <f>IFERROR(__xludf.DUMMYFUNCTION("""COMPUTED_VALUE"""),"Club Náutico la Ribera ")</f>
        <v>Club Náutico la Ribera </v>
      </c>
      <c r="N6" s="72"/>
      <c r="O6" s="72" t="str">
        <f>IFERROR(__xludf.DUMMYFUNCTION("""COMPUTED_VALUE"""),"PAMPERO")</f>
        <v>PAMPERO</v>
      </c>
      <c r="P6" s="72"/>
      <c r="Q6" s="72" t="str">
        <f>IFERROR(__xludf.DUMMYFUNCTION("""COMPUTED_VALUE"""),"000")</f>
        <v>000</v>
      </c>
      <c r="R6" s="72" t="str">
        <f>IFERROR(__xludf.DUMMYFUNCTION("""COMPUTED_VALUE"""),"Piqui")</f>
        <v>Piqui</v>
      </c>
      <c r="S6" s="72" t="str">
        <f>IFERROR(__xludf.DUMMYFUNCTION("""COMPUTED_VALUE"""),"××××××")</f>
        <v>××××××</v>
      </c>
      <c r="T6" s="73"/>
      <c r="U6" s="73"/>
      <c r="V6" s="73"/>
      <c r="W6" s="73"/>
      <c r="X6" s="73"/>
      <c r="Y6" s="73" t="str">
        <f>IFERROR(__xludf.DUMMYFUNCTION("""COMPUTED_VALUE"""),"MU.BA.SE.VI (MUTUAL BANCARIA)")</f>
        <v>MU.BA.SE.VI (MUTUAL BANCARIA)</v>
      </c>
      <c r="Z6" s="73" t="str">
        <f>IFERROR(__xludf.DUMMYFUNCTION("""COMPUTED_VALUE"""),"Si")</f>
        <v>Si</v>
      </c>
      <c r="AA6" s="73" t="str">
        <f>IFERROR(__xludf.DUMMYFUNCTION("""COMPUTED_VALUE"""),"Acepto")</f>
        <v>Acepto</v>
      </c>
      <c r="AB6" s="73" t="str">
        <f>IFERROR(__xludf.DUMMYFUNCTION("""COMPUTED_VALUE"""),"Terminado")</f>
        <v>Terminado</v>
      </c>
      <c r="AC6" s="73">
        <f>IFERROR(__xludf.DUMMYFUNCTION("""COMPUTED_VALUE"""),60000.0)</f>
        <v>60000</v>
      </c>
      <c r="AD6" s="45">
        <f>IFERROR(__xludf.DUMMYFUNCTION("""COMPUTED_VALUE"""),205036.0)</f>
        <v>205036</v>
      </c>
      <c r="AE6" s="45" t="str">
        <f>IFERROR(__xludf.DUMMYFUNCTION("""COMPUTED_VALUE"""),"TRF 21-08")</f>
        <v>TRF 21-08</v>
      </c>
      <c r="AF6" s="45" t="str">
        <f>IFERROR(__xludf.DUMMYFUNCTION("""COMPUTED_VALUE"""),"No Corresp")</f>
        <v>No Corresp</v>
      </c>
      <c r="AG6" s="45" t="str">
        <f>IFERROR(__xludf.DUMMYFUNCTION("""COMPUTED_VALUE"""),"Si")</f>
        <v>Si</v>
      </c>
    </row>
    <row r="7">
      <c r="B7" s="116">
        <f>IFERROR(__xludf.DUMMYFUNCTION("""COMPUTED_VALUE"""),45526.4163209838)</f>
        <v>45526.41632</v>
      </c>
      <c r="C7" s="72" t="str">
        <f>IFERROR(__xludf.DUMMYFUNCTION("""COMPUTED_VALUE"""),"MARCELO ")</f>
        <v>MARCELO </v>
      </c>
      <c r="D7" s="72" t="str">
        <f>IFERROR(__xludf.DUMMYFUNCTION("""COMPUTED_VALUE"""),"CHIRICO")</f>
        <v>CHIRICO</v>
      </c>
      <c r="E7" s="72" t="str">
        <f>IFERROR(__xludf.DUMMYFUNCTION("""COMPUTED_VALUE"""),"VIEDMA")</f>
        <v>VIEDMA</v>
      </c>
      <c r="F7" s="73" t="str">
        <f>IFERROR(__xludf.DUMMYFUNCTION("""COMPUTED_VALUE"""),"ARG")</f>
        <v>ARG</v>
      </c>
      <c r="G7" s="73">
        <f>IFERROR(__xludf.DUMMYFUNCTION("""COMPUTED_VALUE"""),2.9898026E7)</f>
        <v>29898026</v>
      </c>
      <c r="H7" s="117">
        <f>IFERROR(__xludf.DUMMYFUNCTION("""COMPUTED_VALUE"""),30391.0)</f>
        <v>30391</v>
      </c>
      <c r="I7" s="73">
        <f>IFERROR(__xludf.DUMMYFUNCTION("""COMPUTED_VALUE"""),2.920309841E9)</f>
        <v>2920309841</v>
      </c>
      <c r="J7" s="73"/>
      <c r="K7" s="73" t="str">
        <f>IFERROR(__xludf.DUMMYFUNCTION("""COMPUTED_VALUE"""),"marcelochirico83@gmail.com")</f>
        <v>marcelochirico83@gmail.com</v>
      </c>
      <c r="L7" s="73" t="str">
        <f>IFERROR(__xludf.DUMMYFUNCTION("""COMPUTED_VALUE"""),"Masculino")</f>
        <v>Masculino</v>
      </c>
      <c r="M7" s="72" t="str">
        <f>IFERROR(__xludf.DUMMYFUNCTION("""COMPUTED_VALUE"""),"ESCUELA NÁUTICA PROVINCIAL VIEDMA")</f>
        <v>ESCUELA NÁUTICA PROVINCIAL VIEDMA</v>
      </c>
      <c r="N7" s="72" t="str">
        <f>IFERROR(__xludf.DUMMYFUNCTION("""COMPUTED_VALUE"""),"PAMPERO MIXTO")</f>
        <v>PAMPERO MIXTO</v>
      </c>
      <c r="O7" s="72" t="str">
        <f>IFERROR(__xludf.DUMMYFUNCTION("""COMPUTED_VALUE"""),"PAMPERO")</f>
        <v>PAMPERO</v>
      </c>
      <c r="P7" s="72"/>
      <c r="Q7" s="72">
        <f>IFERROR(__xludf.DUMMYFUNCTION("""COMPUTED_VALUE"""),269.0)</f>
        <v>269</v>
      </c>
      <c r="R7" s="72" t="str">
        <f>IFERROR(__xludf.DUMMYFUNCTION("""COMPUTED_VALUE"""),"COCOON")</f>
        <v>COCOON</v>
      </c>
      <c r="S7" s="72" t="str">
        <f>IFERROR(__xludf.DUMMYFUNCTION("""COMPUTED_VALUE"""),"LUCRECIA OSÁN")</f>
        <v>LUCRECIA OSÁN</v>
      </c>
      <c r="T7" s="73"/>
      <c r="U7" s="73"/>
      <c r="V7" s="73"/>
      <c r="W7" s="73"/>
      <c r="X7" s="73"/>
      <c r="Y7" s="73"/>
      <c r="Z7" s="73" t="str">
        <f>IFERROR(__xludf.DUMMYFUNCTION("""COMPUTED_VALUE"""),"Si")</f>
        <v>Si</v>
      </c>
      <c r="AA7" s="73" t="str">
        <f>IFERROR(__xludf.DUMMYFUNCTION("""COMPUTED_VALUE"""),"Acepto")</f>
        <v>Acepto</v>
      </c>
      <c r="AB7" s="73" t="str">
        <f>IFERROR(__xludf.DUMMYFUNCTION("""COMPUTED_VALUE"""),"Terminado")</f>
        <v>Terminado</v>
      </c>
      <c r="AC7" s="73">
        <f>IFERROR(__xludf.DUMMYFUNCTION("""COMPUTED_VALUE"""),51000.0)</f>
        <v>51000</v>
      </c>
      <c r="AD7" s="45">
        <f>IFERROR(__xludf.DUMMYFUNCTION("""COMPUTED_VALUE"""),205038.0)</f>
        <v>205038</v>
      </c>
      <c r="AE7" s="45" t="str">
        <f>IFERROR(__xludf.DUMMYFUNCTION("""COMPUTED_VALUE"""),"TRF 22-08")</f>
        <v>TRF 22-08</v>
      </c>
      <c r="AF7" s="45" t="str">
        <f>IFERROR(__xludf.DUMMYFUNCTION("""COMPUTED_VALUE"""),"No Corresp")</f>
        <v>No Corresp</v>
      </c>
      <c r="AG7" s="45" t="str">
        <f>IFERROR(__xludf.DUMMYFUNCTION("""COMPUTED_VALUE"""),"Si")</f>
        <v>Si</v>
      </c>
    </row>
    <row r="8">
      <c r="B8" s="116">
        <f>IFERROR(__xludf.DUMMYFUNCTION("""COMPUTED_VALUE"""),45526.77635443287)</f>
        <v>45526.77635</v>
      </c>
      <c r="C8" s="72" t="str">
        <f>IFERROR(__xludf.DUMMYFUNCTION("""COMPUTED_VALUE"""),"Fernando")</f>
        <v>Fernando</v>
      </c>
      <c r="D8" s="72" t="str">
        <f>IFERROR(__xludf.DUMMYFUNCTION("""COMPUTED_VALUE"""),"Esquivo")</f>
        <v>Esquivo</v>
      </c>
      <c r="E8" s="72" t="str">
        <f>IFERROR(__xludf.DUMMYFUNCTION("""COMPUTED_VALUE"""),"Concepcion del Uruguay")</f>
        <v>Concepcion del Uruguay</v>
      </c>
      <c r="F8" s="73" t="str">
        <f>IFERROR(__xludf.DUMMYFUNCTION("""COMPUTED_VALUE"""),"ARG")</f>
        <v>ARG</v>
      </c>
      <c r="G8" s="73">
        <f>IFERROR(__xludf.DUMMYFUNCTION("""COMPUTED_VALUE"""),1.7552302E7)</f>
        <v>17552302</v>
      </c>
      <c r="H8" s="117">
        <f>IFERROR(__xludf.DUMMYFUNCTION("""COMPUTED_VALUE"""),45526.0)</f>
        <v>45526</v>
      </c>
      <c r="I8" s="73">
        <f>IFERROR(__xludf.DUMMYFUNCTION("""COMPUTED_VALUE"""),3.442479756E9)</f>
        <v>3442479756</v>
      </c>
      <c r="J8" s="73">
        <f>IFERROR(__xludf.DUMMYFUNCTION("""COMPUTED_VALUE"""),3.442479756E9)</f>
        <v>3442479756</v>
      </c>
      <c r="K8" s="73" t="str">
        <f>IFERROR(__xludf.DUMMYFUNCTION("""COMPUTED_VALUE"""),"Fernandoesquivo@hotmail.com")</f>
        <v>Fernandoesquivo@hotmail.com</v>
      </c>
      <c r="L8" s="73" t="str">
        <f>IFERROR(__xludf.DUMMYFUNCTION("""COMPUTED_VALUE"""),"Masculino")</f>
        <v>Masculino</v>
      </c>
      <c r="M8" s="72" t="str">
        <f>IFERROR(__xludf.DUMMYFUNCTION("""COMPUTED_VALUE"""),"YCE")</f>
        <v>YCE</v>
      </c>
      <c r="N8" s="72" t="str">
        <f>IFERROR(__xludf.DUMMYFUNCTION("""COMPUTED_VALUE"""),"Master Pampero")</f>
        <v>Master Pampero</v>
      </c>
      <c r="O8" s="72" t="str">
        <f>IFERROR(__xludf.DUMMYFUNCTION("""COMPUTED_VALUE"""),"PAMPERO")</f>
        <v>PAMPERO</v>
      </c>
      <c r="P8" s="72"/>
      <c r="Q8" s="72">
        <f>IFERROR(__xludf.DUMMYFUNCTION("""COMPUTED_VALUE"""),56.0)</f>
        <v>56</v>
      </c>
      <c r="R8" s="72" t="str">
        <f>IFERROR(__xludf.DUMMYFUNCTION("""COMPUTED_VALUE"""),"Otro falso contacto")</f>
        <v>Otro falso contacto</v>
      </c>
      <c r="S8" s="72" t="str">
        <f>IFERROR(__xludf.DUMMYFUNCTION("""COMPUTED_VALUE"""),"Juan Sebastian Marco")</f>
        <v>Juan Sebastian Marco</v>
      </c>
      <c r="T8" s="73"/>
      <c r="U8" s="73"/>
      <c r="V8" s="73"/>
      <c r="W8" s="73"/>
      <c r="X8" s="73"/>
      <c r="Y8" s="73" t="str">
        <f>IFERROR(__xludf.DUMMYFUNCTION("""COMPUTED_VALUE"""),"Ospe")</f>
        <v>Ospe</v>
      </c>
      <c r="Z8" s="73" t="str">
        <f>IFERROR(__xludf.DUMMYFUNCTION("""COMPUTED_VALUE"""),"Si")</f>
        <v>Si</v>
      </c>
      <c r="AA8" s="73" t="str">
        <f>IFERROR(__xludf.DUMMYFUNCTION("""COMPUTED_VALUE"""),"Acepto")</f>
        <v>Acepto</v>
      </c>
      <c r="AB8" s="73" t="str">
        <f>IFERROR(__xludf.DUMMYFUNCTION("""COMPUTED_VALUE"""),"Terminado")</f>
        <v>Terminado</v>
      </c>
      <c r="AC8" s="73">
        <f>IFERROR(__xludf.DUMMYFUNCTION("""COMPUTED_VALUE"""),51000.0)</f>
        <v>51000</v>
      </c>
      <c r="AD8" s="45">
        <f>IFERROR(__xludf.DUMMYFUNCTION("""COMPUTED_VALUE"""),205043.0)</f>
        <v>205043</v>
      </c>
      <c r="AE8" s="45" t="str">
        <f>IFERROR(__xludf.DUMMYFUNCTION("""COMPUTED_VALUE"""),"TRF 23-08")</f>
        <v>TRF 23-08</v>
      </c>
      <c r="AF8" s="45" t="str">
        <f>IFERROR(__xludf.DUMMYFUNCTION("""COMPUTED_VALUE"""),"No Corresp")</f>
        <v>No Corresp</v>
      </c>
      <c r="AG8" s="45" t="str">
        <f>IFERROR(__xludf.DUMMYFUNCTION("""COMPUTED_VALUE"""),"Si")</f>
        <v>Si</v>
      </c>
    </row>
    <row r="9">
      <c r="B9" s="116">
        <f>IFERROR(__xludf.DUMMYFUNCTION("""COMPUTED_VALUE"""),45525.90754366898)</f>
        <v>45525.90754</v>
      </c>
      <c r="C9" s="72" t="str">
        <f>IFERROR(__xludf.DUMMYFUNCTION("""COMPUTED_VALUE"""),"Martín alejo")</f>
        <v>Martín alejo</v>
      </c>
      <c r="D9" s="72" t="str">
        <f>IFERROR(__xludf.DUMMYFUNCTION("""COMPUTED_VALUE"""),"Fernandez")</f>
        <v>Fernandez</v>
      </c>
      <c r="E9" s="72" t="str">
        <f>IFERROR(__xludf.DUMMYFUNCTION("""COMPUTED_VALUE"""),"Chascomus ")</f>
        <v>Chascomus </v>
      </c>
      <c r="F9" s="73" t="str">
        <f>IFERROR(__xludf.DUMMYFUNCTION("""COMPUTED_VALUE"""),"ARG")</f>
        <v>ARG</v>
      </c>
      <c r="G9" s="73">
        <f>IFERROR(__xludf.DUMMYFUNCTION("""COMPUTED_VALUE"""),2.5300218E7)</f>
        <v>25300218</v>
      </c>
      <c r="H9" s="117">
        <f>IFERROR(__xludf.DUMMYFUNCTION("""COMPUTED_VALUE"""),28025.0)</f>
        <v>28025</v>
      </c>
      <c r="I9" s="73">
        <f>IFERROR(__xludf.DUMMYFUNCTION("""COMPUTED_VALUE"""),2.241511458E9)</f>
        <v>2241511458</v>
      </c>
      <c r="J9" s="73">
        <f>IFERROR(__xludf.DUMMYFUNCTION("""COMPUTED_VALUE"""),2.241457419E9)</f>
        <v>2241457419</v>
      </c>
      <c r="K9" s="73" t="str">
        <f>IFERROR(__xludf.DUMMYFUNCTION("""COMPUTED_VALUE"""),"martincuero37@gmail.com")</f>
        <v>martincuero37@gmail.com</v>
      </c>
      <c r="L9" s="73" t="str">
        <f>IFERROR(__xludf.DUMMYFUNCTION("""COMPUTED_VALUE"""),"Masculino")</f>
        <v>Masculino</v>
      </c>
      <c r="M9" s="72" t="str">
        <f>IFERROR(__xludf.DUMMYFUNCTION("""COMPUTED_VALUE"""),"CRCH")</f>
        <v>CRCH</v>
      </c>
      <c r="N9" s="72"/>
      <c r="O9" s="72" t="str">
        <f>IFERROR(__xludf.DUMMYFUNCTION("""COMPUTED_VALUE"""),"PAMPERO")</f>
        <v>PAMPERO</v>
      </c>
      <c r="P9" s="72"/>
      <c r="Q9" s="72">
        <f>IFERROR(__xludf.DUMMYFUNCTION("""COMPUTED_VALUE"""),707.0)</f>
        <v>707</v>
      </c>
      <c r="R9" s="72" t="str">
        <f>IFERROR(__xludf.DUMMYFUNCTION("""COMPUTED_VALUE"""),"Santa Maradona")</f>
        <v>Santa Maradona</v>
      </c>
      <c r="S9" s="72" t="str">
        <f>IFERROR(__xludf.DUMMYFUNCTION("""COMPUTED_VALUE"""),"Ramón Fernández ")</f>
        <v>Ramón Fernández </v>
      </c>
      <c r="T9" s="73"/>
      <c r="U9" s="73"/>
      <c r="V9" s="73"/>
      <c r="W9" s="73"/>
      <c r="X9" s="73"/>
      <c r="Y9" s="73"/>
      <c r="Z9" s="73" t="str">
        <f>IFERROR(__xludf.DUMMYFUNCTION("""COMPUTED_VALUE"""),"No")</f>
        <v>No</v>
      </c>
      <c r="AA9" s="73" t="str">
        <f>IFERROR(__xludf.DUMMYFUNCTION("""COMPUTED_VALUE"""),"Acepto")</f>
        <v>Acepto</v>
      </c>
      <c r="AB9" s="73" t="str">
        <f>IFERROR(__xludf.DUMMYFUNCTION("""COMPUTED_VALUE"""),"Terminado")</f>
        <v>Terminado</v>
      </c>
      <c r="AC9" s="73">
        <f>IFERROR(__xludf.DUMMYFUNCTION("""COMPUTED_VALUE"""),51000.0)</f>
        <v>51000</v>
      </c>
      <c r="AD9" s="45">
        <f>IFERROR(__xludf.DUMMYFUNCTION("""COMPUTED_VALUE"""),205041.0)</f>
        <v>205041</v>
      </c>
      <c r="AE9" s="45" t="str">
        <f>IFERROR(__xludf.DUMMYFUNCTION("""COMPUTED_VALUE"""),"TRF 22-08")</f>
        <v>TRF 22-08</v>
      </c>
      <c r="AF9" s="45" t="str">
        <f>IFERROR(__xludf.DUMMYFUNCTION("""COMPUTED_VALUE"""),"OK")</f>
        <v>OK</v>
      </c>
      <c r="AG9" s="45" t="str">
        <f>IFERROR(__xludf.DUMMYFUNCTION("""COMPUTED_VALUE"""),"Si")</f>
        <v>Si</v>
      </c>
    </row>
    <row r="10">
      <c r="B10" s="116">
        <f>IFERROR(__xludf.DUMMYFUNCTION("""COMPUTED_VALUE"""),45525.72461010417)</f>
        <v>45525.72461</v>
      </c>
      <c r="C10" s="72" t="str">
        <f>IFERROR(__xludf.DUMMYFUNCTION("""COMPUTED_VALUE"""),"Federico ")</f>
        <v>Federico </v>
      </c>
      <c r="D10" s="72" t="str">
        <f>IFERROR(__xludf.DUMMYFUNCTION("""COMPUTED_VALUE"""),"González ")</f>
        <v>González </v>
      </c>
      <c r="E10" s="72" t="str">
        <f>IFERROR(__xludf.DUMMYFUNCTION("""COMPUTED_VALUE"""),"Bahía Blanca")</f>
        <v>Bahía Blanca</v>
      </c>
      <c r="F10" s="73" t="str">
        <f>IFERROR(__xludf.DUMMYFUNCTION("""COMPUTED_VALUE"""),"ARG")</f>
        <v>ARG</v>
      </c>
      <c r="G10" s="73">
        <f>IFERROR(__xludf.DUMMYFUNCTION("""COMPUTED_VALUE"""),2.8296764E7)</f>
        <v>28296764</v>
      </c>
      <c r="H10" s="117">
        <f>IFERROR(__xludf.DUMMYFUNCTION("""COMPUTED_VALUE"""),29398.0)</f>
        <v>29398</v>
      </c>
      <c r="I10" s="73">
        <f>IFERROR(__xludf.DUMMYFUNCTION("""COMPUTED_VALUE"""),2.914195716E9)</f>
        <v>2914195716</v>
      </c>
      <c r="J10" s="73"/>
      <c r="K10" s="73" t="str">
        <f>IFERROR(__xludf.DUMMYFUNCTION("""COMPUTED_VALUE"""),"federico_e_gonzalez@hotmail.com")</f>
        <v>federico_e_gonzalez@hotmail.com</v>
      </c>
      <c r="L10" s="73" t="str">
        <f>IFERROR(__xludf.DUMMYFUNCTION("""COMPUTED_VALUE"""),"Masculino")</f>
        <v>Masculino</v>
      </c>
      <c r="M10" s="72" t="str">
        <f>IFERROR(__xludf.DUMMYFUNCTION("""COMPUTED_VALUE"""),"CNBB")</f>
        <v>CNBB</v>
      </c>
      <c r="N10" s="72" t="str">
        <f>IFERROR(__xludf.DUMMYFUNCTION("""COMPUTED_VALUE"""),"Mixto")</f>
        <v>Mixto</v>
      </c>
      <c r="O10" s="72" t="str">
        <f>IFERROR(__xludf.DUMMYFUNCTION("""COMPUTED_VALUE"""),"PAMPERO")</f>
        <v>PAMPERO</v>
      </c>
      <c r="P10" s="72"/>
      <c r="Q10" s="72">
        <f>IFERROR(__xludf.DUMMYFUNCTION("""COMPUTED_VALUE"""),6.0)</f>
        <v>6</v>
      </c>
      <c r="R10" s="72" t="str">
        <f>IFERROR(__xludf.DUMMYFUNCTION("""COMPUTED_VALUE"""),"Buscado")</f>
        <v>Buscado</v>
      </c>
      <c r="S10" s="72" t="str">
        <f>IFERROR(__xludf.DUMMYFUNCTION("""COMPUTED_VALUE"""),"Amaya Macarena")</f>
        <v>Amaya Macarena</v>
      </c>
      <c r="T10" s="73"/>
      <c r="U10" s="73"/>
      <c r="V10" s="73"/>
      <c r="W10" s="73"/>
      <c r="X10" s="73"/>
      <c r="Y10" s="73" t="str">
        <f>IFERROR(__xludf.DUMMYFUNCTION("""COMPUTED_VALUE"""),"Unión Personal - 02661417008")</f>
        <v>Unión Personal - 02661417008</v>
      </c>
      <c r="Z10" s="73" t="str">
        <f>IFERROR(__xludf.DUMMYFUNCTION("""COMPUTED_VALUE"""),"Si")</f>
        <v>Si</v>
      </c>
      <c r="AA10" s="73" t="str">
        <f>IFERROR(__xludf.DUMMYFUNCTION("""COMPUTED_VALUE"""),"Acepto")</f>
        <v>Acepto</v>
      </c>
      <c r="AB10" s="73" t="str">
        <f>IFERROR(__xludf.DUMMYFUNCTION("""COMPUTED_VALUE"""),"Terminado")</f>
        <v>Terminado</v>
      </c>
      <c r="AC10" s="73">
        <f>IFERROR(__xludf.DUMMYFUNCTION("""COMPUTED_VALUE"""),60000.0)</f>
        <v>60000</v>
      </c>
      <c r="AD10" s="45">
        <f>IFERROR(__xludf.DUMMYFUNCTION("""COMPUTED_VALUE"""),205025.0)</f>
        <v>205025</v>
      </c>
      <c r="AE10" s="45" t="str">
        <f>IFERROR(__xludf.DUMMYFUNCTION("""COMPUTED_VALUE"""),"TRF 21-08")</f>
        <v>TRF 21-08</v>
      </c>
      <c r="AF10" s="45" t="str">
        <f>IFERROR(__xludf.DUMMYFUNCTION("""COMPUTED_VALUE"""),"No Corresp")</f>
        <v>No Corresp</v>
      </c>
      <c r="AG10" s="45" t="str">
        <f>IFERROR(__xludf.DUMMYFUNCTION("""COMPUTED_VALUE"""),"Si")</f>
        <v>Si</v>
      </c>
    </row>
    <row r="11">
      <c r="B11" s="116">
        <f>IFERROR(__xludf.DUMMYFUNCTION("""COMPUTED_VALUE"""),45523.75030945602)</f>
        <v>45523.75031</v>
      </c>
      <c r="C11" s="72" t="str">
        <f>IFERROR(__xludf.DUMMYFUNCTION("""COMPUTED_VALUE"""),"RAUL")</f>
        <v>RAUL</v>
      </c>
      <c r="D11" s="72" t="str">
        <f>IFERROR(__xludf.DUMMYFUNCTION("""COMPUTED_VALUE"""),"LACCHINI")</f>
        <v>LACCHINI</v>
      </c>
      <c r="E11" s="72" t="str">
        <f>IFERROR(__xludf.DUMMYFUNCTION("""COMPUTED_VALUE"""),"City Bell")</f>
        <v>City Bell</v>
      </c>
      <c r="F11" s="73" t="str">
        <f>IFERROR(__xludf.DUMMYFUNCTION("""COMPUTED_VALUE"""),"ARG")</f>
        <v>ARG</v>
      </c>
      <c r="G11" s="73">
        <f>IFERROR(__xludf.DUMMYFUNCTION("""COMPUTED_VALUE"""),7828749.0)</f>
        <v>7828749</v>
      </c>
      <c r="H11" s="117">
        <f>IFERROR(__xludf.DUMMYFUNCTION("""COMPUTED_VALUE"""),18225.0)</f>
        <v>18225</v>
      </c>
      <c r="I11" s="73" t="str">
        <f>IFERROR(__xludf.DUMMYFUNCTION("""COMPUTED_VALUE"""),"221_408 3720")</f>
        <v>221_408 3720</v>
      </c>
      <c r="J11" s="73"/>
      <c r="K11" s="73" t="str">
        <f>IFERROR(__xludf.DUMMYFUNCTION("""COMPUTED_VALUE"""),"Raulachi@gmail.com")</f>
        <v>Raulachi@gmail.com</v>
      </c>
      <c r="L11" s="73" t="str">
        <f>IFERROR(__xludf.DUMMYFUNCTION("""COMPUTED_VALUE"""),"Masculino")</f>
        <v>Masculino</v>
      </c>
      <c r="M11" s="72" t="str">
        <f>IFERROR(__xludf.DUMMYFUNCTION("""COMPUTED_VALUE"""),"CRLP")</f>
        <v>CRLP</v>
      </c>
      <c r="N11" s="72" t="str">
        <f>IFERROR(__xludf.DUMMYFUNCTION("""COMPUTED_VALUE"""),"Master (ILCA)")</f>
        <v>Master (ILCA)</v>
      </c>
      <c r="O11" s="72" t="str">
        <f>IFERROR(__xludf.DUMMYFUNCTION("""COMPUTED_VALUE"""),"PAMPERO")</f>
        <v>PAMPERO</v>
      </c>
      <c r="P11" s="72"/>
      <c r="Q11" s="72">
        <f>IFERROR(__xludf.DUMMYFUNCTION("""COMPUTED_VALUE"""),1017.0)</f>
        <v>1017</v>
      </c>
      <c r="R11" s="72" t="str">
        <f>IFERROR(__xludf.DUMMYFUNCTION("""COMPUTED_VALUE"""),"EPAMINONDA")</f>
        <v>EPAMINONDA</v>
      </c>
      <c r="S11" s="72" t="str">
        <f>IFERROR(__xludf.DUMMYFUNCTION("""COMPUTED_VALUE"""),"Ana María Acevedo")</f>
        <v>Ana María Acevedo</v>
      </c>
      <c r="T11" s="73"/>
      <c r="U11" s="73"/>
      <c r="V11" s="73"/>
      <c r="W11" s="73"/>
      <c r="X11" s="73"/>
      <c r="Y11" s="73"/>
      <c r="Z11" s="73" t="str">
        <f>IFERROR(__xludf.DUMMYFUNCTION("""COMPUTED_VALUE"""),"Si")</f>
        <v>Si</v>
      </c>
      <c r="AA11" s="73" t="str">
        <f>IFERROR(__xludf.DUMMYFUNCTION("""COMPUTED_VALUE"""),"Acepto")</f>
        <v>Acepto</v>
      </c>
      <c r="AB11" s="73" t="str">
        <f>IFERROR(__xludf.DUMMYFUNCTION("""COMPUTED_VALUE"""),"Terminado")</f>
        <v>Terminado</v>
      </c>
      <c r="AC11" s="73">
        <f>IFERROR(__xludf.DUMMYFUNCTION("""COMPUTED_VALUE"""),60000.0)</f>
        <v>60000</v>
      </c>
      <c r="AD11" s="45">
        <f>IFERROR(__xludf.DUMMYFUNCTION("""COMPUTED_VALUE"""),205007.0)</f>
        <v>205007</v>
      </c>
      <c r="AE11" s="45" t="str">
        <f>IFERROR(__xludf.DUMMYFUNCTION("""COMPUTED_VALUE"""),"TRF 19-8")</f>
        <v>TRF 19-8</v>
      </c>
      <c r="AF11" s="45" t="str">
        <f>IFERROR(__xludf.DUMMYFUNCTION("""COMPUTED_VALUE"""),"No Corresp")</f>
        <v>No Corresp</v>
      </c>
      <c r="AG11" s="45" t="str">
        <f>IFERROR(__xludf.DUMMYFUNCTION("""COMPUTED_VALUE"""),"Si")</f>
        <v>Si</v>
      </c>
    </row>
    <row r="12">
      <c r="B12" s="116">
        <f>IFERROR(__xludf.DUMMYFUNCTION("""COMPUTED_VALUE"""),45523.67275103009)</f>
        <v>45523.67275</v>
      </c>
      <c r="C12" s="72" t="str">
        <f>IFERROR(__xludf.DUMMYFUNCTION("""COMPUTED_VALUE"""),"CARLOS GERARDO")</f>
        <v>CARLOS GERARDO</v>
      </c>
      <c r="D12" s="72" t="str">
        <f>IFERROR(__xludf.DUMMYFUNCTION("""COMPUTED_VALUE"""),"LUQUE")</f>
        <v>LUQUE</v>
      </c>
      <c r="E12" s="72" t="str">
        <f>IFERROR(__xludf.DUMMYFUNCTION("""COMPUTED_VALUE"""),"BAHIA BLANCA")</f>
        <v>BAHIA BLANCA</v>
      </c>
      <c r="F12" s="73" t="str">
        <f>IFERROR(__xludf.DUMMYFUNCTION("""COMPUTED_VALUE"""),"ARG")</f>
        <v>ARG</v>
      </c>
      <c r="G12" s="73">
        <f>IFERROR(__xludf.DUMMYFUNCTION("""COMPUTED_VALUE"""),1.7673812E7)</f>
        <v>17673812</v>
      </c>
      <c r="H12" s="117">
        <f>IFERROR(__xludf.DUMMYFUNCTION("""COMPUTED_VALUE"""),24236.0)</f>
        <v>24236</v>
      </c>
      <c r="I12" s="73">
        <f>IFERROR(__xludf.DUMMYFUNCTION("""COMPUTED_VALUE"""),2.914742269E9)</f>
        <v>2914742269</v>
      </c>
      <c r="J12" s="73">
        <f>IFERROR(__xludf.DUMMYFUNCTION("""COMPUTED_VALUE"""),2.914295699E9)</f>
        <v>2914295699</v>
      </c>
      <c r="K12" s="73" t="str">
        <f>IFERROR(__xludf.DUMMYFUNCTION("""COMPUTED_VALUE"""),"CARLONCHOLUQUE@HOTMAIL.COM")</f>
        <v>CARLONCHOLUQUE@HOTMAIL.COM</v>
      </c>
      <c r="L12" s="73" t="str">
        <f>IFERROR(__xludf.DUMMYFUNCTION("""COMPUTED_VALUE"""),"Masculino")</f>
        <v>Masculino</v>
      </c>
      <c r="M12" s="72" t="str">
        <f>IFERROR(__xludf.DUMMYFUNCTION("""COMPUTED_VALUE"""),"CNBB")</f>
        <v>CNBB</v>
      </c>
      <c r="N12" s="73" t="str">
        <f>IFERROR(__xludf.DUMMYFUNCTION("""COMPUTED_VALUE"""),"MASTER PAMPERO")</f>
        <v>MASTER PAMPERO</v>
      </c>
      <c r="O12" s="73" t="str">
        <f>IFERROR(__xludf.DUMMYFUNCTION("""COMPUTED_VALUE"""),"PAMPERO")</f>
        <v>PAMPERO</v>
      </c>
      <c r="P12" s="73"/>
      <c r="Q12" s="73">
        <f>IFERROR(__xludf.DUMMYFUNCTION("""COMPUTED_VALUE"""),352.0)</f>
        <v>352</v>
      </c>
      <c r="R12" s="72" t="str">
        <f>IFERROR(__xludf.DUMMYFUNCTION("""COMPUTED_VALUE"""),"LUQUEADO")</f>
        <v>LUQUEADO</v>
      </c>
      <c r="S12" s="73" t="str">
        <f>IFERROR(__xludf.DUMMYFUNCTION("""COMPUTED_VALUE"""),"LUCRECIA INES DIAZ")</f>
        <v>LUCRECIA INES DIAZ</v>
      </c>
      <c r="T12" s="73"/>
      <c r="U12" s="73"/>
      <c r="V12" s="73"/>
      <c r="W12" s="73"/>
      <c r="X12" s="73"/>
      <c r="Y12" s="73" t="str">
        <f>IFERROR(__xludf.DUMMYFUNCTION("""COMPUTED_VALUE"""),"OSDE")</f>
        <v>OSDE</v>
      </c>
      <c r="Z12" s="73" t="str">
        <f>IFERROR(__xludf.DUMMYFUNCTION("""COMPUTED_VALUE"""),"Si")</f>
        <v>Si</v>
      </c>
      <c r="AA12" s="73" t="str">
        <f>IFERROR(__xludf.DUMMYFUNCTION("""COMPUTED_VALUE"""),"Acepto")</f>
        <v>Acepto</v>
      </c>
      <c r="AB12" s="73" t="str">
        <f>IFERROR(__xludf.DUMMYFUNCTION("""COMPUTED_VALUE"""),"Terminado")</f>
        <v>Terminado</v>
      </c>
      <c r="AC12" s="73">
        <f>IFERROR(__xludf.DUMMYFUNCTION("""COMPUTED_VALUE"""),60000.0)</f>
        <v>60000</v>
      </c>
      <c r="AD12" s="45">
        <f>IFERROR(__xludf.DUMMYFUNCTION("""COMPUTED_VALUE"""),205006.0)</f>
        <v>205006</v>
      </c>
      <c r="AE12" s="45" t="str">
        <f>IFERROR(__xludf.DUMMYFUNCTION("""COMPUTED_VALUE"""),"TRF 19-8")</f>
        <v>TRF 19-8</v>
      </c>
      <c r="AF12" s="45" t="str">
        <f>IFERROR(__xludf.DUMMYFUNCTION("""COMPUTED_VALUE"""),"No Corresp")</f>
        <v>No Corresp</v>
      </c>
      <c r="AG12" s="45" t="str">
        <f>IFERROR(__xludf.DUMMYFUNCTION("""COMPUTED_VALUE"""),"Si")</f>
        <v>Si</v>
      </c>
    </row>
    <row r="13">
      <c r="B13" s="116">
        <f>IFERROR(__xludf.DUMMYFUNCTION("""COMPUTED_VALUE"""),45540.62934114583)</f>
        <v>45540.62934</v>
      </c>
      <c r="C13" s="72" t="str">
        <f>IFERROR(__xludf.DUMMYFUNCTION("""COMPUTED_VALUE"""),"Patricio ")</f>
        <v>Patricio </v>
      </c>
      <c r="D13" s="72" t="str">
        <f>IFERROR(__xludf.DUMMYFUNCTION("""COMPUTED_VALUE"""),"Lutteral ")</f>
        <v>Lutteral </v>
      </c>
      <c r="E13" s="72" t="str">
        <f>IFERROR(__xludf.DUMMYFUNCTION("""COMPUTED_VALUE"""),"Buenos aires")</f>
        <v>Buenos aires</v>
      </c>
      <c r="F13" s="73" t="str">
        <f>IFERROR(__xludf.DUMMYFUNCTION("""COMPUTED_VALUE"""),"ARG")</f>
        <v>ARG</v>
      </c>
      <c r="G13" s="73">
        <f>IFERROR(__xludf.DUMMYFUNCTION("""COMPUTED_VALUE"""),1.195331E7)</f>
        <v>11953310</v>
      </c>
      <c r="H13" s="117">
        <f>IFERROR(__xludf.DUMMYFUNCTION("""COMPUTED_VALUE"""),21213.0)</f>
        <v>21213</v>
      </c>
      <c r="I13" s="73">
        <f>IFERROR(__xludf.DUMMYFUNCTION("""COMPUTED_VALUE"""),5.491157616021E12)</f>
        <v>5491157616021</v>
      </c>
      <c r="J13" s="73">
        <f>IFERROR(__xludf.DUMMYFUNCTION("""COMPUTED_VALUE"""),5.4911307911E12)</f>
        <v>5491130791100</v>
      </c>
      <c r="K13" s="73" t="str">
        <f>IFERROR(__xludf.DUMMYFUNCTION("""COMPUTED_VALUE"""),"lutteral_patricio@yahoo.com.ar")</f>
        <v>lutteral_patricio@yahoo.com.ar</v>
      </c>
      <c r="L13" s="73" t="str">
        <f>IFERROR(__xludf.DUMMYFUNCTION("""COMPUTED_VALUE"""),"Masculino")</f>
        <v>Masculino</v>
      </c>
      <c r="M13" s="72" t="str">
        <f>IFERROR(__xludf.DUMMYFUNCTION("""COMPUTED_VALUE"""),"CPNLB")</f>
        <v>CPNLB</v>
      </c>
      <c r="N13" s="73"/>
      <c r="O13" s="73" t="str">
        <f>IFERROR(__xludf.DUMMYFUNCTION("""COMPUTED_VALUE"""),"PAMPERO")</f>
        <v>PAMPERO</v>
      </c>
      <c r="P13" s="73"/>
      <c r="Q13" s="73">
        <f>IFERROR(__xludf.DUMMYFUNCTION("""COMPUTED_VALUE"""),40.0)</f>
        <v>40</v>
      </c>
      <c r="R13" s="72" t="str">
        <f>IFERROR(__xludf.DUMMYFUNCTION("""COMPUTED_VALUE"""),"TORMENTA")</f>
        <v>TORMENTA</v>
      </c>
      <c r="S13" s="72" t="str">
        <f>IFERROR(__xludf.DUMMYFUNCTION("""COMPUTED_VALUE"""),"Sebastian Lutteral ")</f>
        <v>Sebastian Lutteral </v>
      </c>
      <c r="T13" s="73"/>
      <c r="U13" s="73"/>
      <c r="V13" s="73"/>
      <c r="W13" s="73"/>
      <c r="X13" s="73"/>
      <c r="Y13" s="73"/>
      <c r="Z13" s="73" t="str">
        <f>IFERROR(__xludf.DUMMYFUNCTION("""COMPUTED_VALUE"""),"No")</f>
        <v>No</v>
      </c>
      <c r="AA13" s="73" t="str">
        <f>IFERROR(__xludf.DUMMYFUNCTION("""COMPUTED_VALUE"""),"Acepto")</f>
        <v>Acepto</v>
      </c>
      <c r="AB13" s="73" t="str">
        <f>IFERROR(__xludf.DUMMYFUNCTION("""COMPUTED_VALUE"""),"Terminado")</f>
        <v>Terminado</v>
      </c>
      <c r="AC13" s="73">
        <f>IFERROR(__xludf.DUMMYFUNCTION("""COMPUTED_VALUE"""),70000.0)</f>
        <v>70000</v>
      </c>
      <c r="AD13" s="45">
        <f>IFERROR(__xludf.DUMMYFUNCTION("""COMPUTED_VALUE"""),205484.0)</f>
        <v>205484</v>
      </c>
      <c r="AE13" s="45" t="str">
        <f>IFERROR(__xludf.DUMMYFUNCTION("""COMPUTED_VALUE"""),"TRF 05-09")</f>
        <v>TRF 05-09</v>
      </c>
      <c r="AF13" s="45" t="str">
        <f>IFERROR(__xludf.DUMMYFUNCTION("""COMPUTED_VALUE"""),"No Corresp")</f>
        <v>No Corresp</v>
      </c>
      <c r="AG13" s="45" t="str">
        <f>IFERROR(__xludf.DUMMYFUNCTION("""COMPUTED_VALUE"""),"SI")</f>
        <v>SI</v>
      </c>
    </row>
    <row r="14">
      <c r="B14" s="116">
        <f>IFERROR(__xludf.DUMMYFUNCTION("""COMPUTED_VALUE"""),45523.60120644676)</f>
        <v>45523.60121</v>
      </c>
      <c r="C14" s="72" t="str">
        <f>IFERROR(__xludf.DUMMYFUNCTION("""COMPUTED_VALUE"""),"David Orlando ")</f>
        <v>David Orlando </v>
      </c>
      <c r="D14" s="72" t="str">
        <f>IFERROR(__xludf.DUMMYFUNCTION("""COMPUTED_VALUE"""),"Mancini ")</f>
        <v>Mancini </v>
      </c>
      <c r="E14" s="72" t="str">
        <f>IFERROR(__xludf.DUMMYFUNCTION("""COMPUTED_VALUE"""),"Viedma")</f>
        <v>Viedma</v>
      </c>
      <c r="F14" s="73" t="str">
        <f>IFERROR(__xludf.DUMMYFUNCTION("""COMPUTED_VALUE"""),"ARG")</f>
        <v>ARG</v>
      </c>
      <c r="G14" s="73">
        <f>IFERROR(__xludf.DUMMYFUNCTION("""COMPUTED_VALUE"""),2.8144761E7)</f>
        <v>28144761</v>
      </c>
      <c r="H14" s="117">
        <f>IFERROR(__xludf.DUMMYFUNCTION("""COMPUTED_VALUE"""),29366.0)</f>
        <v>29366</v>
      </c>
      <c r="I14" s="73">
        <f>IFERROR(__xludf.DUMMYFUNCTION("""COMPUTED_VALUE"""),2.920475364E9)</f>
        <v>2920475364</v>
      </c>
      <c r="J14" s="73">
        <f>IFERROR(__xludf.DUMMYFUNCTION("""COMPUTED_VALUE"""),2.920521738E9)</f>
        <v>2920521738</v>
      </c>
      <c r="K14" s="73" t="str">
        <f>IFERROR(__xludf.DUMMYFUNCTION("""COMPUTED_VALUE"""),"mancinidav8025@gmail.com")</f>
        <v>mancinidav8025@gmail.com</v>
      </c>
      <c r="L14" s="73" t="str">
        <f>IFERROR(__xludf.DUMMYFUNCTION("""COMPUTED_VALUE"""),"Masculino")</f>
        <v>Masculino</v>
      </c>
      <c r="M14" s="72" t="str">
        <f>IFERROR(__xludf.DUMMYFUNCTION("""COMPUTED_VALUE"""),"Club náutico La Ribera ")</f>
        <v>Club náutico La Ribera </v>
      </c>
      <c r="N14" s="73" t="str">
        <f>IFERROR(__xludf.DUMMYFUNCTION("""COMPUTED_VALUE"""),"Pampero ")</f>
        <v>Pampero </v>
      </c>
      <c r="O14" s="73" t="str">
        <f>IFERROR(__xludf.DUMMYFUNCTION("""COMPUTED_VALUE"""),"PAMPERO")</f>
        <v>PAMPERO</v>
      </c>
      <c r="P14" s="73"/>
      <c r="Q14" s="73">
        <f>IFERROR(__xludf.DUMMYFUNCTION("""COMPUTED_VALUE"""),2430.0)</f>
        <v>2430</v>
      </c>
      <c r="R14" s="72" t="str">
        <f>IFERROR(__xludf.DUMMYFUNCTION("""COMPUTED_VALUE"""),"Poseidon ")</f>
        <v>Poseidon </v>
      </c>
      <c r="S14" s="72" t="str">
        <f>IFERROR(__xludf.DUMMYFUNCTION("""COMPUTED_VALUE"""),"Mancini David ")</f>
        <v>Mancini David </v>
      </c>
      <c r="T14" s="73" t="str">
        <f>IFERROR(__xludf.DUMMYFUNCTION("""COMPUTED_VALUE"""),"Guevara Federico ")</f>
        <v>Guevara Federico </v>
      </c>
      <c r="U14" s="73"/>
      <c r="V14" s="73"/>
      <c r="W14" s="73"/>
      <c r="X14" s="73"/>
      <c r="Y14" s="73" t="str">
        <f>IFERROR(__xludf.DUMMYFUNCTION("""COMPUTED_VALUE"""),"Ipross")</f>
        <v>Ipross</v>
      </c>
      <c r="Z14" s="73" t="str">
        <f>IFERROR(__xludf.DUMMYFUNCTION("""COMPUTED_VALUE"""),"Si")</f>
        <v>Si</v>
      </c>
      <c r="AA14" s="73" t="str">
        <f>IFERROR(__xludf.DUMMYFUNCTION("""COMPUTED_VALUE"""),"Acepto")</f>
        <v>Acepto</v>
      </c>
      <c r="AB14" s="73" t="str">
        <f>IFERROR(__xludf.DUMMYFUNCTION("""COMPUTED_VALUE"""),"Terminado")</f>
        <v>Terminado</v>
      </c>
      <c r="AC14" s="73">
        <f>IFERROR(__xludf.DUMMYFUNCTION("""COMPUTED_VALUE"""),60000.0)</f>
        <v>60000</v>
      </c>
      <c r="AD14" s="45">
        <f>IFERROR(__xludf.DUMMYFUNCTION("""COMPUTED_VALUE"""),205035.0)</f>
        <v>205035</v>
      </c>
      <c r="AE14" s="45" t="str">
        <f>IFERROR(__xludf.DUMMYFUNCTION("""COMPUTED_VALUE"""),"TRF 21-08")</f>
        <v>TRF 21-08</v>
      </c>
      <c r="AF14" s="45" t="str">
        <f>IFERROR(__xludf.DUMMYFUNCTION("""COMPUTED_VALUE"""),"No Corresp")</f>
        <v>No Corresp</v>
      </c>
      <c r="AG14" s="45" t="str">
        <f>IFERROR(__xludf.DUMMYFUNCTION("""COMPUTED_VALUE"""),"Si")</f>
        <v>Si</v>
      </c>
    </row>
    <row r="15">
      <c r="B15" s="71">
        <f>IFERROR(__xludf.DUMMYFUNCTION("""COMPUTED_VALUE"""),45518.934356122685)</f>
        <v>45518.93436</v>
      </c>
      <c r="C15" s="75" t="str">
        <f>IFERROR(__xludf.DUMMYFUNCTION("""COMPUTED_VALUE"""),"Ruben")</f>
        <v>Ruben</v>
      </c>
      <c r="D15" s="75" t="str">
        <f>IFERROR(__xludf.DUMMYFUNCTION("""COMPUTED_VALUE"""),"Moscatelli")</f>
        <v>Moscatelli</v>
      </c>
      <c r="E15" s="75" t="str">
        <f>IFERROR(__xludf.DUMMYFUNCTION("""COMPUTED_VALUE"""),"Buenos Aires")</f>
        <v>Buenos Aires</v>
      </c>
      <c r="F15" s="75" t="str">
        <f>IFERROR(__xludf.DUMMYFUNCTION("""COMPUTED_VALUE"""),"ARG")</f>
        <v>ARG</v>
      </c>
      <c r="G15" s="75">
        <f>IFERROR(__xludf.DUMMYFUNCTION("""COMPUTED_VALUE"""),1.0933157E7)</f>
        <v>10933157</v>
      </c>
      <c r="H15" s="74">
        <f>IFERROR(__xludf.DUMMYFUNCTION("""COMPUTED_VALUE"""),19635.0)</f>
        <v>19635</v>
      </c>
      <c r="I15" s="75" t="str">
        <f>IFERROR(__xludf.DUMMYFUNCTION("""COMPUTED_VALUE"""),"11 2327 5650")</f>
        <v>11 2327 5650</v>
      </c>
      <c r="J15" s="75" t="str">
        <f>IFERROR(__xludf.DUMMYFUNCTION("""COMPUTED_VALUE"""),"11 5490 3901")</f>
        <v>11 5490 3901</v>
      </c>
      <c r="K15" s="75" t="str">
        <f>IFERROR(__xludf.DUMMYFUNCTION("""COMPUTED_VALUE"""),"moscatelli_r@hotmail.com")</f>
        <v>moscatelli_r@hotmail.com</v>
      </c>
      <c r="L15" s="75" t="str">
        <f>IFERROR(__xludf.DUMMYFUNCTION("""COMPUTED_VALUE"""),"Masculino")</f>
        <v>Masculino</v>
      </c>
      <c r="M15" s="75" t="str">
        <f>IFERROR(__xludf.DUMMYFUNCTION("""COMPUTED_VALUE"""),"CPCNB")</f>
        <v>CPCNB</v>
      </c>
      <c r="N15" s="75" t="str">
        <f>IFERROR(__xludf.DUMMYFUNCTION("""COMPUTED_VALUE"""),"Master (ILCA)")</f>
        <v>Master (ILCA)</v>
      </c>
      <c r="O15" s="75" t="str">
        <f>IFERROR(__xludf.DUMMYFUNCTION("""COMPUTED_VALUE"""),"PAMPERO")</f>
        <v>PAMPERO</v>
      </c>
      <c r="P15" s="75"/>
      <c r="Q15" s="75" t="str">
        <f>IFERROR(__xludf.DUMMYFUNCTION("""COMPUTED_VALUE"""),"ARG 3716")</f>
        <v>ARG 3716</v>
      </c>
      <c r="R15" s="75" t="str">
        <f>IFERROR(__xludf.DUMMYFUNCTION("""COMPUTED_VALUE"""),"Silver Star II")</f>
        <v>Silver Star II</v>
      </c>
      <c r="S15" s="75" t="str">
        <f>IFERROR(__xludf.DUMMYFUNCTION("""COMPUTED_VALUE"""),"Mariana Seminara")</f>
        <v>Mariana Seminara</v>
      </c>
      <c r="T15" s="75"/>
      <c r="U15" s="75"/>
      <c r="V15" s="75"/>
      <c r="W15" s="75"/>
      <c r="X15" s="75"/>
      <c r="Y15" s="75" t="str">
        <f>IFERROR(__xludf.DUMMYFUNCTION("""COMPUTED_VALUE"""),"Medicus 06024195008")</f>
        <v>Medicus 06024195008</v>
      </c>
      <c r="Z15" s="73" t="str">
        <f>IFERROR(__xludf.DUMMYFUNCTION("""COMPUTED_VALUE"""),"Si")</f>
        <v>Si</v>
      </c>
      <c r="AA15" s="75" t="str">
        <f>IFERROR(__xludf.DUMMYFUNCTION("""COMPUTED_VALUE"""),"Acepto")</f>
        <v>Acepto</v>
      </c>
      <c r="AB15" s="73" t="str">
        <f>IFERROR(__xludf.DUMMYFUNCTION("""COMPUTED_VALUE"""),"Terminado")</f>
        <v>Terminado</v>
      </c>
      <c r="AC15" s="73">
        <f>IFERROR(__xludf.DUMMYFUNCTION("""COMPUTED_VALUE"""),60000.0)</f>
        <v>60000</v>
      </c>
      <c r="AD15" s="45">
        <f>IFERROR(__xludf.DUMMYFUNCTION("""COMPUTED_VALUE"""),204951.0)</f>
        <v>204951</v>
      </c>
      <c r="AE15" s="45" t="str">
        <f>IFERROR(__xludf.DUMMYFUNCTION("""COMPUTED_VALUE"""),"TRF 14-8")</f>
        <v>TRF 14-8</v>
      </c>
      <c r="AF15" s="45" t="str">
        <f>IFERROR(__xludf.DUMMYFUNCTION("""COMPUTED_VALUE"""),"No Corresp")</f>
        <v>No Corresp</v>
      </c>
      <c r="AG15" s="45" t="str">
        <f>IFERROR(__xludf.DUMMYFUNCTION("""COMPUTED_VALUE"""),"Si")</f>
        <v>Si</v>
      </c>
    </row>
    <row r="16">
      <c r="B16" s="71">
        <f>IFERROR(__xludf.DUMMYFUNCTION("""COMPUTED_VALUE"""),45516.43822831019)</f>
        <v>45516.43823</v>
      </c>
      <c r="C16" s="75" t="str">
        <f>IFERROR(__xludf.DUMMYFUNCTION("""COMPUTED_VALUE"""),"Gustavo ")</f>
        <v>Gustavo </v>
      </c>
      <c r="D16" s="75" t="str">
        <f>IFERROR(__xludf.DUMMYFUNCTION("""COMPUTED_VALUE"""),"Novella ")</f>
        <v>Novella </v>
      </c>
      <c r="E16" s="75" t="str">
        <f>IFERROR(__xludf.DUMMYFUNCTION("""COMPUTED_VALUE"""),"Chascomus ")</f>
        <v>Chascomus </v>
      </c>
      <c r="F16" s="75" t="str">
        <f>IFERROR(__xludf.DUMMYFUNCTION("""COMPUTED_VALUE"""),"ARG")</f>
        <v>ARG</v>
      </c>
      <c r="G16" s="75">
        <f>IFERROR(__xludf.DUMMYFUNCTION("""COMPUTED_VALUE"""),2.3920796E7)</f>
        <v>23920796</v>
      </c>
      <c r="H16" s="74">
        <f>IFERROR(__xludf.DUMMYFUNCTION("""COMPUTED_VALUE"""),27319.0)</f>
        <v>27319</v>
      </c>
      <c r="I16" s="75">
        <f>IFERROR(__xludf.DUMMYFUNCTION("""COMPUTED_VALUE"""),1.149928591E9)</f>
        <v>1149928591</v>
      </c>
      <c r="J16" s="75">
        <f>IFERROR(__xludf.DUMMYFUNCTION("""COMPUTED_VALUE"""),2.241685797E9)</f>
        <v>2241685797</v>
      </c>
      <c r="K16" s="75" t="str">
        <f>IFERROR(__xludf.DUMMYFUNCTION("""COMPUTED_VALUE"""),"novellacampos74@gmail.com")</f>
        <v>novellacampos74@gmail.com</v>
      </c>
      <c r="L16" s="75" t="str">
        <f>IFERROR(__xludf.DUMMYFUNCTION("""COMPUTED_VALUE"""),"Masculino")</f>
        <v>Masculino</v>
      </c>
      <c r="M16" s="75" t="str">
        <f>IFERROR(__xludf.DUMMYFUNCTION("""COMPUTED_VALUE"""),"CRCH ")</f>
        <v>CRCH </v>
      </c>
      <c r="N16" s="75"/>
      <c r="O16" s="75" t="str">
        <f>IFERROR(__xludf.DUMMYFUNCTION("""COMPUTED_VALUE"""),"PAMPERO")</f>
        <v>PAMPERO</v>
      </c>
      <c r="P16" s="75" t="str">
        <f>IFERROR(__xludf.DUMMYFUNCTION("""COMPUTED_VALUE"""),"-")</f>
        <v>-</v>
      </c>
      <c r="Q16" s="75">
        <f>IFERROR(__xludf.DUMMYFUNCTION("""COMPUTED_VALUE"""),762.0)</f>
        <v>762</v>
      </c>
      <c r="R16" s="75" t="str">
        <f>IFERROR(__xludf.DUMMYFUNCTION("""COMPUTED_VALUE"""),"Dory")</f>
        <v>Dory</v>
      </c>
      <c r="S16" s="75" t="str">
        <f>IFERROR(__xludf.DUMMYFUNCTION("""COMPUTED_VALUE"""),"Mateo Sanchez Viamonte ")</f>
        <v>Mateo Sanchez Viamonte </v>
      </c>
      <c r="T16" s="75"/>
      <c r="U16" s="75"/>
      <c r="V16" s="75"/>
      <c r="W16" s="75"/>
      <c r="X16" s="75"/>
      <c r="Y16" s="75" t="str">
        <f>IFERROR(__xludf.DUMMYFUNCTION("""COMPUTED_VALUE"""),"Osde")</f>
        <v>Osde</v>
      </c>
      <c r="Z16" s="73" t="str">
        <f>IFERROR(__xludf.DUMMYFUNCTION("""COMPUTED_VALUE"""),"Si")</f>
        <v>Si</v>
      </c>
      <c r="AA16" s="75" t="str">
        <f>IFERROR(__xludf.DUMMYFUNCTION("""COMPUTED_VALUE"""),"Acepto")</f>
        <v>Acepto</v>
      </c>
      <c r="AB16" s="73" t="str">
        <f>IFERROR(__xludf.DUMMYFUNCTION("""COMPUTED_VALUE"""),"Terminado")</f>
        <v>Terminado</v>
      </c>
      <c r="AC16" s="73">
        <f>IFERROR(__xludf.DUMMYFUNCTION("""COMPUTED_VALUE"""),60000.0)</f>
        <v>60000</v>
      </c>
      <c r="AD16" s="45">
        <f>IFERROR(__xludf.DUMMYFUNCTION("""COMPUTED_VALUE"""),205023.0)</f>
        <v>205023</v>
      </c>
      <c r="AE16" s="45" t="str">
        <f>IFERROR(__xludf.DUMMYFUNCTION("""COMPUTED_VALUE"""),"TRF 21-08")</f>
        <v>TRF 21-08</v>
      </c>
      <c r="AF16" s="45" t="str">
        <f>IFERROR(__xludf.DUMMYFUNCTION("""COMPUTED_VALUE"""),"No Corresp")</f>
        <v>No Corresp</v>
      </c>
      <c r="AG16" s="45" t="str">
        <f>IFERROR(__xludf.DUMMYFUNCTION("""COMPUTED_VALUE"""),"Si")</f>
        <v>Si</v>
      </c>
    </row>
    <row r="17">
      <c r="B17" s="71">
        <f>IFERROR(__xludf.DUMMYFUNCTION("""COMPUTED_VALUE"""),45525.61200170139)</f>
        <v>45525.612</v>
      </c>
      <c r="C17" s="75" t="str">
        <f>IFERROR(__xludf.DUMMYFUNCTION("""COMPUTED_VALUE"""),"Gastón ")</f>
        <v>Gastón </v>
      </c>
      <c r="D17" s="75" t="str">
        <f>IFERROR(__xludf.DUMMYFUNCTION("""COMPUTED_VALUE"""),"Pamer ")</f>
        <v>Pamer </v>
      </c>
      <c r="E17" s="75" t="str">
        <f>IFERROR(__xludf.DUMMYFUNCTION("""COMPUTED_VALUE"""),"Viedma")</f>
        <v>Viedma</v>
      </c>
      <c r="F17" s="75" t="str">
        <f>IFERROR(__xludf.DUMMYFUNCTION("""COMPUTED_VALUE"""),"ARG")</f>
        <v>ARG</v>
      </c>
      <c r="G17" s="75">
        <f>IFERROR(__xludf.DUMMYFUNCTION("""COMPUTED_VALUE"""),2.4041738E7)</f>
        <v>24041738</v>
      </c>
      <c r="H17" s="74">
        <f>IFERROR(__xludf.DUMMYFUNCTION("""COMPUTED_VALUE"""),27363.0)</f>
        <v>27363</v>
      </c>
      <c r="I17" s="75">
        <f>IFERROR(__xludf.DUMMYFUNCTION("""COMPUTED_VALUE"""),2.920610198E9)</f>
        <v>2920610198</v>
      </c>
      <c r="J17" s="75">
        <f>IFERROR(__xludf.DUMMYFUNCTION("""COMPUTED_VALUE"""),2.920301041E9)</f>
        <v>2920301041</v>
      </c>
      <c r="K17" s="75" t="str">
        <f>IFERROR(__xludf.DUMMYFUNCTION("""COMPUTED_VALUE"""),"pamergaston@gmail.com")</f>
        <v>pamergaston@gmail.com</v>
      </c>
      <c r="L17" s="75" t="str">
        <f>IFERROR(__xludf.DUMMYFUNCTION("""COMPUTED_VALUE"""),"Masculino")</f>
        <v>Masculino</v>
      </c>
      <c r="M17" s="75" t="str">
        <f>IFERROR(__xludf.DUMMYFUNCTION("""COMPUTED_VALUE"""),"CNLR ")</f>
        <v>CNLR </v>
      </c>
      <c r="N17" s="75"/>
      <c r="O17" s="75" t="str">
        <f>IFERROR(__xludf.DUMMYFUNCTION("""COMPUTED_VALUE"""),"PAMPERO")</f>
        <v>PAMPERO</v>
      </c>
      <c r="P17" s="75"/>
      <c r="Q17" s="75">
        <f>IFERROR(__xludf.DUMMYFUNCTION("""COMPUTED_VALUE"""),777.0)</f>
        <v>777</v>
      </c>
      <c r="R17" s="75" t="str">
        <f>IFERROR(__xludf.DUMMYFUNCTION("""COMPUTED_VALUE"""),"INDIO ")</f>
        <v>INDIO </v>
      </c>
      <c r="S17" s="75" t="str">
        <f>IFERROR(__xludf.DUMMYFUNCTION("""COMPUTED_VALUE"""),"Juan Ruf")</f>
        <v>Juan Ruf</v>
      </c>
      <c r="T17" s="75"/>
      <c r="U17" s="75"/>
      <c r="V17" s="75"/>
      <c r="W17" s="75"/>
      <c r="X17" s="75"/>
      <c r="Y17" s="75" t="str">
        <f>IFERROR(__xludf.DUMMYFUNCTION("""COMPUTED_VALUE"""),"Swiss Medical")</f>
        <v>Swiss Medical</v>
      </c>
      <c r="Z17" s="73" t="str">
        <f>IFERROR(__xludf.DUMMYFUNCTION("""COMPUTED_VALUE"""),"Si")</f>
        <v>Si</v>
      </c>
      <c r="AA17" s="75" t="str">
        <f>IFERROR(__xludf.DUMMYFUNCTION("""COMPUTED_VALUE"""),"Acepto")</f>
        <v>Acepto</v>
      </c>
      <c r="AB17" s="73" t="str">
        <f>IFERROR(__xludf.DUMMYFUNCTION("""COMPUTED_VALUE"""),"Terminado")</f>
        <v>Terminado</v>
      </c>
      <c r="AC17" s="73">
        <f>IFERROR(__xludf.DUMMYFUNCTION("""COMPUTED_VALUE"""),60000.0)</f>
        <v>60000</v>
      </c>
      <c r="AD17" s="45">
        <f>IFERROR(__xludf.DUMMYFUNCTION("""COMPUTED_VALUE"""),205015.0)</f>
        <v>205015</v>
      </c>
      <c r="AE17" s="45" t="str">
        <f>IFERROR(__xludf.DUMMYFUNCTION("""COMPUTED_VALUE"""),"TRF 21-08")</f>
        <v>TRF 21-08</v>
      </c>
      <c r="AF17" s="45" t="str">
        <f>IFERROR(__xludf.DUMMYFUNCTION("""COMPUTED_VALUE"""),"No Corresp")</f>
        <v>No Corresp</v>
      </c>
      <c r="AG17" s="45" t="str">
        <f>IFERROR(__xludf.DUMMYFUNCTION("""COMPUTED_VALUE"""),"Si")</f>
        <v>Si</v>
      </c>
    </row>
    <row r="18">
      <c r="B18" s="71">
        <f>IFERROR(__xludf.DUMMYFUNCTION("""COMPUTED_VALUE"""),45525.70991451389)</f>
        <v>45525.70991</v>
      </c>
      <c r="C18" s="75" t="str">
        <f>IFERROR(__xludf.DUMMYFUNCTION("""COMPUTED_VALUE"""),"Maximiliano")</f>
        <v>Maximiliano</v>
      </c>
      <c r="D18" s="75" t="str">
        <f>IFERROR(__xludf.DUMMYFUNCTION("""COMPUTED_VALUE"""),"Sastre")</f>
        <v>Sastre</v>
      </c>
      <c r="E18" s="75" t="str">
        <f>IFERROR(__xludf.DUMMYFUNCTION("""COMPUTED_VALUE"""),"Ciudad Autónoma de Buenos Aires")</f>
        <v>Ciudad Autónoma de Buenos Aires</v>
      </c>
      <c r="F18" s="75" t="str">
        <f>IFERROR(__xludf.DUMMYFUNCTION("""COMPUTED_VALUE"""),"ARG")</f>
        <v>ARG</v>
      </c>
      <c r="G18" s="75">
        <f>IFERROR(__xludf.DUMMYFUNCTION("""COMPUTED_VALUE"""),2.4914586E7)</f>
        <v>24914586</v>
      </c>
      <c r="H18" s="74">
        <f>IFERROR(__xludf.DUMMYFUNCTION("""COMPUTED_VALUE"""),27727.0)</f>
        <v>27727</v>
      </c>
      <c r="I18" s="75" t="str">
        <f>IFERROR(__xludf.DUMMYFUNCTION("""COMPUTED_VALUE"""),"11 6511-2132")</f>
        <v>11 6511-2132</v>
      </c>
      <c r="J18" s="75" t="str">
        <f>IFERROR(__xludf.DUMMYFUNCTION("""COMPUTED_VALUE"""),"11 4143-9707")</f>
        <v>11 4143-9707</v>
      </c>
      <c r="K18" s="75" t="str">
        <f>IFERROR(__xludf.DUMMYFUNCTION("""COMPUTED_VALUE"""),"masastre75@hotmail.com")</f>
        <v>masastre75@hotmail.com</v>
      </c>
      <c r="L18" s="75" t="str">
        <f>IFERROR(__xludf.DUMMYFUNCTION("""COMPUTED_VALUE"""),"Masculino")</f>
        <v>Masculino</v>
      </c>
      <c r="M18" s="75" t="str">
        <f>IFERROR(__xludf.DUMMYFUNCTION("""COMPUTED_VALUE"""),"YCCN")</f>
        <v>YCCN</v>
      </c>
      <c r="N18" s="75" t="str">
        <f>IFERROR(__xludf.DUMMYFUNCTION("""COMPUTED_VALUE"""),"Mixto")</f>
        <v>Mixto</v>
      </c>
      <c r="O18" s="75" t="str">
        <f>IFERROR(__xludf.DUMMYFUNCTION("""COMPUTED_VALUE"""),"PAMPERO")</f>
        <v>PAMPERO</v>
      </c>
      <c r="P18" s="75"/>
      <c r="Q18" s="75">
        <f>IFERROR(__xludf.DUMMYFUNCTION("""COMPUTED_VALUE"""),2022.0)</f>
        <v>2022</v>
      </c>
      <c r="R18" s="75" t="str">
        <f>IFERROR(__xludf.DUMMYFUNCTION("""COMPUTED_VALUE"""),"NÓMADE")</f>
        <v>NÓMADE</v>
      </c>
      <c r="S18" s="75" t="str">
        <f>IFERROR(__xludf.DUMMYFUNCTION("""COMPUTED_VALUE"""),"Victoria Abril Sastre")</f>
        <v>Victoria Abril Sastre</v>
      </c>
      <c r="T18" s="75"/>
      <c r="U18" s="75"/>
      <c r="V18" s="75"/>
      <c r="W18" s="75"/>
      <c r="X18" s="75"/>
      <c r="Y18" s="75" t="str">
        <f>IFERROR(__xludf.DUMMYFUNCTION("""COMPUTED_VALUE"""),"IOSFA")</f>
        <v>IOSFA</v>
      </c>
      <c r="Z18" s="73" t="str">
        <f>IFERROR(__xludf.DUMMYFUNCTION("""COMPUTED_VALUE"""),"No")</f>
        <v>No</v>
      </c>
      <c r="AA18" s="75" t="str">
        <f>IFERROR(__xludf.DUMMYFUNCTION("""COMPUTED_VALUE"""),"Acepto")</f>
        <v>Acepto</v>
      </c>
      <c r="AB18" s="73" t="str">
        <f>IFERROR(__xludf.DUMMYFUNCTION("""COMPUTED_VALUE"""),"Terminado")</f>
        <v>Terminado</v>
      </c>
      <c r="AC18" s="73">
        <f>IFERROR(__xludf.DUMMYFUNCTION("""COMPUTED_VALUE"""),60000.0)</f>
        <v>60000</v>
      </c>
      <c r="AD18" s="45">
        <f>IFERROR(__xludf.DUMMYFUNCTION("""COMPUTED_VALUE"""),205024.0)</f>
        <v>205024</v>
      </c>
      <c r="AE18" s="45" t="str">
        <f>IFERROR(__xludf.DUMMYFUNCTION("""COMPUTED_VALUE"""),"TRF 21-08")</f>
        <v>TRF 21-08</v>
      </c>
      <c r="AF18" s="45" t="str">
        <f>IFERROR(__xludf.DUMMYFUNCTION("""COMPUTED_VALUE"""),"No Corresp")</f>
        <v>No Corresp</v>
      </c>
      <c r="AG18" s="45" t="str">
        <f>IFERROR(__xludf.DUMMYFUNCTION("""COMPUTED_VALUE"""),"Si")</f>
        <v>Si</v>
      </c>
    </row>
    <row r="19">
      <c r="B19" s="71">
        <f>IFERROR(__xludf.DUMMYFUNCTION("""COMPUTED_VALUE"""),45538.49136554398)</f>
        <v>45538.49137</v>
      </c>
      <c r="C19" s="75" t="str">
        <f>IFERROR(__xludf.DUMMYFUNCTION("""COMPUTED_VALUE"""),"Leo ")</f>
        <v>Leo </v>
      </c>
      <c r="D19" s="75" t="str">
        <f>IFERROR(__xludf.DUMMYFUNCTION("""COMPUTED_VALUE"""),"Semenzato ")</f>
        <v>Semenzato </v>
      </c>
      <c r="E19" s="75" t="str">
        <f>IFERROR(__xludf.DUMMYFUNCTION("""COMPUTED_VALUE"""),"Buenos Aires ")</f>
        <v>Buenos Aires </v>
      </c>
      <c r="F19" s="75" t="str">
        <f>IFERROR(__xludf.DUMMYFUNCTION("""COMPUTED_VALUE"""),"ARG")</f>
        <v>ARG</v>
      </c>
      <c r="G19" s="75">
        <f>IFERROR(__xludf.DUMMYFUNCTION("""COMPUTED_VALUE"""),1.4755163E7)</f>
        <v>14755163</v>
      </c>
      <c r="H19" s="74">
        <f>IFERROR(__xludf.DUMMYFUNCTION("""COMPUTED_VALUE"""),22677.0)</f>
        <v>22677</v>
      </c>
      <c r="I19" s="75" t="str">
        <f>IFERROR(__xludf.DUMMYFUNCTION("""COMPUTED_VALUE"""),"116 760 7651 ")</f>
        <v>116 760 7651 </v>
      </c>
      <c r="J19" s="75" t="str">
        <f>IFERROR(__xludf.DUMMYFUNCTION("""COMPUTED_VALUE"""),"113 660 5576 ")</f>
        <v>113 660 5576 </v>
      </c>
      <c r="K19" s="75" t="str">
        <f>IFERROR(__xludf.DUMMYFUNCTION("""COMPUTED_VALUE"""),"Leosemenzato@gmail.com")</f>
        <v>Leosemenzato@gmail.com</v>
      </c>
      <c r="L19" s="75" t="str">
        <f>IFERROR(__xludf.DUMMYFUNCTION("""COMPUTED_VALUE"""),"Masculino")</f>
        <v>Masculino</v>
      </c>
      <c r="M19" s="75" t="str">
        <f>IFERROR(__xludf.DUMMYFUNCTION("""COMPUTED_VALUE"""),"CNAZ ")</f>
        <v>CNAZ </v>
      </c>
      <c r="N19" s="75"/>
      <c r="O19" s="75" t="str">
        <f>IFERROR(__xludf.DUMMYFUNCTION("""COMPUTED_VALUE"""),"PAMPERO")</f>
        <v>PAMPERO</v>
      </c>
      <c r="P19" s="75"/>
      <c r="Q19" s="75" t="str">
        <f>IFERROR(__xludf.DUMMYFUNCTION("""COMPUTED_VALUE"""),"No lo sé ")</f>
        <v>No lo sé </v>
      </c>
      <c r="R19" s="75" t="str">
        <f>IFERROR(__xludf.DUMMYFUNCTION("""COMPUTED_VALUE"""),"ALKA ")</f>
        <v>ALKA </v>
      </c>
      <c r="S19" s="75" t="str">
        <f>IFERROR(__xludf.DUMMYFUNCTION("""COMPUTED_VALUE"""),"Ricardo Diego Claverie")</f>
        <v>Ricardo Diego Claverie</v>
      </c>
      <c r="T19" s="75"/>
      <c r="U19" s="75"/>
      <c r="V19" s="75"/>
      <c r="W19" s="75"/>
      <c r="X19" s="75"/>
      <c r="Y19" s="75"/>
      <c r="Z19" s="73" t="str">
        <f>IFERROR(__xludf.DUMMYFUNCTION("""COMPUTED_VALUE"""),"Si")</f>
        <v>Si</v>
      </c>
      <c r="AA19" s="75" t="str">
        <f>IFERROR(__xludf.DUMMYFUNCTION("""COMPUTED_VALUE"""),"Acepto")</f>
        <v>Acepto</v>
      </c>
      <c r="AB19" s="73" t="str">
        <f>IFERROR(__xludf.DUMMYFUNCTION("""COMPUTED_VALUE"""),"Terminado")</f>
        <v>Terminado</v>
      </c>
      <c r="AC19" s="45">
        <f>IFERROR(__xludf.DUMMYFUNCTION("""COMPUTED_VALUE"""),70000.0)</f>
        <v>70000</v>
      </c>
      <c r="AD19" s="45">
        <f>IFERROR(__xludf.DUMMYFUNCTION("""COMPUTED_VALUE"""),205415.0)</f>
        <v>205415</v>
      </c>
      <c r="AE19" s="45" t="str">
        <f>IFERROR(__xludf.DUMMYFUNCTION("""COMPUTED_VALUE"""),"TRF 03-09")</f>
        <v>TRF 03-09</v>
      </c>
      <c r="AF19" s="45" t="str">
        <f>IFERROR(__xludf.DUMMYFUNCTION("""COMPUTED_VALUE"""),"No Corresp")</f>
        <v>No Corresp</v>
      </c>
      <c r="AG19" s="45" t="str">
        <f>IFERROR(__xludf.DUMMYFUNCTION("""COMPUTED_VALUE"""),"Si")</f>
        <v>Si</v>
      </c>
    </row>
    <row r="20">
      <c r="B20" s="71"/>
      <c r="C20" s="75"/>
      <c r="D20" s="75"/>
      <c r="E20" s="75"/>
      <c r="F20" s="75"/>
      <c r="G20" s="75"/>
      <c r="H20" s="74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3"/>
      <c r="AA20" s="75"/>
      <c r="AB20" s="73"/>
    </row>
    <row r="21">
      <c r="AB21" s="7"/>
    </row>
    <row r="22">
      <c r="AB22" s="7"/>
    </row>
    <row r="23">
      <c r="AB23" s="7"/>
    </row>
    <row r="24">
      <c r="AB24" s="7"/>
    </row>
    <row r="25">
      <c r="AB25" s="7"/>
    </row>
    <row r="26">
      <c r="AB26" s="7"/>
    </row>
    <row r="27">
      <c r="AB27" s="7"/>
    </row>
    <row r="28">
      <c r="AB28" s="7"/>
    </row>
    <row r="29">
      <c r="AB29" s="7"/>
    </row>
    <row r="30">
      <c r="AB30" s="7"/>
    </row>
    <row r="31">
      <c r="AB31" s="7"/>
    </row>
    <row r="32">
      <c r="AB32" s="7"/>
    </row>
    <row r="33">
      <c r="AB33" s="7"/>
    </row>
    <row r="34">
      <c r="AB34" s="7"/>
    </row>
    <row r="35">
      <c r="AB35" s="7"/>
    </row>
    <row r="36">
      <c r="AB36" s="7"/>
    </row>
    <row r="37">
      <c r="AB37" s="7"/>
    </row>
    <row r="38">
      <c r="AB38" s="7"/>
    </row>
    <row r="39">
      <c r="AB39" s="7"/>
    </row>
    <row r="40">
      <c r="AB40" s="7"/>
    </row>
    <row r="41">
      <c r="AB41" s="7"/>
    </row>
    <row r="42">
      <c r="AB42" s="7"/>
    </row>
    <row r="43">
      <c r="AB43" s="7"/>
    </row>
    <row r="44">
      <c r="AB44" s="7"/>
    </row>
    <row r="45">
      <c r="AB45" s="7"/>
    </row>
    <row r="46">
      <c r="AB46" s="7"/>
    </row>
    <row r="47">
      <c r="AB47" s="7"/>
    </row>
    <row r="48">
      <c r="AB48" s="7"/>
    </row>
    <row r="49">
      <c r="AB49" s="7"/>
    </row>
    <row r="50">
      <c r="AB50" s="7"/>
    </row>
    <row r="51">
      <c r="AB51" s="7"/>
    </row>
    <row r="52">
      <c r="AB52" s="7"/>
    </row>
    <row r="53">
      <c r="AB53" s="7"/>
    </row>
    <row r="54">
      <c r="AB54" s="7"/>
    </row>
    <row r="55">
      <c r="AB55" s="7"/>
    </row>
  </sheetData>
  <conditionalFormatting sqref="I1">
    <cfRule type="cellIs" dxfId="1" priority="1" operator="equal">
      <formula>"Si"</formula>
    </cfRule>
  </conditionalFormatting>
  <conditionalFormatting sqref="B4:B16">
    <cfRule type="cellIs" dxfId="1" priority="2" operator="equal">
      <formula>"Pago"</formula>
    </cfRule>
  </conditionalFormatting>
  <conditionalFormatting sqref="AB4:AB55">
    <cfRule type="cellIs" dxfId="3" priority="3" operator="equal">
      <formula>"Terminado"</formula>
    </cfRule>
  </conditionalFormatting>
  <conditionalFormatting sqref="AC3:AC18">
    <cfRule type="cellIs" dxfId="0" priority="4" operator="equal">
      <formula>"Pendiente"</formula>
    </cfRule>
  </conditionalFormatting>
  <conditionalFormatting sqref="AC3:AC18">
    <cfRule type="cellIs" dxfId="1" priority="5" operator="equal">
      <formula>"Terminado"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1" width="4.25"/>
    <col customWidth="1" min="4" max="4" width="11.13"/>
    <col customWidth="1" min="5" max="5" width="18.5"/>
    <col customWidth="1" min="6" max="6" width="10.88"/>
    <col customWidth="1" hidden="1" min="7" max="7" width="20.88"/>
    <col customWidth="1" hidden="1" min="8" max="8" width="20.0"/>
    <col customWidth="1" hidden="1" min="9" max="9" width="12.88"/>
    <col hidden="1" min="10" max="11" width="12.63"/>
    <col hidden="1" min="15" max="16" width="12.63"/>
    <col customWidth="1" min="17" max="17" width="4.75"/>
    <col customWidth="1" min="18" max="18" width="10.75"/>
    <col customWidth="1" min="19" max="19" width="19.5"/>
    <col hidden="1" min="20" max="25" width="12.63"/>
    <col customWidth="1" min="26" max="26" width="7.0"/>
    <col hidden="1" min="27" max="27" width="12.63"/>
    <col customWidth="1" min="28" max="28" width="9.63"/>
    <col hidden="1" min="29" max="33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64</v>
      </c>
      <c r="C2" s="3"/>
      <c r="D2" s="65"/>
      <c r="E2" s="3"/>
      <c r="F2" s="3" t="str">
        <f>"Inscriptos: "&amp;COUNTA(C4:C100)</f>
        <v>Inscriptos: 11</v>
      </c>
      <c r="G2" s="3"/>
      <c r="H2" s="3"/>
      <c r="I2" s="67"/>
      <c r="J2" s="67"/>
      <c r="K2" s="67"/>
      <c r="L2" s="3">
        <f>COUNTA(D4:D20)</f>
        <v>11</v>
      </c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 ht="31.5" customHeight="1">
      <c r="A3" s="59" t="s">
        <v>65</v>
      </c>
      <c r="B3" s="3" t="str">
        <f>IFERROR(__xludf.DUMMYFUNCTION("query(Titulos)"),"Dia y Hora")</f>
        <v>Dia y Hora</v>
      </c>
      <c r="C3" s="3" t="str">
        <f>IFERROR(__xludf.DUMMYFUNCTION("""COMPUTED_VALUE"""),"Nombre")</f>
        <v>Nombre</v>
      </c>
      <c r="D3" s="3" t="str">
        <f>IFERROR(__xludf.DUMMYFUNCTION("""COMPUTED_VALUE"""),"Apellido")</f>
        <v>Apellido</v>
      </c>
      <c r="E3" s="3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3" t="str">
        <f>IFERROR(__xludf.DUMMYFUNCTION("""COMPUTED_VALUE"""),"Importe")</f>
        <v>Importe</v>
      </c>
      <c r="AD3" s="3" t="str">
        <f>IFERROR(__xludf.DUMMYFUNCTION("""COMPUTED_VALUE"""),"RECIBO")</f>
        <v>RECIBO</v>
      </c>
      <c r="AH3" s="105" t="s">
        <v>32</v>
      </c>
    </row>
    <row r="4">
      <c r="B4" s="83">
        <f>IFERROR(__xludf.DUMMYFUNCTION("filter(Datos,Clases=A3)"),45538.678494293985)</f>
        <v>45538.67849</v>
      </c>
      <c r="C4" s="43" t="str">
        <f>IFERROR(__xludf.DUMMYFUNCTION("""COMPUTED_VALUE"""),"Felipe")</f>
        <v>Felipe</v>
      </c>
      <c r="D4" s="43" t="str">
        <f>IFERROR(__xludf.DUMMYFUNCTION("""COMPUTED_VALUE"""),"Caivano")</f>
        <v>Caivano</v>
      </c>
      <c r="E4" s="43" t="str">
        <f>IFERROR(__xludf.DUMMYFUNCTION("""COMPUTED_VALUE"""),"Buenos aires")</f>
        <v>Buenos aires</v>
      </c>
      <c r="F4" s="7" t="str">
        <f>IFERROR(__xludf.DUMMYFUNCTION("""COMPUTED_VALUE"""),"ARG")</f>
        <v>ARG</v>
      </c>
      <c r="G4" s="7">
        <f>IFERROR(__xludf.DUMMYFUNCTION("""COMPUTED_VALUE"""),3.2133238E7)</f>
        <v>32133238</v>
      </c>
      <c r="H4" s="44">
        <f>IFERROR(__xludf.DUMMYFUNCTION("""COMPUTED_VALUE"""),31461.0)</f>
        <v>31461</v>
      </c>
      <c r="I4" s="45">
        <f>IFERROR(__xludf.DUMMYFUNCTION("""COMPUTED_VALUE"""),1.557930144E9)</f>
        <v>1557930144</v>
      </c>
      <c r="J4" s="45">
        <f>IFERROR(__xludf.DUMMYFUNCTION("""COMPUTED_VALUE"""),1.557930155E9)</f>
        <v>1557930155</v>
      </c>
      <c r="K4" s="45" t="str">
        <f>IFERROR(__xludf.DUMMYFUNCTION("""COMPUTED_VALUE"""),"Felipecaivano@gmail.com")</f>
        <v>Felipecaivano@gmail.com</v>
      </c>
      <c r="L4" s="45" t="str">
        <f>IFERROR(__xludf.DUMMYFUNCTION("""COMPUTED_VALUE"""),"Masculino")</f>
        <v>Masculino</v>
      </c>
      <c r="M4" s="45" t="str">
        <f>IFERROR(__xludf.DUMMYFUNCTION("""COMPUTED_VALUE"""),"N olivos")</f>
        <v>N olivos</v>
      </c>
      <c r="N4" s="45"/>
      <c r="O4" s="45" t="str">
        <f>IFERROR(__xludf.DUMMYFUNCTION("""COMPUTED_VALUE"""),"STAR")</f>
        <v>STAR</v>
      </c>
      <c r="P4" s="45"/>
      <c r="Q4" s="45">
        <f>IFERROR(__xludf.DUMMYFUNCTION("""COMPUTED_VALUE"""),8551.0)</f>
        <v>8551</v>
      </c>
      <c r="R4" s="45" t="str">
        <f>IFERROR(__xludf.DUMMYFUNCTION("""COMPUTED_VALUE"""),"Litle ítalo")</f>
        <v>Litle ítalo</v>
      </c>
      <c r="S4" s="45" t="str">
        <f>IFERROR(__xludf.DUMMYFUNCTION("""COMPUTED_VALUE"""),"Juan Pablo percossi")</f>
        <v>Juan Pablo percossi</v>
      </c>
      <c r="T4" s="45" t="str">
        <f>IFERROR(__xludf.DUMMYFUNCTION("""COMPUTED_VALUE"""),"Felipe caivano")</f>
        <v>Felipe caivano</v>
      </c>
      <c r="U4" s="45"/>
      <c r="V4" s="45"/>
      <c r="W4" s="45"/>
      <c r="X4" s="45"/>
      <c r="Y4" s="45"/>
      <c r="Z4" s="7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IFERROR(__xludf.DUMMYFUNCTION("""COMPUTED_VALUE"""),"Terminado")</f>
        <v>Terminado</v>
      </c>
      <c r="AC4" s="45">
        <f>IFERROR(__xludf.DUMMYFUNCTION("""COMPUTED_VALUE"""),60000.0)</f>
        <v>60000</v>
      </c>
      <c r="AD4" s="45">
        <f>IFERROR(__xludf.DUMMYFUNCTION("""COMPUTED_VALUE"""),205545.0)</f>
        <v>205545</v>
      </c>
      <c r="AE4" s="45" t="str">
        <f>IFERROR(__xludf.DUMMYFUNCTION("""COMPUTED_VALUE"""),"TRF 04-09")</f>
        <v>TRF 04-09</v>
      </c>
      <c r="AF4" s="45" t="str">
        <f>IFERROR(__xludf.DUMMYFUNCTION("""COMPUTED_VALUE"""),"No Corresp")</f>
        <v>No Corresp</v>
      </c>
      <c r="AG4" s="45"/>
    </row>
    <row r="5">
      <c r="B5" s="83">
        <f>IFERROR(__xludf.DUMMYFUNCTION("""COMPUTED_VALUE"""),45537.86399063657)</f>
        <v>45537.86399</v>
      </c>
      <c r="C5" s="43" t="str">
        <f>IFERROR(__xludf.DUMMYFUNCTION("""COMPUTED_VALUE"""),"Fede")</f>
        <v>Fede</v>
      </c>
      <c r="D5" s="43" t="str">
        <f>IFERROR(__xludf.DUMMYFUNCTION("""COMPUTED_VALUE"""),"Calegari")</f>
        <v>Calegari</v>
      </c>
      <c r="E5" s="43" t="str">
        <f>IFERROR(__xludf.DUMMYFUNCTION("""COMPUTED_VALUE"""),"Tigre")</f>
        <v>Tigre</v>
      </c>
      <c r="F5" s="7" t="str">
        <f>IFERROR(__xludf.DUMMYFUNCTION("""COMPUTED_VALUE"""),"ARG")</f>
        <v>ARG</v>
      </c>
      <c r="G5" s="7">
        <f>IFERROR(__xludf.DUMMYFUNCTION("""COMPUTED_VALUE"""),2.6435155E7)</f>
        <v>26435155</v>
      </c>
      <c r="H5" s="44">
        <f>IFERROR(__xludf.DUMMYFUNCTION("""COMPUTED_VALUE"""),28515.0)</f>
        <v>28515</v>
      </c>
      <c r="I5" s="45">
        <f>IFERROR(__xludf.DUMMYFUNCTION("""COMPUTED_VALUE"""),1.168536806E9)</f>
        <v>1168536806</v>
      </c>
      <c r="J5" s="45"/>
      <c r="K5" s="45" t="str">
        <f>IFERROR(__xludf.DUMMYFUNCTION("""COMPUTED_VALUE"""),"Fedecalegari@gmail.com")</f>
        <v>Fedecalegari@gmail.com</v>
      </c>
      <c r="L5" s="45" t="str">
        <f>IFERROR(__xludf.DUMMYFUNCTION("""COMPUTED_VALUE"""),"Masculino")</f>
        <v>Masculino</v>
      </c>
      <c r="M5" s="45" t="str">
        <f>IFERROR(__xludf.DUMMYFUNCTION("""COMPUTED_VALUE"""),"YCA CNO")</f>
        <v>YCA CNO</v>
      </c>
      <c r="N5" s="45"/>
      <c r="O5" s="45" t="str">
        <f>IFERROR(__xludf.DUMMYFUNCTION("""COMPUTED_VALUE"""),"STAR")</f>
        <v>STAR</v>
      </c>
      <c r="P5" s="45"/>
      <c r="Q5" s="45">
        <f>IFERROR(__xludf.DUMMYFUNCTION("""COMPUTED_VALUE"""),8239.0)</f>
        <v>8239</v>
      </c>
      <c r="R5" s="45" t="str">
        <f>IFERROR(__xludf.DUMMYFUNCTION("""COMPUTED_VALUE"""),"El Sexy")</f>
        <v>El Sexy</v>
      </c>
      <c r="S5" s="45" t="str">
        <f>IFERROR(__xludf.DUMMYFUNCTION("""COMPUTED_VALUE"""),"Chani González Otharan ")</f>
        <v>Chani González Otharan </v>
      </c>
      <c r="T5" s="45"/>
      <c r="U5" s="45"/>
      <c r="V5" s="45"/>
      <c r="W5" s="45"/>
      <c r="X5" s="45"/>
      <c r="Y5" s="45"/>
      <c r="Z5" s="7" t="str">
        <f>IFERROR(__xludf.DUMMYFUNCTION("""COMPUTED_VALUE"""),"No")</f>
        <v>No</v>
      </c>
      <c r="AA5" s="7" t="str">
        <f>IFERROR(__xludf.DUMMYFUNCTION("""COMPUTED_VALUE"""),"Acepto")</f>
        <v>Acepto</v>
      </c>
      <c r="AB5" s="7" t="str">
        <f>IFERROR(__xludf.DUMMYFUNCTION("""COMPUTED_VALUE"""),"Terminado")</f>
        <v>Terminado</v>
      </c>
      <c r="AC5" s="45">
        <f>IFERROR(__xludf.DUMMYFUNCTION("""COMPUTED_VALUE"""),60000.0)</f>
        <v>60000</v>
      </c>
      <c r="AD5" s="45">
        <f>IFERROR(__xludf.DUMMYFUNCTION("""COMPUTED_VALUE"""),205646.0)</f>
        <v>205646</v>
      </c>
      <c r="AE5" s="45" t="str">
        <f>IFERROR(__xludf.DUMMYFUNCTION("""COMPUTED_VALUE"""),"TRF 09-09")</f>
        <v>TRF 09-09</v>
      </c>
      <c r="AF5" s="45" t="str">
        <f>IFERROR(__xludf.DUMMYFUNCTION("""COMPUTED_VALUE"""),"No Corresp")</f>
        <v>No Corresp</v>
      </c>
      <c r="AG5" s="45"/>
    </row>
    <row r="6">
      <c r="B6" s="83">
        <f>IFERROR(__xludf.DUMMYFUNCTION("""COMPUTED_VALUE"""),45540.49187268519)</f>
        <v>45540.49187</v>
      </c>
      <c r="C6" s="43" t="str">
        <f>IFERROR(__xludf.DUMMYFUNCTION("""COMPUTED_VALUE"""),"Mariano")</f>
        <v>Mariano</v>
      </c>
      <c r="D6" s="43" t="str">
        <f>IFERROR(__xludf.DUMMYFUNCTION("""COMPUTED_VALUE"""),"Cambon")</f>
        <v>Cambon</v>
      </c>
      <c r="E6" s="43" t="str">
        <f>IFERROR(__xludf.DUMMYFUNCTION("""COMPUTED_VALUE"""),"Buenos Aires")</f>
        <v>Buenos Aires</v>
      </c>
      <c r="F6" s="7" t="str">
        <f>IFERROR(__xludf.DUMMYFUNCTION("""COMPUTED_VALUE"""),"ARG")</f>
        <v>ARG</v>
      </c>
      <c r="G6" s="7">
        <f>IFERROR(__xludf.DUMMYFUNCTION("""COMPUTED_VALUE"""),3.8068064E7)</f>
        <v>38068064</v>
      </c>
      <c r="H6" s="44">
        <f>IFERROR(__xludf.DUMMYFUNCTION("""COMPUTED_VALUE"""),34346.0)</f>
        <v>34346</v>
      </c>
      <c r="I6" s="45">
        <f>IFERROR(__xludf.DUMMYFUNCTION("""COMPUTED_VALUE"""),1.165857666E9)</f>
        <v>1165857666</v>
      </c>
      <c r="J6" s="45"/>
      <c r="K6" s="45" t="str">
        <f>IFERROR(__xludf.DUMMYFUNCTION("""COMPUTED_VALUE"""),"marianocambon@hotmail.com")</f>
        <v>marianocambon@hotmail.com</v>
      </c>
      <c r="L6" s="45" t="str">
        <f>IFERROR(__xludf.DUMMYFUNCTION("""COMPUTED_VALUE"""),"Masculino")</f>
        <v>Masculino</v>
      </c>
      <c r="M6" s="45" t="str">
        <f>IFERROR(__xludf.DUMMYFUNCTION("""COMPUTED_VALUE"""),"YCA-CNO")</f>
        <v>YCA-CNO</v>
      </c>
      <c r="N6" s="45"/>
      <c r="O6" s="45" t="str">
        <f>IFERROR(__xludf.DUMMYFUNCTION("""COMPUTED_VALUE"""),"STAR")</f>
        <v>STAR</v>
      </c>
      <c r="P6" s="45"/>
      <c r="Q6" s="45">
        <f>IFERROR(__xludf.DUMMYFUNCTION("""COMPUTED_VALUE"""),8251.0)</f>
        <v>8251</v>
      </c>
      <c r="R6" s="45" t="str">
        <f>IFERROR(__xludf.DUMMYFUNCTION("""COMPUTED_VALUE"""),"salsadesetas")</f>
        <v>salsadesetas</v>
      </c>
      <c r="S6" s="45" t="str">
        <f>IFERROR(__xludf.DUMMYFUNCTION("""COMPUTED_VALUE"""),"Martin Costa")</f>
        <v>Martin Costa</v>
      </c>
      <c r="T6" s="45"/>
      <c r="U6" s="45"/>
      <c r="V6" s="45"/>
      <c r="W6" s="45"/>
      <c r="X6" s="45"/>
      <c r="Y6" s="45"/>
      <c r="Z6" s="7" t="str">
        <f>IFERROR(__xludf.DUMMYFUNCTION("""COMPUTED_VALUE"""),"No")</f>
        <v>No</v>
      </c>
      <c r="AA6" s="7" t="str">
        <f>IFERROR(__xludf.DUMMYFUNCTION("""COMPUTED_VALUE"""),"Acepto")</f>
        <v>Acepto</v>
      </c>
      <c r="AB6" s="7" t="str">
        <f>IFERROR(__xludf.DUMMYFUNCTION("""COMPUTED_VALUE"""),"Terminado")</f>
        <v>Terminado</v>
      </c>
      <c r="AC6" s="45">
        <f>IFERROR(__xludf.DUMMYFUNCTION("""COMPUTED_VALUE"""),60000.0)</f>
        <v>60000</v>
      </c>
      <c r="AD6" s="45">
        <f>IFERROR(__xludf.DUMMYFUNCTION("""COMPUTED_VALUE"""),205470.0)</f>
        <v>205470</v>
      </c>
      <c r="AE6" s="45" t="str">
        <f>IFERROR(__xludf.DUMMYFUNCTION("""COMPUTED_VALUE"""),"Tarj 05-09")</f>
        <v>Tarj 05-09</v>
      </c>
      <c r="AF6" s="45" t="str">
        <f>IFERROR(__xludf.DUMMYFUNCTION("""COMPUTED_VALUE"""),"No Corresp")</f>
        <v>No Corresp</v>
      </c>
      <c r="AG6" s="45" t="str">
        <f>IFERROR(__xludf.DUMMYFUNCTION("""COMPUTED_VALUE"""),"Si")</f>
        <v>Si</v>
      </c>
    </row>
    <row r="7">
      <c r="B7" s="83">
        <f>IFERROR(__xludf.DUMMYFUNCTION("""COMPUTED_VALUE"""),45534.67229256945)</f>
        <v>45534.67229</v>
      </c>
      <c r="C7" s="43" t="str">
        <f>IFERROR(__xludf.DUMMYFUNCTION("""COMPUTED_VALUE"""),"Gerardo ")</f>
        <v>Gerardo </v>
      </c>
      <c r="D7" s="43" t="str">
        <f>IFERROR(__xludf.DUMMYFUNCTION("""COMPUTED_VALUE"""),"Della torre ")</f>
        <v>Della torre </v>
      </c>
      <c r="E7" s="43" t="str">
        <f>IFERROR(__xludf.DUMMYFUNCTION("""COMPUTED_VALUE"""),"Caba")</f>
        <v>Caba</v>
      </c>
      <c r="F7" s="7" t="str">
        <f>IFERROR(__xludf.DUMMYFUNCTION("""COMPUTED_VALUE"""),"ARG")</f>
        <v>ARG</v>
      </c>
      <c r="G7" s="7">
        <f>IFERROR(__xludf.DUMMYFUNCTION("""COMPUTED_VALUE"""),1.761721E7)</f>
        <v>17617210</v>
      </c>
      <c r="H7" s="44">
        <f>IFERROR(__xludf.DUMMYFUNCTION("""COMPUTED_VALUE"""),24044.0)</f>
        <v>24044</v>
      </c>
      <c r="I7" s="45">
        <f>IFERROR(__xludf.DUMMYFUNCTION("""COMPUTED_VALUE"""),1.557174369E9)</f>
        <v>1557174369</v>
      </c>
      <c r="J7" s="45" t="str">
        <f>IFERROR(__xludf.DUMMYFUNCTION("""COMPUTED_VALUE"""),"1700-1800 ")</f>
        <v>1700-1800 </v>
      </c>
      <c r="K7" s="45" t="str">
        <f>IFERROR(__xludf.DUMMYFUNCTION("""COMPUTED_VALUE"""),"Gddellatorre@hotmail.com")</f>
        <v>Gddellatorre@hotmail.com</v>
      </c>
      <c r="L7" s="45" t="str">
        <f>IFERROR(__xludf.DUMMYFUNCTION("""COMPUTED_VALUE"""),"Masculino")</f>
        <v>Masculino</v>
      </c>
      <c r="M7" s="45" t="str">
        <f>IFERROR(__xludf.DUMMYFUNCTION("""COMPUTED_VALUE"""),"Yco")</f>
        <v>Yco</v>
      </c>
      <c r="N7" s="45" t="str">
        <f>IFERROR(__xludf.DUMMYFUNCTION("""COMPUTED_VALUE"""),"Máster ")</f>
        <v>Máster </v>
      </c>
      <c r="O7" s="45" t="str">
        <f>IFERROR(__xludf.DUMMYFUNCTION("""COMPUTED_VALUE"""),"STAR")</f>
        <v>STAR</v>
      </c>
      <c r="P7" s="45"/>
      <c r="Q7" s="45">
        <f>IFERROR(__xludf.DUMMYFUNCTION("""COMPUTED_VALUE"""),7213.0)</f>
        <v>7213</v>
      </c>
      <c r="R7" s="45" t="str">
        <f>IFERROR(__xludf.DUMMYFUNCTION("""COMPUTED_VALUE"""),"Sexagenario")</f>
        <v>Sexagenario</v>
      </c>
      <c r="S7" s="45" t="str">
        <f>IFERROR(__xludf.DUMMYFUNCTION("""COMPUTED_VALUE"""),"Latour")</f>
        <v>Latour</v>
      </c>
      <c r="T7" s="45"/>
      <c r="U7" s="45"/>
      <c r="V7" s="45"/>
      <c r="W7" s="45"/>
      <c r="X7" s="45"/>
      <c r="Y7" s="45"/>
      <c r="Z7" s="7" t="str">
        <f>IFERROR(__xludf.DUMMYFUNCTION("""COMPUTED_VALUE"""),"Si")</f>
        <v>Si</v>
      </c>
      <c r="AA7" s="7" t="str">
        <f>IFERROR(__xludf.DUMMYFUNCTION("""COMPUTED_VALUE"""),"Acepto")</f>
        <v>Acepto</v>
      </c>
      <c r="AB7" s="7" t="str">
        <f>IFERROR(__xludf.DUMMYFUNCTION("""COMPUTED_VALUE"""),"Pendiente")</f>
        <v>Pendiente</v>
      </c>
      <c r="AC7" s="45"/>
      <c r="AD7" s="45"/>
      <c r="AE7" s="45"/>
      <c r="AF7" s="45" t="str">
        <f>IFERROR(__xludf.DUMMYFUNCTION("""COMPUTED_VALUE"""),"No Corresp")</f>
        <v>No Corresp</v>
      </c>
      <c r="AG7" s="45"/>
    </row>
    <row r="8">
      <c r="B8" s="83">
        <f>IFERROR(__xludf.DUMMYFUNCTION("""COMPUTED_VALUE"""),45538.57012512731)</f>
        <v>45538.57013</v>
      </c>
      <c r="C8" s="43" t="str">
        <f>IFERROR(__xludf.DUMMYFUNCTION("""COMPUTED_VALUE"""),"MARTIN")</f>
        <v>MARTIN</v>
      </c>
      <c r="D8" s="43" t="str">
        <f>IFERROR(__xludf.DUMMYFUNCTION("""COMPUTED_VALUE"""),"FERRERO")</f>
        <v>FERRERO</v>
      </c>
      <c r="E8" s="43" t="str">
        <f>IFERROR(__xludf.DUMMYFUNCTION("""COMPUTED_VALUE"""),"BECCAR")</f>
        <v>BECCAR</v>
      </c>
      <c r="F8" s="7" t="str">
        <f>IFERROR(__xludf.DUMMYFUNCTION("""COMPUTED_VALUE"""),"ARG")</f>
        <v>ARG</v>
      </c>
      <c r="G8" s="7">
        <f>IFERROR(__xludf.DUMMYFUNCTION("""COMPUTED_VALUE"""),4.0232001E7)</f>
        <v>40232001</v>
      </c>
      <c r="H8" s="44">
        <f>IFERROR(__xludf.DUMMYFUNCTION("""COMPUTED_VALUE"""),35461.0)</f>
        <v>35461</v>
      </c>
      <c r="I8" s="45">
        <f>IFERROR(__xludf.DUMMYFUNCTION("""COMPUTED_VALUE"""),1.134563101E9)</f>
        <v>1134563101</v>
      </c>
      <c r="J8" s="45"/>
      <c r="K8" s="45" t="str">
        <f>IFERROR(__xludf.DUMMYFUNCTION("""COMPUTED_VALUE"""),"martinpedroferrero@gmail.com")</f>
        <v>martinpedroferrero@gmail.com</v>
      </c>
      <c r="L8" s="45" t="str">
        <f>IFERROR(__xludf.DUMMYFUNCTION("""COMPUTED_VALUE"""),"Masculino")</f>
        <v>Masculino</v>
      </c>
      <c r="M8" s="45" t="str">
        <f>IFERROR(__xludf.DUMMYFUNCTION("""COMPUTED_VALUE"""),"YCA-CNO")</f>
        <v>YCA-CNO</v>
      </c>
      <c r="N8" s="45" t="str">
        <f>IFERROR(__xludf.DUMMYFUNCTION("""COMPUTED_VALUE"""),"U30")</f>
        <v>U30</v>
      </c>
      <c r="O8" s="45" t="str">
        <f>IFERROR(__xludf.DUMMYFUNCTION("""COMPUTED_VALUE"""),"STAR")</f>
        <v>STAR</v>
      </c>
      <c r="P8" s="45"/>
      <c r="Q8" s="45">
        <f>IFERROR(__xludf.DUMMYFUNCTION("""COMPUTED_VALUE"""),7700.0)</f>
        <v>7700</v>
      </c>
      <c r="R8" s="45" t="str">
        <f>IFERROR(__xludf.DUMMYFUNCTION("""COMPUTED_VALUE"""),"ERAUFDUOCS")</f>
        <v>ERAUFDUOCS</v>
      </c>
      <c r="S8" s="45" t="str">
        <f>IFERROR(__xludf.DUMMYFUNCTION("""COMPUTED_VALUE"""),"TOMAS FIORITI-JAVIER SIRO")</f>
        <v>TOMAS FIORITI-JAVIER SIRO</v>
      </c>
      <c r="T8" s="45"/>
      <c r="U8" s="45"/>
      <c r="V8" s="45"/>
      <c r="W8" s="45"/>
      <c r="X8" s="45"/>
      <c r="Y8" s="45" t="str">
        <f>IFERROR(__xludf.DUMMYFUNCTION("""COMPUTED_VALUE"""),"OSDE")</f>
        <v>OSDE</v>
      </c>
      <c r="Z8" s="7" t="str">
        <f>IFERROR(__xludf.DUMMYFUNCTION("""COMPUTED_VALUE"""),"No")</f>
        <v>No</v>
      </c>
      <c r="AA8" s="7" t="str">
        <f>IFERROR(__xludf.DUMMYFUNCTION("""COMPUTED_VALUE"""),"Acepto")</f>
        <v>Acepto</v>
      </c>
      <c r="AB8" s="7" t="str">
        <f>IFERROR(__xludf.DUMMYFUNCTION("""COMPUTED_VALUE"""),"Terminado")</f>
        <v>Terminado</v>
      </c>
      <c r="AC8" s="45">
        <f>IFERROR(__xludf.DUMMYFUNCTION("""COMPUTED_VALUE"""),60000.0)</f>
        <v>60000</v>
      </c>
      <c r="AD8" s="45">
        <f>IFERROR(__xludf.DUMMYFUNCTION("""COMPUTED_VALUE"""),205549.0)</f>
        <v>205549</v>
      </c>
      <c r="AE8" s="45" t="str">
        <f>IFERROR(__xludf.DUMMYFUNCTION("""COMPUTED_VALUE"""),"Tarj 07-09")</f>
        <v>Tarj 07-09</v>
      </c>
      <c r="AF8" s="45" t="str">
        <f>IFERROR(__xludf.DUMMYFUNCTION("""COMPUTED_VALUE"""),"No Corresp")</f>
        <v>No Corresp</v>
      </c>
      <c r="AG8" s="45"/>
    </row>
    <row r="9">
      <c r="B9" s="83">
        <f>IFERROR(__xludf.DUMMYFUNCTION("""COMPUTED_VALUE"""),45536.89442277778)</f>
        <v>45536.89442</v>
      </c>
      <c r="C9" s="43" t="str">
        <f>IFERROR(__xludf.DUMMYFUNCTION("""COMPUTED_VALUE"""),"Juan Martin ")</f>
        <v>Juan Martin </v>
      </c>
      <c r="D9" s="43" t="str">
        <f>IFERROR(__xludf.DUMMYFUNCTION("""COMPUTED_VALUE"""),"Locatelli")</f>
        <v>Locatelli</v>
      </c>
      <c r="E9" s="43" t="str">
        <f>IFERROR(__xludf.DUMMYFUNCTION("""COMPUTED_VALUE"""),"Vicente Lopez")</f>
        <v>Vicente Lopez</v>
      </c>
      <c r="F9" s="7" t="str">
        <f>IFERROR(__xludf.DUMMYFUNCTION("""COMPUTED_VALUE"""),"ARG")</f>
        <v>ARG</v>
      </c>
      <c r="G9" s="7">
        <f>IFERROR(__xludf.DUMMYFUNCTION("""COMPUTED_VALUE"""),2.2826013E7)</f>
        <v>22826013</v>
      </c>
      <c r="H9" s="44">
        <f>IFERROR(__xludf.DUMMYFUNCTION("""COMPUTED_VALUE"""),26535.0)</f>
        <v>26535</v>
      </c>
      <c r="I9" s="45" t="str">
        <f>IFERROR(__xludf.DUMMYFUNCTION("""COMPUTED_VALUE"""),"01154561383")</f>
        <v>01154561383</v>
      </c>
      <c r="J9" s="45" t="str">
        <f>IFERROR(__xludf.DUMMYFUNCTION("""COMPUTED_VALUE"""),"01150229370")</f>
        <v>01150229370</v>
      </c>
      <c r="K9" s="45" t="str">
        <f>IFERROR(__xludf.DUMMYFUNCTION("""COMPUTED_VALUE"""),"juanlocatelli@gmail.com")</f>
        <v>juanlocatelli@gmail.com</v>
      </c>
      <c r="L9" s="45" t="str">
        <f>IFERROR(__xludf.DUMMYFUNCTION("""COMPUTED_VALUE"""),"Masculino")</f>
        <v>Masculino</v>
      </c>
      <c r="M9" s="45" t="str">
        <f>IFERROR(__xludf.DUMMYFUNCTION("""COMPUTED_VALUE"""),"CNO")</f>
        <v>CNO</v>
      </c>
      <c r="N9" s="45" t="str">
        <f>IFERROR(__xludf.DUMMYFUNCTION("""COMPUTED_VALUE"""),"Star")</f>
        <v>Star</v>
      </c>
      <c r="O9" s="45" t="str">
        <f>IFERROR(__xludf.DUMMYFUNCTION("""COMPUTED_VALUE"""),"STAR")</f>
        <v>STAR</v>
      </c>
      <c r="P9" s="45"/>
      <c r="Q9" s="45">
        <f>IFERROR(__xludf.DUMMYFUNCTION("""COMPUTED_VALUE"""),7907.0)</f>
        <v>7907</v>
      </c>
      <c r="R9" s="45" t="str">
        <f>IFERROR(__xludf.DUMMYFUNCTION("""COMPUTED_VALUE"""),"Charly Whisky")</f>
        <v>Charly Whisky</v>
      </c>
      <c r="S9" s="45" t="str">
        <f>IFERROR(__xludf.DUMMYFUNCTION("""COMPUTED_VALUE"""),"Nasim Iusef")</f>
        <v>Nasim Iusef</v>
      </c>
      <c r="T9" s="45"/>
      <c r="U9" s="45"/>
      <c r="V9" s="45"/>
      <c r="W9" s="45"/>
      <c r="X9" s="45"/>
      <c r="Y9" s="45" t="str">
        <f>IFERROR(__xludf.DUMMYFUNCTION("""COMPUTED_VALUE"""),"OSDE")</f>
        <v>OSDE</v>
      </c>
      <c r="Z9" s="7" t="str">
        <f>IFERROR(__xludf.DUMMYFUNCTION("""COMPUTED_VALUE"""),"No")</f>
        <v>No</v>
      </c>
      <c r="AA9" s="7" t="str">
        <f>IFERROR(__xludf.DUMMYFUNCTION("""COMPUTED_VALUE"""),"Acepto")</f>
        <v>Acepto</v>
      </c>
      <c r="AB9" s="7" t="str">
        <f>IFERROR(__xludf.DUMMYFUNCTION("""COMPUTED_VALUE"""),"Terminado")</f>
        <v>Terminado</v>
      </c>
      <c r="AC9" s="45">
        <f>IFERROR(__xludf.DUMMYFUNCTION("""COMPUTED_VALUE"""),60000.0)</f>
        <v>60000</v>
      </c>
      <c r="AD9" s="45">
        <f>IFERROR(__xludf.DUMMYFUNCTION("""COMPUTED_VALUE"""),205560.0)</f>
        <v>205560</v>
      </c>
      <c r="AE9" s="45" t="str">
        <f>IFERROR(__xludf.DUMMYFUNCTION("""COMPUTED_VALUE"""),"TRF 06-09")</f>
        <v>TRF 06-09</v>
      </c>
      <c r="AF9" s="45" t="str">
        <f>IFERROR(__xludf.DUMMYFUNCTION("""COMPUTED_VALUE"""),"No Corresp")</f>
        <v>No Corresp</v>
      </c>
      <c r="AG9" s="45"/>
    </row>
    <row r="10">
      <c r="B10" s="83">
        <f>IFERROR(__xludf.DUMMYFUNCTION("""COMPUTED_VALUE"""),45538.51196900463)</f>
        <v>45538.51197</v>
      </c>
      <c r="C10" s="43" t="str">
        <f>IFERROR(__xludf.DUMMYFUNCTION("""COMPUTED_VALUE"""),"Fabian")</f>
        <v>Fabian</v>
      </c>
      <c r="D10" s="43" t="str">
        <f>IFERROR(__xludf.DUMMYFUNCTION("""COMPUTED_VALUE"""),"Mac Gowan")</f>
        <v>Mac Gowan</v>
      </c>
      <c r="E10" s="43" t="str">
        <f>IFERROR(__xludf.DUMMYFUNCTION("""COMPUTED_VALUE"""),"Buenas aires")</f>
        <v>Buenas aires</v>
      </c>
      <c r="F10" s="7" t="str">
        <f>IFERROR(__xludf.DUMMYFUNCTION("""COMPUTED_VALUE"""),"ARG")</f>
        <v>ARG</v>
      </c>
      <c r="G10" s="7">
        <f>IFERROR(__xludf.DUMMYFUNCTION("""COMPUTED_VALUE"""),2.0606502E7)</f>
        <v>20606502</v>
      </c>
      <c r="H10" s="44">
        <f>IFERROR(__xludf.DUMMYFUNCTION("""COMPUTED_VALUE"""),25203.0)</f>
        <v>25203</v>
      </c>
      <c r="I10" s="45">
        <f>IFERROR(__xludf.DUMMYFUNCTION("""COMPUTED_VALUE"""),1.144285743E9)</f>
        <v>1144285743</v>
      </c>
      <c r="J10" s="45"/>
      <c r="K10" s="45" t="str">
        <f>IFERROR(__xludf.DUMMYFUNCTION("""COMPUTED_VALUE"""),"Sarexpress12@gmail.com")</f>
        <v>Sarexpress12@gmail.com</v>
      </c>
      <c r="L10" s="45" t="str">
        <f>IFERROR(__xludf.DUMMYFUNCTION("""COMPUTED_VALUE"""),"Masculino")</f>
        <v>Masculino</v>
      </c>
      <c r="M10" s="45" t="str">
        <f>IFERROR(__xludf.DUMMYFUNCTION("""COMPUTED_VALUE"""),"CNSE")</f>
        <v>CNSE</v>
      </c>
      <c r="N10" s="45" t="str">
        <f>IFERROR(__xludf.DUMMYFUNCTION("""COMPUTED_VALUE"""),"Master")</f>
        <v>Master</v>
      </c>
      <c r="O10" s="45" t="str">
        <f>IFERROR(__xludf.DUMMYFUNCTION("""COMPUTED_VALUE"""),"STAR")</f>
        <v>STAR</v>
      </c>
      <c r="P10" s="45"/>
      <c r="Q10" s="45">
        <f>IFERROR(__xludf.DUMMYFUNCTION("""COMPUTED_VALUE"""),8008.0)</f>
        <v>8008</v>
      </c>
      <c r="R10" s="45" t="str">
        <f>IFERROR(__xludf.DUMMYFUNCTION("""COMPUTED_VALUE"""),"NTA")</f>
        <v>NTA</v>
      </c>
      <c r="S10" s="45" t="str">
        <f>IFERROR(__xludf.DUMMYFUNCTION("""COMPUTED_VALUE"""),"Nicolás Rosas")</f>
        <v>Nicolás Rosas</v>
      </c>
      <c r="T10" s="45"/>
      <c r="U10" s="45"/>
      <c r="V10" s="45"/>
      <c r="W10" s="45"/>
      <c r="X10" s="45"/>
      <c r="Y10" s="45" t="str">
        <f>IFERROR(__xludf.DUMMYFUNCTION("""COMPUTED_VALUE"""),"OSDE ")</f>
        <v>OSDE </v>
      </c>
      <c r="Z10" s="7" t="str">
        <f>IFERROR(__xludf.DUMMYFUNCTION("""COMPUTED_VALUE"""),"No")</f>
        <v>No</v>
      </c>
      <c r="AA10" s="7" t="str">
        <f>IFERROR(__xludf.DUMMYFUNCTION("""COMPUTED_VALUE"""),"Acepto")</f>
        <v>Acepto</v>
      </c>
      <c r="AB10" s="7" t="str">
        <f>IFERROR(__xludf.DUMMYFUNCTION("""COMPUTED_VALUE"""),"Terminado")</f>
        <v>Terminado</v>
      </c>
      <c r="AC10" s="45">
        <f>IFERROR(__xludf.DUMMYFUNCTION("""COMPUTED_VALUE"""),60000.0)</f>
        <v>60000</v>
      </c>
      <c r="AD10" s="45">
        <f>IFERROR(__xludf.DUMMYFUNCTION("""COMPUTED_VALUE"""),205379.0)</f>
        <v>205379</v>
      </c>
      <c r="AE10" s="45" t="str">
        <f>IFERROR(__xludf.DUMMYFUNCTION("""COMPUTED_VALUE"""),"Tarj 03-09")</f>
        <v>Tarj 03-09</v>
      </c>
      <c r="AF10" s="45" t="str">
        <f>IFERROR(__xludf.DUMMYFUNCTION("""COMPUTED_VALUE"""),"No Corresp")</f>
        <v>No Corresp</v>
      </c>
      <c r="AG10" s="45" t="str">
        <f>IFERROR(__xludf.DUMMYFUNCTION("""COMPUTED_VALUE"""),"Si")</f>
        <v>Si</v>
      </c>
    </row>
    <row r="11">
      <c r="B11" s="83">
        <f>IFERROR(__xludf.DUMMYFUNCTION("""COMPUTED_VALUE"""),45536.52171349537)</f>
        <v>45536.52171</v>
      </c>
      <c r="C11" s="43" t="str">
        <f>IFERROR(__xludf.DUMMYFUNCTION("""COMPUTED_VALUE"""),"Erich")</f>
        <v>Erich</v>
      </c>
      <c r="D11" s="43" t="str">
        <f>IFERROR(__xludf.DUMMYFUNCTION("""COMPUTED_VALUE"""),"Mones")</f>
        <v>Mones</v>
      </c>
      <c r="E11" s="43" t="str">
        <f>IFERROR(__xludf.DUMMYFUNCTION("""COMPUTED_VALUE"""),"Buenos Aires")</f>
        <v>Buenos Aires</v>
      </c>
      <c r="F11" s="7" t="str">
        <f>IFERROR(__xludf.DUMMYFUNCTION("""COMPUTED_VALUE"""),"ARG")</f>
        <v>ARG</v>
      </c>
      <c r="G11" s="7">
        <f>IFERROR(__xludf.DUMMYFUNCTION("""COMPUTED_VALUE"""),2.5096975E7)</f>
        <v>25096975</v>
      </c>
      <c r="H11" s="44">
        <f>IFERROR(__xludf.DUMMYFUNCTION("""COMPUTED_VALUE"""),27746.0)</f>
        <v>27746</v>
      </c>
      <c r="I11" s="45">
        <f>IFERROR(__xludf.DUMMYFUNCTION("""COMPUTED_VALUE"""),1.305793388E10)</f>
        <v>13057933880</v>
      </c>
      <c r="J11" s="45">
        <f>IFERROR(__xludf.DUMMYFUNCTION("""COMPUTED_VALUE"""),1.171632121E9)</f>
        <v>1171632121</v>
      </c>
      <c r="K11" s="45" t="str">
        <f>IFERROR(__xludf.DUMMYFUNCTION("""COMPUTED_VALUE"""),"Mones1050@gmail.com")</f>
        <v>Mones1050@gmail.com</v>
      </c>
      <c r="L11" s="45" t="str">
        <f>IFERROR(__xludf.DUMMYFUNCTION("""COMPUTED_VALUE"""),"Masculino")</f>
        <v>Masculino</v>
      </c>
      <c r="M11" s="45" t="str">
        <f>IFERROR(__xludf.DUMMYFUNCTION("""COMPUTED_VALUE"""),"CNO")</f>
        <v>CNO</v>
      </c>
      <c r="N11" s="45"/>
      <c r="O11" s="45" t="str">
        <f>IFERROR(__xludf.DUMMYFUNCTION("""COMPUTED_VALUE"""),"STAR")</f>
        <v>STAR</v>
      </c>
      <c r="P11" s="45"/>
      <c r="Q11" s="45">
        <f>IFERROR(__xludf.DUMMYFUNCTION("""COMPUTED_VALUE"""),8285.0)</f>
        <v>8285</v>
      </c>
      <c r="R11" s="45"/>
      <c r="S11" s="45" t="str">
        <f>IFERROR(__xludf.DUMMYFUNCTION("""COMPUTED_VALUE"""),"Julian Gasari")</f>
        <v>Julian Gasari</v>
      </c>
      <c r="T11" s="45"/>
      <c r="U11" s="45"/>
      <c r="V11" s="45"/>
      <c r="W11" s="45"/>
      <c r="X11" s="45"/>
      <c r="Y11" s="45" t="str">
        <f>IFERROR(__xludf.DUMMYFUNCTION("""COMPUTED_VALUE"""),"Swiss Medical")</f>
        <v>Swiss Medical</v>
      </c>
      <c r="Z11" s="7" t="str">
        <f>IFERROR(__xludf.DUMMYFUNCTION("""COMPUTED_VALUE"""),"No")</f>
        <v>No</v>
      </c>
      <c r="AA11" s="7" t="str">
        <f>IFERROR(__xludf.DUMMYFUNCTION("""COMPUTED_VALUE"""),"Acepto")</f>
        <v>Acepto</v>
      </c>
      <c r="AB11" s="7" t="str">
        <f>IFERROR(__xludf.DUMMYFUNCTION("""COMPUTED_VALUE"""),"Terminado")</f>
        <v>Terminado</v>
      </c>
      <c r="AC11" s="45">
        <f>IFERROR(__xludf.DUMMYFUNCTION("""COMPUTED_VALUE"""),60000.0)</f>
        <v>60000</v>
      </c>
      <c r="AD11" s="45">
        <f>IFERROR(__xludf.DUMMYFUNCTION("""COMPUTED_VALUE"""),205414.0)</f>
        <v>205414</v>
      </c>
      <c r="AE11" s="45" t="str">
        <f>IFERROR(__xludf.DUMMYFUNCTION("""COMPUTED_VALUE"""),"TRF 02-09")</f>
        <v>TRF 02-09</v>
      </c>
      <c r="AF11" s="45" t="str">
        <f>IFERROR(__xludf.DUMMYFUNCTION("""COMPUTED_VALUE"""),"No Corresp")</f>
        <v>No Corresp</v>
      </c>
      <c r="AG11" s="45"/>
    </row>
    <row r="12">
      <c r="B12" s="83">
        <f>IFERROR(__xludf.DUMMYFUNCTION("""COMPUTED_VALUE"""),45534.61079976852)</f>
        <v>45534.6108</v>
      </c>
      <c r="C12" s="43" t="str">
        <f>IFERROR(__xludf.DUMMYFUNCTION("""COMPUTED_VALUE"""),"fernando")</f>
        <v>fernando</v>
      </c>
      <c r="D12" s="43" t="str">
        <f>IFERROR(__xludf.DUMMYFUNCTION("""COMPUTED_VALUE"""),"Queirel")</f>
        <v>Queirel</v>
      </c>
      <c r="E12" s="43" t="str">
        <f>IFERROR(__xludf.DUMMYFUNCTION("""COMPUTED_VALUE"""),"la plata")</f>
        <v>la plata</v>
      </c>
      <c r="F12" s="7" t="str">
        <f>IFERROR(__xludf.DUMMYFUNCTION("""COMPUTED_VALUE"""),"ARG")</f>
        <v>ARG</v>
      </c>
      <c r="G12" s="7">
        <f>IFERROR(__xludf.DUMMYFUNCTION("""COMPUTED_VALUE"""),1.2707219E7)</f>
        <v>12707219</v>
      </c>
      <c r="H12" s="44">
        <f>IFERROR(__xludf.DUMMYFUNCTION("""COMPUTED_VALUE"""),20757.0)</f>
        <v>20757</v>
      </c>
      <c r="I12" s="45">
        <f>IFERROR(__xludf.DUMMYFUNCTION("""COMPUTED_VALUE"""),2.215018401E9)</f>
        <v>2215018401</v>
      </c>
      <c r="J12" s="45">
        <f>IFERROR(__xludf.DUMMYFUNCTION("""COMPUTED_VALUE"""),2.215220469E9)</f>
        <v>2215220469</v>
      </c>
      <c r="K12" s="45" t="str">
        <f>IFERROR(__xludf.DUMMYFUNCTION("""COMPUTED_VALUE"""),"cfqueirel@hotmail.com")</f>
        <v>cfqueirel@hotmail.com</v>
      </c>
      <c r="L12" s="45" t="str">
        <f>IFERROR(__xludf.DUMMYFUNCTION("""COMPUTED_VALUE"""),"Masculino")</f>
        <v>Masculino</v>
      </c>
      <c r="M12" s="45" t="str">
        <f>IFERROR(__xludf.DUMMYFUNCTION("""COMPUTED_VALUE"""),"crlp")</f>
        <v>crlp</v>
      </c>
      <c r="N12" s="45" t="str">
        <f>IFERROR(__xludf.DUMMYFUNCTION("""COMPUTED_VALUE"""),"gran master")</f>
        <v>gran master</v>
      </c>
      <c r="O12" s="45" t="str">
        <f>IFERROR(__xludf.DUMMYFUNCTION("""COMPUTED_VALUE"""),"STAR")</f>
        <v>STAR</v>
      </c>
      <c r="P12" s="45"/>
      <c r="Q12" s="45">
        <f>IFERROR(__xludf.DUMMYFUNCTION("""COMPUTED_VALUE"""),7885.0)</f>
        <v>7885</v>
      </c>
      <c r="R12" s="45" t="str">
        <f>IFERROR(__xludf.DUMMYFUNCTION("""COMPUTED_VALUE"""),"sn")</f>
        <v>sn</v>
      </c>
      <c r="S12" s="45" t="str">
        <f>IFERROR(__xludf.DUMMYFUNCTION("""COMPUTED_VALUE"""),"Valentin Queirel")</f>
        <v>Valentin Queirel</v>
      </c>
      <c r="T12" s="45"/>
      <c r="U12" s="45"/>
      <c r="V12" s="45"/>
      <c r="W12" s="45"/>
      <c r="X12" s="45"/>
      <c r="Y12" s="45"/>
      <c r="Z12" s="7" t="str">
        <f>IFERROR(__xludf.DUMMYFUNCTION("""COMPUTED_VALUE"""),"Si")</f>
        <v>Si</v>
      </c>
      <c r="AA12" s="7" t="str">
        <f>IFERROR(__xludf.DUMMYFUNCTION("""COMPUTED_VALUE"""),"Acepto")</f>
        <v>Acepto</v>
      </c>
      <c r="AB12" s="7" t="str">
        <f>IFERROR(__xludf.DUMMYFUNCTION("""COMPUTED_VALUE"""),"Terminado")</f>
        <v>Terminado</v>
      </c>
      <c r="AC12" s="45">
        <f>IFERROR(__xludf.DUMMYFUNCTION("""COMPUTED_VALUE"""),60000.0)</f>
        <v>60000</v>
      </c>
      <c r="AD12" s="45">
        <f>IFERROR(__xludf.DUMMYFUNCTION("""COMPUTED_VALUE"""),205417.0)</f>
        <v>205417</v>
      </c>
      <c r="AE12" s="45" t="str">
        <f>IFERROR(__xludf.DUMMYFUNCTION("""COMPUTED_VALUE"""),"TRF 03-09 y 05-09")</f>
        <v>TRF 03-09 y 05-09</v>
      </c>
      <c r="AF12" s="45" t="str">
        <f>IFERROR(__xludf.DUMMYFUNCTION("""COMPUTED_VALUE"""),"No Corresp")</f>
        <v>No Corresp</v>
      </c>
      <c r="AG12" s="45"/>
    </row>
    <row r="13">
      <c r="B13" s="83">
        <f>IFERROR(__xludf.DUMMYFUNCTION("""COMPUTED_VALUE"""),45536.90592196759)</f>
        <v>45536.90592</v>
      </c>
      <c r="C13" s="45" t="str">
        <f>IFERROR(__xludf.DUMMYFUNCTION("""COMPUTED_VALUE"""),"FABIO")</f>
        <v>FABIO</v>
      </c>
      <c r="D13" s="7" t="str">
        <f>IFERROR(__xludf.DUMMYFUNCTION("""COMPUTED_VALUE"""),"SCARPATI")</f>
        <v>SCARPATI</v>
      </c>
      <c r="E13" s="7" t="str">
        <f>IFERROR(__xludf.DUMMYFUNCTION("""COMPUTED_VALUE"""),"Bs as")</f>
        <v>Bs as</v>
      </c>
      <c r="F13" s="7" t="str">
        <f>IFERROR(__xludf.DUMMYFUNCTION("""COMPUTED_VALUE"""),"ARG")</f>
        <v>ARG</v>
      </c>
      <c r="G13" s="7">
        <f>IFERROR(__xludf.DUMMYFUNCTION("""COMPUTED_VALUE"""),1.7962134E7)</f>
        <v>17962134</v>
      </c>
      <c r="H13" s="44">
        <f>IFERROR(__xludf.DUMMYFUNCTION("""COMPUTED_VALUE"""),24104.0)</f>
        <v>24104</v>
      </c>
      <c r="I13" s="45">
        <f>IFERROR(__xludf.DUMMYFUNCTION("""COMPUTED_VALUE"""),1.135720818E9)</f>
        <v>1135720818</v>
      </c>
      <c r="J13" s="45">
        <f>IFERROR(__xludf.DUMMYFUNCTION("""COMPUTED_VALUE"""),1.150041298E9)</f>
        <v>1150041298</v>
      </c>
      <c r="K13" s="45" t="str">
        <f>IFERROR(__xludf.DUMMYFUNCTION("""COMPUTED_VALUE"""),"scarpatifabio@hotmail.com")</f>
        <v>scarpatifabio@hotmail.com</v>
      </c>
      <c r="L13" s="45" t="str">
        <f>IFERROR(__xludf.DUMMYFUNCTION("""COMPUTED_VALUE"""),"Masculino")</f>
        <v>Masculino</v>
      </c>
      <c r="M13" s="45" t="str">
        <f>IFERROR(__xludf.DUMMYFUNCTION("""COMPUTED_VALUE"""),"CNO/CNGSM")</f>
        <v>CNO/CNGSM</v>
      </c>
      <c r="N13" s="45" t="str">
        <f>IFERROR(__xludf.DUMMYFUNCTION("""COMPUTED_VALUE"""),"Mixto")</f>
        <v>Mixto</v>
      </c>
      <c r="O13" s="45" t="str">
        <f>IFERROR(__xludf.DUMMYFUNCTION("""COMPUTED_VALUE"""),"STAR")</f>
        <v>STAR</v>
      </c>
      <c r="P13" s="45"/>
      <c r="Q13" s="45" t="str">
        <f>IFERROR(__xludf.DUMMYFUNCTION("""COMPUTED_VALUE"""),"ARG 8061")</f>
        <v>ARG 8061</v>
      </c>
      <c r="R13" s="45" t="str">
        <f>IFERROR(__xludf.DUMMYFUNCTION("""COMPUTED_VALUE"""),"ES DE ELLA")</f>
        <v>ES DE ELLA</v>
      </c>
      <c r="S13" s="45" t="str">
        <f>IFERROR(__xludf.DUMMYFUNCTION("""COMPUTED_VALUE"""),"SILVINA OTADO")</f>
        <v>SILVINA OTADO</v>
      </c>
      <c r="T13" s="45"/>
      <c r="U13" s="45"/>
      <c r="V13" s="45"/>
      <c r="W13" s="45"/>
      <c r="X13" s="45"/>
      <c r="Y13" s="45"/>
      <c r="Z13" s="45" t="str">
        <f>IFERROR(__xludf.DUMMYFUNCTION("""COMPUTED_VALUE"""),"No")</f>
        <v>No</v>
      </c>
      <c r="AA13" s="45" t="str">
        <f>IFERROR(__xludf.DUMMYFUNCTION("""COMPUTED_VALUE"""),"Acepto")</f>
        <v>Acepto</v>
      </c>
      <c r="AB13" s="45" t="str">
        <f>IFERROR(__xludf.DUMMYFUNCTION("""COMPUTED_VALUE"""),"Terminado")</f>
        <v>Terminado</v>
      </c>
      <c r="AC13" s="45">
        <f>IFERROR(__xludf.DUMMYFUNCTION("""COMPUTED_VALUE"""),60000.0)</f>
        <v>60000</v>
      </c>
      <c r="AD13" s="45">
        <f>IFERROR(__xludf.DUMMYFUNCTION("""COMPUTED_VALUE"""),205392.0)</f>
        <v>205392</v>
      </c>
      <c r="AE13" s="45" t="str">
        <f>IFERROR(__xludf.DUMMYFUNCTION("""COMPUTED_VALUE"""),"TRF 02-09")</f>
        <v>TRF 02-09</v>
      </c>
      <c r="AF13" s="45" t="str">
        <f>IFERROR(__xludf.DUMMYFUNCTION("""COMPUTED_VALUE"""),"No Corresp")</f>
        <v>No Corresp</v>
      </c>
      <c r="AG13" s="45"/>
    </row>
    <row r="14">
      <c r="B14" s="83">
        <f>IFERROR(__xludf.DUMMYFUNCTION("""COMPUTED_VALUE"""),45541.66124997685)</f>
        <v>45541.66125</v>
      </c>
      <c r="C14" s="45" t="str">
        <f>IFERROR(__xludf.DUMMYFUNCTION("""COMPUTED_VALUE"""),"Felipe")</f>
        <v>Felipe</v>
      </c>
      <c r="D14" s="7" t="str">
        <f>IFERROR(__xludf.DUMMYFUNCTION("""COMPUTED_VALUE"""),"Caivano")</f>
        <v>Caivano</v>
      </c>
      <c r="E14" s="7" t="str">
        <f>IFERROR(__xludf.DUMMYFUNCTION("""COMPUTED_VALUE"""),"Buenos aires")</f>
        <v>Buenos aires</v>
      </c>
      <c r="F14" s="7" t="str">
        <f>IFERROR(__xludf.DUMMYFUNCTION("""COMPUTED_VALUE"""),"ARG")</f>
        <v>ARG</v>
      </c>
      <c r="G14" s="7">
        <f>IFERROR(__xludf.DUMMYFUNCTION("""COMPUTED_VALUE"""),3.2133238E7)</f>
        <v>32133238</v>
      </c>
      <c r="H14" s="44">
        <f>IFERROR(__xludf.DUMMYFUNCTION("""COMPUTED_VALUE"""),31461.0)</f>
        <v>31461</v>
      </c>
      <c r="I14" s="45">
        <f>IFERROR(__xludf.DUMMYFUNCTION("""COMPUTED_VALUE"""),1.557930144E9)</f>
        <v>1557930144</v>
      </c>
      <c r="J14" s="45"/>
      <c r="K14" s="45" t="str">
        <f>IFERROR(__xludf.DUMMYFUNCTION("""COMPUTED_VALUE"""),"felipecaivano @gmail.con")</f>
        <v>felipecaivano @gmail.con</v>
      </c>
      <c r="L14" s="45" t="str">
        <f>IFERROR(__xludf.DUMMYFUNCTION("""COMPUTED_VALUE"""),"Masculino")</f>
        <v>Masculino</v>
      </c>
      <c r="M14" s="45" t="str">
        <f>IFERROR(__xludf.DUMMYFUNCTION("""COMPUTED_VALUE"""),"No")</f>
        <v>No</v>
      </c>
      <c r="N14" s="45"/>
      <c r="O14" s="45" t="str">
        <f>IFERROR(__xludf.DUMMYFUNCTION("""COMPUTED_VALUE"""),"Star")</f>
        <v>Star</v>
      </c>
      <c r="P14" s="45"/>
      <c r="Q14" s="45">
        <f>IFERROR(__xludf.DUMMYFUNCTION("""COMPUTED_VALUE"""),8551.0)</f>
        <v>8551</v>
      </c>
      <c r="R14" s="45" t="str">
        <f>IFERROR(__xludf.DUMMYFUNCTION("""COMPUTED_VALUE"""),"Little italo ")</f>
        <v>Little italo </v>
      </c>
      <c r="S14" s="45" t="str">
        <f>IFERROR(__xludf.DUMMYFUNCTION("""COMPUTED_VALUE"""),"Juan Pablo percossi")</f>
        <v>Juan Pablo percossi</v>
      </c>
      <c r="T14" s="45" t="str">
        <f>IFERROR(__xludf.DUMMYFUNCTION("""COMPUTED_VALUE"""),"Felipe caivano")</f>
        <v>Felipe caivano</v>
      </c>
      <c r="U14" s="45"/>
      <c r="V14" s="45"/>
      <c r="W14" s="45"/>
      <c r="X14" s="45"/>
      <c r="Y14" s="45"/>
      <c r="Z14" s="45" t="str">
        <f>IFERROR(__xludf.DUMMYFUNCTION("""COMPUTED_VALUE"""),"No")</f>
        <v>No</v>
      </c>
      <c r="AA14" s="45" t="str">
        <f>IFERROR(__xludf.DUMMYFUNCTION("""COMPUTED_VALUE"""),"Acepto")</f>
        <v>Acepto</v>
      </c>
      <c r="AB14" s="45" t="str">
        <f>IFERROR(__xludf.DUMMYFUNCTION("""COMPUTED_VALUE"""),"Repetido")</f>
        <v>Repetido</v>
      </c>
      <c r="AC14" s="45"/>
      <c r="AD14" s="45"/>
      <c r="AE14" s="45"/>
      <c r="AF14" s="45" t="str">
        <f>IFERROR(__xludf.DUMMYFUNCTION("""COMPUTED_VALUE"""),"No Corresp")</f>
        <v>No Corresp</v>
      </c>
      <c r="AG14" s="45"/>
    </row>
    <row r="15">
      <c r="B15" s="103"/>
      <c r="D15" s="7"/>
      <c r="E15" s="7"/>
      <c r="F15" s="7"/>
      <c r="G15" s="7"/>
    </row>
    <row r="16">
      <c r="B16" s="103"/>
      <c r="D16" s="7"/>
      <c r="E16" s="7"/>
      <c r="F16" s="7"/>
      <c r="G16" s="7"/>
    </row>
    <row r="17">
      <c r="B17" s="103"/>
    </row>
    <row r="18">
      <c r="B18" s="103"/>
    </row>
  </sheetData>
  <conditionalFormatting sqref="G1:G3 I2">
    <cfRule type="cellIs" dxfId="1" priority="1" operator="equal">
      <formula>"Si"</formula>
    </cfRule>
  </conditionalFormatting>
  <conditionalFormatting sqref="B4:B14">
    <cfRule type="cellIs" dxfId="1" priority="2" operator="equal">
      <formula>"Pago"</formula>
    </cfRule>
  </conditionalFormatting>
  <conditionalFormatting sqref="AB3:AB28">
    <cfRule type="cellIs" dxfId="3" priority="3" operator="equal">
      <formula>"Terminado"</formula>
    </cfRule>
  </conditionalFormatting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2" max="2" width="13.5"/>
    <col customWidth="1" min="3" max="3" width="10.75"/>
    <col customWidth="1" min="4" max="4" width="13.25"/>
    <col customWidth="1" min="5" max="5" width="14.38"/>
    <col customWidth="1" hidden="1" min="6" max="6" width="4.38"/>
    <col customWidth="1" hidden="1" min="7" max="7" width="5.13"/>
    <col customWidth="1" hidden="1" min="8" max="8" width="7.88"/>
    <col customWidth="1" hidden="1" min="9" max="9" width="5.75"/>
    <col customWidth="1" hidden="1" min="10" max="10" width="4.25"/>
    <col hidden="1" min="11" max="11" width="12.63"/>
    <col customWidth="1" hidden="1" min="12" max="12" width="8.38"/>
    <col customWidth="1" min="13" max="13" width="14.75"/>
    <col customWidth="1" min="14" max="14" width="11.38"/>
    <col hidden="1" min="15" max="15" width="12.63"/>
    <col customWidth="1" min="16" max="16" width="5.5"/>
    <col customWidth="1" min="17" max="17" width="8.75"/>
    <col customWidth="1" min="18" max="18" width="11.25"/>
    <col customWidth="1" min="19" max="19" width="23.0"/>
    <col customWidth="1" min="20" max="20" width="21.25"/>
    <col customWidth="1" min="21" max="21" width="20.5"/>
    <col customWidth="1" min="22" max="22" width="17.0"/>
    <col customWidth="1" min="23" max="23" width="10.38"/>
    <col hidden="1" min="24" max="25" width="12.63"/>
    <col customWidth="1" min="26" max="26" width="6.88"/>
    <col customWidth="1" hidden="1" min="27" max="27" width="10.75"/>
    <col customWidth="1" min="28" max="28" width="9.5"/>
    <col hidden="1" min="29" max="33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9" t="str">
        <f>"Inscriptos: "&amp;COUNTA(D4:D100)</f>
        <v>Inscriptos: 21</v>
      </c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66</v>
      </c>
      <c r="C2" s="3"/>
      <c r="D2" s="65"/>
      <c r="E2" s="3"/>
      <c r="F2" s="66" t="str">
        <f>"Inscriptos: "&amp;COUNTA(C4:C100)</f>
        <v>Inscriptos: 21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 t="s">
        <v>67</v>
      </c>
      <c r="B3" s="3" t="str">
        <f>IFERROR(__xludf.DUMMYFUNCTION("query(Titulos)"),"Dia y Hora")</f>
        <v>Dia y Hora</v>
      </c>
      <c r="C3" s="3" t="str">
        <f>IFERROR(__xludf.DUMMYFUNCTION("""COMPUTED_VALUE"""),"Nombre")</f>
        <v>Nombre</v>
      </c>
      <c r="D3" s="3" t="str">
        <f>IFERROR(__xludf.DUMMYFUNCTION("""COMPUTED_VALUE"""),"Apellido")</f>
        <v>Apellido</v>
      </c>
      <c r="E3" s="3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70" t="str">
        <f>IFERROR(__xludf.DUMMYFUNCTION("""COMPUTED_VALUE"""),"Proa Nº")</f>
        <v>Proa Nº</v>
      </c>
      <c r="Q3" s="70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3" t="str">
        <f>IFERROR(__xludf.DUMMYFUNCTION("""COMPUTED_VALUE"""),"Importe")</f>
        <v>Importe</v>
      </c>
      <c r="AD3" s="3" t="str">
        <f>IFERROR(__xludf.DUMMYFUNCTION("""COMPUTED_VALUE"""),"RECIBO")</f>
        <v>RECIBO</v>
      </c>
      <c r="AH3" s="105" t="s">
        <v>32</v>
      </c>
    </row>
    <row r="4">
      <c r="B4" s="83">
        <f>IFERROR(__xludf.DUMMYFUNCTION("filter(Datos,Clases=A3)"),45539.7072400926)</f>
        <v>45539.70724</v>
      </c>
      <c r="C4" s="43" t="str">
        <f>IFERROR(__xludf.DUMMYFUNCTION("""COMPUTED_VALUE"""),"Guillermo")</f>
        <v>Guillermo</v>
      </c>
      <c r="D4" s="43" t="str">
        <f>IFERROR(__xludf.DUMMYFUNCTION("""COMPUTED_VALUE"""),"Bellinotto")</f>
        <v>Bellinotto</v>
      </c>
      <c r="E4" s="43" t="str">
        <f>IFERROR(__xludf.DUMMYFUNCTION("""COMPUTED_VALUE"""),"caba")</f>
        <v>caba</v>
      </c>
      <c r="F4" s="7" t="str">
        <f>IFERROR(__xludf.DUMMYFUNCTION("""COMPUTED_VALUE"""),"ARG")</f>
        <v>ARG</v>
      </c>
      <c r="G4" s="7">
        <f>IFERROR(__xludf.DUMMYFUNCTION("""COMPUTED_VALUE"""),2.6435858E7)</f>
        <v>26435858</v>
      </c>
      <c r="H4" s="44">
        <f>IFERROR(__xludf.DUMMYFUNCTION("""COMPUTED_VALUE"""),28532.0)</f>
        <v>28532</v>
      </c>
      <c r="I4" s="45">
        <f>IFERROR(__xludf.DUMMYFUNCTION("""COMPUTED_VALUE"""),1.150237233E9)</f>
        <v>1150237233</v>
      </c>
      <c r="J4" s="45">
        <f>IFERROR(__xludf.DUMMYFUNCTION("""COMPUTED_VALUE"""),1.150237233E9)</f>
        <v>1150237233</v>
      </c>
      <c r="K4" s="45" t="str">
        <f>IFERROR(__xludf.DUMMYFUNCTION("""COMPUTED_VALUE"""),"guillebellinotto@hotmail.com")</f>
        <v>guillebellinotto@hotmail.com</v>
      </c>
      <c r="L4" s="45" t="str">
        <f>IFERROR(__xludf.DUMMYFUNCTION("""COMPUTED_VALUE"""),"Masculino")</f>
        <v>Masculino</v>
      </c>
      <c r="M4" s="45" t="str">
        <f>IFERROR(__xludf.DUMMYFUNCTION("""COMPUTED_VALUE"""),"CUBA / NCNE")</f>
        <v>CUBA / NCNE</v>
      </c>
      <c r="N4" s="45" t="str">
        <f>IFERROR(__xludf.DUMMYFUNCTION("""COMPUTED_VALUE"""),"j70")</f>
        <v>j70</v>
      </c>
      <c r="O4" s="45" t="str">
        <f>IFERROR(__xludf.DUMMYFUNCTION("""COMPUTED_VALUE"""),"J 70")</f>
        <v>J 70</v>
      </c>
      <c r="P4" s="7">
        <f>IFERROR(__xludf.DUMMYFUNCTION("""COMPUTED_VALUE"""),12.0)</f>
        <v>12</v>
      </c>
      <c r="Q4" s="7">
        <f>IFERROR(__xludf.DUMMYFUNCTION("""COMPUTED_VALUE"""),1198.0)</f>
        <v>1198</v>
      </c>
      <c r="R4" s="45"/>
      <c r="S4" s="45" t="str">
        <f>IFERROR(__xludf.DUMMYFUNCTION("""COMPUTED_VALUE"""),"Gringo Pueyrredon")</f>
        <v>Gringo Pueyrredon</v>
      </c>
      <c r="T4" s="45" t="str">
        <f>IFERROR(__xludf.DUMMYFUNCTION("""COMPUTED_VALUE"""),"Alfonso Campos")</f>
        <v>Alfonso Campos</v>
      </c>
      <c r="U4" s="45"/>
      <c r="V4" s="45" t="str">
        <f>IFERROR(__xludf.DUMMYFUNCTION("""COMPUTED_VALUE"""),"Nicolas cubria")</f>
        <v>Nicolas cubria</v>
      </c>
      <c r="W4" s="45"/>
      <c r="X4" s="45"/>
      <c r="Y4" s="45" t="str">
        <f>IFERROR(__xludf.DUMMYFUNCTION("""COMPUTED_VALUE"""),"Swiss Medical")</f>
        <v>Swiss Medical</v>
      </c>
      <c r="Z4" s="7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IFERROR(__xludf.DUMMYFUNCTION("""COMPUTED_VALUE"""),"Terminado")</f>
        <v>Terminado</v>
      </c>
      <c r="AC4" s="45">
        <f>IFERROR(__xludf.DUMMYFUNCTION("""COMPUTED_VALUE"""),80000.0)</f>
        <v>80000</v>
      </c>
      <c r="AD4" s="45">
        <f>IFERROR(__xludf.DUMMYFUNCTION("""COMPUTED_VALUE"""),205437.0)</f>
        <v>205437</v>
      </c>
      <c r="AE4" s="45" t="str">
        <f>IFERROR(__xludf.DUMMYFUNCTION("""COMPUTED_VALUE"""),"TRF 04-09")</f>
        <v>TRF 04-09</v>
      </c>
      <c r="AF4" s="45" t="str">
        <f>IFERROR(__xludf.DUMMYFUNCTION("""COMPUTED_VALUE"""),"No Corresp")</f>
        <v>No Corresp</v>
      </c>
      <c r="AG4" s="45"/>
    </row>
    <row r="5">
      <c r="B5" s="83">
        <f>IFERROR(__xludf.DUMMYFUNCTION("""COMPUTED_VALUE"""),45539.679393715276)</f>
        <v>45539.67939</v>
      </c>
      <c r="C5" s="43" t="str">
        <f>IFERROR(__xludf.DUMMYFUNCTION("""COMPUTED_VALUE"""),"Adolfo Héctor")</f>
        <v>Adolfo Héctor</v>
      </c>
      <c r="D5" s="43" t="str">
        <f>IFERROR(__xludf.DUMMYFUNCTION("""COMPUTED_VALUE"""),"Benavidez Ruiz")</f>
        <v>Benavidez Ruiz</v>
      </c>
      <c r="E5" s="43" t="str">
        <f>IFERROR(__xludf.DUMMYFUNCTION("""COMPUTED_VALUE"""),"Rosario")</f>
        <v>Rosario</v>
      </c>
      <c r="F5" s="7" t="str">
        <f>IFERROR(__xludf.DUMMYFUNCTION("""COMPUTED_VALUE"""),"ARG")</f>
        <v>ARG</v>
      </c>
      <c r="G5" s="7">
        <f>IFERROR(__xludf.DUMMYFUNCTION("""COMPUTED_VALUE"""),3.0339453E7)</f>
        <v>30339453</v>
      </c>
      <c r="H5" s="44">
        <f>IFERROR(__xludf.DUMMYFUNCTION("""COMPUTED_VALUE"""),30793.0)</f>
        <v>30793</v>
      </c>
      <c r="I5" s="45">
        <f>IFERROR(__xludf.DUMMYFUNCTION("""COMPUTED_VALUE"""),3.413193904E9)</f>
        <v>3413193904</v>
      </c>
      <c r="J5" s="45" t="str">
        <f>IFERROR(__xludf.DUMMYFUNCTION("""COMPUTED_VALUE"""),"+54 9 3413 08-3045")</f>
        <v>+54 9 3413 08-3045</v>
      </c>
      <c r="K5" s="45" t="str">
        <f>IFERROR(__xludf.DUMMYFUNCTION("""COMPUTED_VALUE"""),"adolbenavidez@gmail.com")</f>
        <v>adolbenavidez@gmail.com</v>
      </c>
      <c r="L5" s="45" t="str">
        <f>IFERROR(__xludf.DUMMYFUNCTION("""COMPUTED_VALUE"""),"Masculino")</f>
        <v>Masculino</v>
      </c>
      <c r="M5" s="45" t="str">
        <f>IFERROR(__xludf.DUMMYFUNCTION("""COMPUTED_VALUE"""),"CVR / YCR ")</f>
        <v>CVR / YCR </v>
      </c>
      <c r="N5" s="45"/>
      <c r="O5" s="45" t="str">
        <f>IFERROR(__xludf.DUMMYFUNCTION("""COMPUTED_VALUE"""),"J 70")</f>
        <v>J 70</v>
      </c>
      <c r="P5" s="7">
        <f>IFERROR(__xludf.DUMMYFUNCTION("""COMPUTED_VALUE"""),28.0)</f>
        <v>28</v>
      </c>
      <c r="Q5" s="7">
        <f>IFERROR(__xludf.DUMMYFUNCTION("""COMPUTED_VALUE"""),1302.0)</f>
        <v>1302</v>
      </c>
      <c r="R5" s="45" t="str">
        <f>IFERROR(__xludf.DUMMYFUNCTION("""COMPUTED_VALUE"""),"ÑANDEYARA")</f>
        <v>ÑANDEYARA</v>
      </c>
      <c r="S5" s="45" t="str">
        <f>IFERROR(__xludf.DUMMYFUNCTION("""COMPUTED_VALUE"""),"Lucas Mispiasegui")</f>
        <v>Lucas Mispiasegui</v>
      </c>
      <c r="T5" s="45" t="str">
        <f>IFERROR(__xludf.DUMMYFUNCTION("""COMPUTED_VALUE"""),"Guido Potenza ")</f>
        <v>Guido Potenza </v>
      </c>
      <c r="U5" s="45" t="str">
        <f>IFERROR(__xludf.DUMMYFUNCTION("""COMPUTED_VALUE"""),"Tomas Paglini ")</f>
        <v>Tomas Paglini </v>
      </c>
      <c r="V5" s="45"/>
      <c r="W5" s="45"/>
      <c r="X5" s="45"/>
      <c r="Y5" s="45" t="str">
        <f>IFERROR(__xludf.DUMMYFUNCTION("""COMPUTED_VALUE"""),"Medife Plata")</f>
        <v>Medife Plata</v>
      </c>
      <c r="Z5" s="7" t="str">
        <f>IFERROR(__xludf.DUMMYFUNCTION("""COMPUTED_VALUE"""),"Si")</f>
        <v>Si</v>
      </c>
      <c r="AA5" s="7" t="str">
        <f>IFERROR(__xludf.DUMMYFUNCTION("""COMPUTED_VALUE"""),"Acepto")</f>
        <v>Acepto</v>
      </c>
      <c r="AB5" s="7" t="str">
        <f>IFERROR(__xludf.DUMMYFUNCTION("""COMPUTED_VALUE"""),"Terminado")</f>
        <v>Terminado</v>
      </c>
      <c r="AC5" s="45">
        <f>IFERROR(__xludf.DUMMYFUNCTION("""COMPUTED_VALUE"""),68000.0)</f>
        <v>68000</v>
      </c>
      <c r="AD5" s="45">
        <f>IFERROR(__xludf.DUMMYFUNCTION("""COMPUTED_VALUE"""),205442.0)</f>
        <v>205442</v>
      </c>
      <c r="AE5" s="45" t="str">
        <f>IFERROR(__xludf.DUMMYFUNCTION("""COMPUTED_VALUE"""),"TRF 04-09")</f>
        <v>TRF 04-09</v>
      </c>
      <c r="AF5" s="45" t="str">
        <f>IFERROR(__xludf.DUMMYFUNCTION("""COMPUTED_VALUE"""),"No Corresp")</f>
        <v>No Corresp</v>
      </c>
      <c r="AG5" s="45" t="str">
        <f>IFERROR(__xludf.DUMMYFUNCTION("""COMPUTED_VALUE"""),"SI")</f>
        <v>SI</v>
      </c>
    </row>
    <row r="6">
      <c r="B6" s="83">
        <f>IFERROR(__xludf.DUMMYFUNCTION("""COMPUTED_VALUE"""),45540.71296721065)</f>
        <v>45540.71297</v>
      </c>
      <c r="C6" s="43" t="str">
        <f>IFERROR(__xludf.DUMMYFUNCTION("""COMPUTED_VALUE"""),"Francisco")</f>
        <v>Francisco</v>
      </c>
      <c r="D6" s="43" t="str">
        <f>IFERROR(__xludf.DUMMYFUNCTION("""COMPUTED_VALUE"""),"Campero")</f>
        <v>Campero</v>
      </c>
      <c r="E6" s="43" t="str">
        <f>IFERROR(__xludf.DUMMYFUNCTION("""COMPUTED_VALUE"""),"Tiger")</f>
        <v>Tiger</v>
      </c>
      <c r="F6" s="7" t="str">
        <f>IFERROR(__xludf.DUMMYFUNCTION("""COMPUTED_VALUE"""),"ARG")</f>
        <v>ARG</v>
      </c>
      <c r="G6" s="7">
        <f>IFERROR(__xludf.DUMMYFUNCTION("""COMPUTED_VALUE"""),1.7686435E7)</f>
        <v>17686435</v>
      </c>
      <c r="H6" s="44">
        <f>IFERROR(__xludf.DUMMYFUNCTION("""COMPUTED_VALUE"""),24038.0)</f>
        <v>24038</v>
      </c>
      <c r="I6" s="45">
        <f>IFERROR(__xludf.DUMMYFUNCTION("""COMPUTED_VALUE"""),1.135253726E9)</f>
        <v>1135253726</v>
      </c>
      <c r="J6" s="45">
        <f>IFERROR(__xludf.DUMMYFUNCTION("""COMPUTED_VALUE"""),1.15750589E9)</f>
        <v>1157505890</v>
      </c>
      <c r="K6" s="45" t="str">
        <f>IFERROR(__xludf.DUMMYFUNCTION("""COMPUTED_VALUE"""),"fcampero@technicals.us")</f>
        <v>fcampero@technicals.us</v>
      </c>
      <c r="L6" s="45" t="str">
        <f>IFERROR(__xludf.DUMMYFUNCTION("""COMPUTED_VALUE"""),"Masculino")</f>
        <v>Masculino</v>
      </c>
      <c r="M6" s="45" t="str">
        <f>IFERROR(__xludf.DUMMYFUNCTION("""COMPUTED_VALUE"""),"CNSI")</f>
        <v>CNSI</v>
      </c>
      <c r="N6" s="45"/>
      <c r="O6" s="45" t="str">
        <f>IFERROR(__xludf.DUMMYFUNCTION("""COMPUTED_VALUE"""),"J 70")</f>
        <v>J 70</v>
      </c>
      <c r="P6" s="7">
        <f>IFERROR(__xludf.DUMMYFUNCTION("""COMPUTED_VALUE"""),14.0)</f>
        <v>14</v>
      </c>
      <c r="Q6" s="7">
        <f>IFERROR(__xludf.DUMMYFUNCTION("""COMPUTED_VALUE"""),1200.0)</f>
        <v>1200</v>
      </c>
      <c r="R6" s="45" t="str">
        <f>IFERROR(__xludf.DUMMYFUNCTION("""COMPUTED_VALUE"""),"AMIGO VII")</f>
        <v>AMIGO VII</v>
      </c>
      <c r="S6" s="45" t="str">
        <f>IFERROR(__xludf.DUMMYFUNCTION("""COMPUTED_VALUE"""),"Juan Pablo Fregonese")</f>
        <v>Juan Pablo Fregonese</v>
      </c>
      <c r="T6" s="45" t="str">
        <f>IFERROR(__xludf.DUMMYFUNCTION("""COMPUTED_VALUE"""),"Andres Domato")</f>
        <v>Andres Domato</v>
      </c>
      <c r="U6" s="45" t="str">
        <f>IFERROR(__xludf.DUMMYFUNCTION("""COMPUTED_VALUE"""),"Raul viola")</f>
        <v>Raul viola</v>
      </c>
      <c r="V6" s="45"/>
      <c r="W6" s="45"/>
      <c r="X6" s="45"/>
      <c r="Y6" s="45"/>
      <c r="Z6" s="7" t="str">
        <f>IFERROR(__xludf.DUMMYFUNCTION("""COMPUTED_VALUE"""),"No")</f>
        <v>No</v>
      </c>
      <c r="AA6" s="7" t="str">
        <f>IFERROR(__xludf.DUMMYFUNCTION("""COMPUTED_VALUE"""),"Acepto")</f>
        <v>Acepto</v>
      </c>
      <c r="AB6" s="7" t="str">
        <f>IFERROR(__xludf.DUMMYFUNCTION("""COMPUTED_VALUE"""),"Terminado")</f>
        <v>Terminado</v>
      </c>
      <c r="AC6" s="45">
        <f>IFERROR(__xludf.DUMMYFUNCTION("""COMPUTED_VALUE"""),80000.0)</f>
        <v>80000</v>
      </c>
      <c r="AD6" s="45">
        <f>IFERROR(__xludf.DUMMYFUNCTION("""COMPUTED_VALUE"""),205577.0)</f>
        <v>205577</v>
      </c>
      <c r="AE6" s="45" t="str">
        <f>IFERROR(__xludf.DUMMYFUNCTION("""COMPUTED_VALUE"""),"TRF 07-09")</f>
        <v>TRF 07-09</v>
      </c>
      <c r="AF6" s="45" t="str">
        <f>IFERROR(__xludf.DUMMYFUNCTION("""COMPUTED_VALUE"""),"No Corresp")</f>
        <v>No Corresp</v>
      </c>
      <c r="AG6" s="45"/>
    </row>
    <row r="7">
      <c r="B7" s="83">
        <f>IFERROR(__xludf.DUMMYFUNCTION("""COMPUTED_VALUE"""),45540.48802445602)</f>
        <v>45540.48802</v>
      </c>
      <c r="C7" s="43" t="str">
        <f>IFERROR(__xludf.DUMMYFUNCTION("""COMPUTED_VALUE"""),"Gustavo")</f>
        <v>Gustavo</v>
      </c>
      <c r="D7" s="43" t="str">
        <f>IFERROR(__xludf.DUMMYFUNCTION("""COMPUTED_VALUE"""),"Capusotto")</f>
        <v>Capusotto</v>
      </c>
      <c r="E7" s="43" t="str">
        <f>IFERROR(__xludf.DUMMYFUNCTION("""COMPUTED_VALUE"""),"olivos")</f>
        <v>olivos</v>
      </c>
      <c r="F7" s="7" t="str">
        <f>IFERROR(__xludf.DUMMYFUNCTION("""COMPUTED_VALUE"""),"ARG")</f>
        <v>ARG</v>
      </c>
      <c r="G7" s="7">
        <f>IFERROR(__xludf.DUMMYFUNCTION("""COMPUTED_VALUE"""),1.1285703E7)</f>
        <v>11285703</v>
      </c>
      <c r="H7" s="44">
        <f>IFERROR(__xludf.DUMMYFUNCTION("""COMPUTED_VALUE"""),19926.0)</f>
        <v>19926</v>
      </c>
      <c r="I7" s="45">
        <f>IFERROR(__xludf.DUMMYFUNCTION("""COMPUTED_VALUE"""),1.141985636E9)</f>
        <v>1141985636</v>
      </c>
      <c r="J7" s="45"/>
      <c r="K7" s="45" t="str">
        <f>IFERROR(__xludf.DUMMYFUNCTION("""COMPUTED_VALUE"""),"gustavocapusotto@gmail.com")</f>
        <v>gustavocapusotto@gmail.com</v>
      </c>
      <c r="L7" s="45" t="str">
        <f>IFERROR(__xludf.DUMMYFUNCTION("""COMPUTED_VALUE"""),"Masculino")</f>
        <v>Masculino</v>
      </c>
      <c r="M7" s="45" t="str">
        <f>IFERROR(__xludf.DUMMYFUNCTION("""COMPUTED_VALUE"""),"yca")</f>
        <v>yca</v>
      </c>
      <c r="N7" s="45"/>
      <c r="O7" s="45" t="str">
        <f>IFERROR(__xludf.DUMMYFUNCTION("""COMPUTED_VALUE"""),"J 70")</f>
        <v>J 70</v>
      </c>
      <c r="P7" s="7">
        <f>IFERROR(__xludf.DUMMYFUNCTION("""COMPUTED_VALUE"""),25.0)</f>
        <v>25</v>
      </c>
      <c r="Q7" s="7">
        <f>IFERROR(__xludf.DUMMYFUNCTION("""COMPUTED_VALUE"""),1299.0)</f>
        <v>1299</v>
      </c>
      <c r="R7" s="45" t="str">
        <f>IFERROR(__xludf.DUMMYFUNCTION("""COMPUTED_VALUE"""),"guason forever")</f>
        <v>guason forever</v>
      </c>
      <c r="S7" s="45" t="str">
        <f>IFERROR(__xludf.DUMMYFUNCTION("""COMPUTED_VALUE"""),"Javier lopez")</f>
        <v>Javier lopez</v>
      </c>
      <c r="T7" s="45" t="str">
        <f>IFERROR(__xludf.DUMMYFUNCTION("""COMPUTED_VALUE"""),"karina filquenstein")</f>
        <v>karina filquenstein</v>
      </c>
      <c r="U7" s="45" t="str">
        <f>IFERROR(__xludf.DUMMYFUNCTION("""COMPUTED_VALUE"""),"santiago vodanovich")</f>
        <v>santiago vodanovich</v>
      </c>
      <c r="V7" s="45"/>
      <c r="W7" s="45"/>
      <c r="X7" s="45"/>
      <c r="Y7" s="45" t="str">
        <f>IFERROR(__xludf.DUMMYFUNCTION("""COMPUTED_VALUE"""),"osde binerio plan 3D/ 60709583001")</f>
        <v>osde binerio plan 3D/ 60709583001</v>
      </c>
      <c r="Z7" s="7" t="str">
        <f>IFERROR(__xludf.DUMMYFUNCTION("""COMPUTED_VALUE"""),"No")</f>
        <v>No</v>
      </c>
      <c r="AA7" s="7" t="str">
        <f>IFERROR(__xludf.DUMMYFUNCTION("""COMPUTED_VALUE"""),"Acepto")</f>
        <v>Acepto</v>
      </c>
      <c r="AB7" s="7" t="str">
        <f>IFERROR(__xludf.DUMMYFUNCTION("""COMPUTED_VALUE"""),"Terminado")</f>
        <v>Terminado</v>
      </c>
      <c r="AC7" s="45">
        <f>IFERROR(__xludf.DUMMYFUNCTION("""COMPUTED_VALUE"""),80000.0)</f>
        <v>80000</v>
      </c>
      <c r="AD7" s="45">
        <f>IFERROR(__xludf.DUMMYFUNCTION("""COMPUTED_VALUE"""),205500.0)</f>
        <v>205500</v>
      </c>
      <c r="AE7" s="45" t="str">
        <f>IFERROR(__xludf.DUMMYFUNCTION("""COMPUTED_VALUE"""),"TRF 05-09")</f>
        <v>TRF 05-09</v>
      </c>
      <c r="AF7" s="45" t="str">
        <f>IFERROR(__xludf.DUMMYFUNCTION("""COMPUTED_VALUE"""),"No Corresp")</f>
        <v>No Corresp</v>
      </c>
      <c r="AG7" s="45"/>
    </row>
    <row r="8">
      <c r="B8" s="83">
        <f>IFERROR(__xludf.DUMMYFUNCTION("""COMPUTED_VALUE"""),45539.63389840278)</f>
        <v>45539.6339</v>
      </c>
      <c r="C8" s="43" t="str">
        <f>IFERROR(__xludf.DUMMYFUNCTION("""COMPUTED_VALUE"""),"Paulo M.")</f>
        <v>Paulo M.</v>
      </c>
      <c r="D8" s="43" t="str">
        <f>IFERROR(__xludf.DUMMYFUNCTION("""COMPUTED_VALUE"""),"Cosentino")</f>
        <v>Cosentino</v>
      </c>
      <c r="E8" s="43" t="str">
        <f>IFERROR(__xludf.DUMMYFUNCTION("""COMPUTED_VALUE"""),"Buenos Aires")</f>
        <v>Buenos Aires</v>
      </c>
      <c r="F8" s="7" t="str">
        <f>IFERROR(__xludf.DUMMYFUNCTION("""COMPUTED_VALUE"""),"ARG")</f>
        <v>ARG</v>
      </c>
      <c r="G8" s="7"/>
      <c r="H8" s="44">
        <f>IFERROR(__xludf.DUMMYFUNCTION("""COMPUTED_VALUE"""),23430.0)</f>
        <v>23430</v>
      </c>
      <c r="I8" s="45">
        <f>IFERROR(__xludf.DUMMYFUNCTION("""COMPUTED_VALUE"""),1.168285009E9)</f>
        <v>1168285009</v>
      </c>
      <c r="J8" s="45"/>
      <c r="K8" s="45" t="str">
        <f>IFERROR(__xludf.DUMMYFUNCTION("""COMPUTED_VALUE"""),"paulo.cosentino@gmail.com")</f>
        <v>paulo.cosentino@gmail.com</v>
      </c>
      <c r="L8" s="45" t="str">
        <f>IFERROR(__xludf.DUMMYFUNCTION("""COMPUTED_VALUE"""),"Masculino")</f>
        <v>Masculino</v>
      </c>
      <c r="M8" s="45" t="str">
        <f>IFERROR(__xludf.DUMMYFUNCTION("""COMPUTED_VALUE"""),"YCA")</f>
        <v>YCA</v>
      </c>
      <c r="N8" s="45"/>
      <c r="O8" s="45" t="str">
        <f>IFERROR(__xludf.DUMMYFUNCTION("""COMPUTED_VALUE"""),"J 70")</f>
        <v>J 70</v>
      </c>
      <c r="P8" s="7" t="str">
        <f>IFERROR(__xludf.DUMMYFUNCTION("""COMPUTED_VALUE"""),"05")</f>
        <v>05</v>
      </c>
      <c r="Q8" s="7" t="str">
        <f>IFERROR(__xludf.DUMMYFUNCTION("""COMPUTED_VALUE"""),"ARG 1191")</f>
        <v>ARG 1191</v>
      </c>
      <c r="R8" s="45"/>
      <c r="S8" s="45" t="str">
        <f>IFERROR(__xludf.DUMMYFUNCTION("""COMPUTED_VALUE"""),"John Lake")</f>
        <v>John Lake</v>
      </c>
      <c r="T8" s="45"/>
      <c r="U8" s="45" t="str">
        <f>IFERROR(__xludf.DUMMYFUNCTION("""COMPUTED_VALUE"""),"Chavo")</f>
        <v>Chavo</v>
      </c>
      <c r="V8" s="45" t="str">
        <f>IFERROR(__xludf.DUMMYFUNCTION("""COMPUTED_VALUE"""),"Ninio")</f>
        <v>Ninio</v>
      </c>
      <c r="W8" s="45"/>
      <c r="X8" s="45"/>
      <c r="Y8" s="45" t="str">
        <f>IFERROR(__xludf.DUMMYFUNCTION("""COMPUTED_VALUE"""),"OSDE")</f>
        <v>OSDE</v>
      </c>
      <c r="Z8" s="7" t="str">
        <f>IFERROR(__xludf.DUMMYFUNCTION("""COMPUTED_VALUE"""),"No")</f>
        <v>No</v>
      </c>
      <c r="AA8" s="7" t="str">
        <f>IFERROR(__xludf.DUMMYFUNCTION("""COMPUTED_VALUE"""),"Acepto")</f>
        <v>Acepto</v>
      </c>
      <c r="AB8" s="7" t="str">
        <f>IFERROR(__xludf.DUMMYFUNCTION("""COMPUTED_VALUE"""),"Terminado")</f>
        <v>Terminado</v>
      </c>
      <c r="AC8" s="45">
        <f>IFERROR(__xludf.DUMMYFUNCTION("""COMPUTED_VALUE"""),80000.0)</f>
        <v>80000</v>
      </c>
      <c r="AD8" s="45">
        <f>IFERROR(__xludf.DUMMYFUNCTION("""COMPUTED_VALUE"""),205501.0)</f>
        <v>205501</v>
      </c>
      <c r="AE8" s="45" t="str">
        <f>IFERROR(__xludf.DUMMYFUNCTION("""COMPUTED_VALUE"""),"TRF 05-09")</f>
        <v>TRF 05-09</v>
      </c>
      <c r="AF8" s="45" t="str">
        <f>IFERROR(__xludf.DUMMYFUNCTION("""COMPUTED_VALUE"""),"No Corresp")</f>
        <v>No Corresp</v>
      </c>
      <c r="AG8" s="45"/>
    </row>
    <row r="9">
      <c r="B9" s="83">
        <f>IFERROR(__xludf.DUMMYFUNCTION("""COMPUTED_VALUE"""),45536.71396243056)</f>
        <v>45536.71396</v>
      </c>
      <c r="C9" s="43" t="str">
        <f>IFERROR(__xludf.DUMMYFUNCTION("""COMPUTED_VALUE"""),"Oscar")</f>
        <v>Oscar</v>
      </c>
      <c r="D9" s="43" t="str">
        <f>IFERROR(__xludf.DUMMYFUNCTION("""COMPUTED_VALUE"""),"Dagnino")</f>
        <v>Dagnino</v>
      </c>
      <c r="E9" s="43" t="str">
        <f>IFERROR(__xludf.DUMMYFUNCTION("""COMPUTED_VALUE"""),"Caba")</f>
        <v>Caba</v>
      </c>
      <c r="F9" s="7" t="str">
        <f>IFERROR(__xludf.DUMMYFUNCTION("""COMPUTED_VALUE"""),"ARG")</f>
        <v>ARG</v>
      </c>
      <c r="G9" s="7">
        <f>IFERROR(__xludf.DUMMYFUNCTION("""COMPUTED_VALUE"""),2.6194526E7)</f>
        <v>26194526</v>
      </c>
      <c r="H9" s="44">
        <f>IFERROR(__xludf.DUMMYFUNCTION("""COMPUTED_VALUE"""),28349.0)</f>
        <v>28349</v>
      </c>
      <c r="I9" s="45">
        <f>IFERROR(__xludf.DUMMYFUNCTION("""COMPUTED_VALUE"""),1.151214394E9)</f>
        <v>1151214394</v>
      </c>
      <c r="J9" s="45"/>
      <c r="K9" s="45" t="str">
        <f>IFERROR(__xludf.DUMMYFUNCTION("""COMPUTED_VALUE"""),"ventas@yeseriadagnino.com.ar")</f>
        <v>ventas@yeseriadagnino.com.ar</v>
      </c>
      <c r="L9" s="45" t="str">
        <f>IFERROR(__xludf.DUMMYFUNCTION("""COMPUTED_VALUE"""),"Masculino")</f>
        <v>Masculino</v>
      </c>
      <c r="M9" s="45" t="str">
        <f>IFERROR(__xludf.DUMMYFUNCTION("""COMPUTED_VALUE"""),"Cno-Cngsm")</f>
        <v>Cno-Cngsm</v>
      </c>
      <c r="N9" s="45" t="str">
        <f>IFERROR(__xludf.DUMMYFUNCTION("""COMPUTED_VALUE"""),"Corinthians")</f>
        <v>Corinthians</v>
      </c>
      <c r="O9" s="45" t="str">
        <f>IFERROR(__xludf.DUMMYFUNCTION("""COMPUTED_VALUE"""),"J 70")</f>
        <v>J 70</v>
      </c>
      <c r="P9" s="7">
        <f>IFERROR(__xludf.DUMMYFUNCTION("""COMPUTED_VALUE"""),41.0)</f>
        <v>41</v>
      </c>
      <c r="Q9" s="7">
        <f>IFERROR(__xludf.DUMMYFUNCTION("""COMPUTED_VALUE"""),1552.0)</f>
        <v>1552</v>
      </c>
      <c r="R9" s="45" t="str">
        <f>IFERROR(__xludf.DUMMYFUNCTION("""COMPUTED_VALUE"""),"Project")</f>
        <v>Project</v>
      </c>
      <c r="S9" s="45" t="str">
        <f>IFERROR(__xludf.DUMMYFUNCTION("""COMPUTED_VALUE"""),"Pablo Giannavola ")</f>
        <v>Pablo Giannavola </v>
      </c>
      <c r="T9" s="45" t="str">
        <f>IFERROR(__xludf.DUMMYFUNCTION("""COMPUTED_VALUE"""),"Pablo Piñeyro ")</f>
        <v>Pablo Piñeyro </v>
      </c>
      <c r="U9" s="45" t="str">
        <f>IFERROR(__xludf.DUMMYFUNCTION("""COMPUTED_VALUE"""),"Anabella Dagnino")</f>
        <v>Anabella Dagnino</v>
      </c>
      <c r="V9" s="45"/>
      <c r="W9" s="45"/>
      <c r="X9" s="45"/>
      <c r="Y9" s="45"/>
      <c r="Z9" s="7" t="str">
        <f>IFERROR(__xludf.DUMMYFUNCTION("""COMPUTED_VALUE"""),"No")</f>
        <v>No</v>
      </c>
      <c r="AA9" s="7" t="str">
        <f>IFERROR(__xludf.DUMMYFUNCTION("""COMPUTED_VALUE"""),"Acepto")</f>
        <v>Acepto</v>
      </c>
      <c r="AB9" s="7" t="str">
        <f>IFERROR(__xludf.DUMMYFUNCTION("""COMPUTED_VALUE"""),"Terminado")</f>
        <v>Terminado</v>
      </c>
      <c r="AC9" s="45">
        <f>IFERROR(__xludf.DUMMYFUNCTION("""COMPUTED_VALUE"""),80000.0)</f>
        <v>80000</v>
      </c>
      <c r="AD9" s="45">
        <f>IFERROR(__xludf.DUMMYFUNCTION("""COMPUTED_VALUE"""),205406.0)</f>
        <v>205406</v>
      </c>
      <c r="AE9" s="45" t="str">
        <f>IFERROR(__xludf.DUMMYFUNCTION("""COMPUTED_VALUE"""),"TRF 02-09")</f>
        <v>TRF 02-09</v>
      </c>
      <c r="AF9" s="45" t="str">
        <f>IFERROR(__xludf.DUMMYFUNCTION("""COMPUTED_VALUE"""),"No Corresp")</f>
        <v>No Corresp</v>
      </c>
      <c r="AG9" s="45" t="str">
        <f>IFERROR(__xludf.DUMMYFUNCTION("""COMPUTED_VALUE"""),"Si")</f>
        <v>Si</v>
      </c>
    </row>
    <row r="10">
      <c r="B10" s="83">
        <f>IFERROR(__xludf.DUMMYFUNCTION("""COMPUTED_VALUE"""),45530.67343997685)</f>
        <v>45530.67344</v>
      </c>
      <c r="C10" s="43" t="str">
        <f>IFERROR(__xludf.DUMMYFUNCTION("""COMPUTED_VALUE"""),"Fernando  ")</f>
        <v>Fernando  </v>
      </c>
      <c r="D10" s="43" t="str">
        <f>IFERROR(__xludf.DUMMYFUNCTION("""COMPUTED_VALUE"""),"Gwozdz")</f>
        <v>Gwozdz</v>
      </c>
      <c r="E10" s="43" t="str">
        <f>IFERROR(__xludf.DUMMYFUNCTION("""COMPUTED_VALUE"""),"Quilmes ")</f>
        <v>Quilmes </v>
      </c>
      <c r="F10" s="7" t="str">
        <f>IFERROR(__xludf.DUMMYFUNCTION("""COMPUTED_VALUE"""),"ARG")</f>
        <v>ARG</v>
      </c>
      <c r="G10" s="7">
        <f>IFERROR(__xludf.DUMMYFUNCTION("""COMPUTED_VALUE"""),3.0820322E7)</f>
        <v>30820322</v>
      </c>
      <c r="H10" s="44">
        <f>IFERROR(__xludf.DUMMYFUNCTION("""COMPUTED_VALUE"""),30719.0)</f>
        <v>30719</v>
      </c>
      <c r="I10" s="45" t="str">
        <f>IFERROR(__xludf.DUMMYFUNCTION("""COMPUTED_VALUE"""),"01140248300")</f>
        <v>01140248300</v>
      </c>
      <c r="J10" s="45"/>
      <c r="K10" s="45" t="str">
        <f>IFERROR(__xludf.DUMMYFUNCTION("""COMPUTED_VALUE"""),"fergwozdz@gmail.com")</f>
        <v>fergwozdz@gmail.com</v>
      </c>
      <c r="L10" s="45" t="str">
        <f>IFERROR(__xludf.DUMMYFUNCTION("""COMPUTED_VALUE"""),"Masculino")</f>
        <v>Masculino</v>
      </c>
      <c r="M10" s="45" t="str">
        <f>IFERROR(__xludf.DUMMYFUNCTION("""COMPUTED_VALUE"""),"YCA ")</f>
        <v>YCA </v>
      </c>
      <c r="N10" s="45" t="str">
        <f>IFERROR(__xludf.DUMMYFUNCTION("""COMPUTED_VALUE"""),"J70")</f>
        <v>J70</v>
      </c>
      <c r="O10" s="45" t="str">
        <f>IFERROR(__xludf.DUMMYFUNCTION("""COMPUTED_VALUE"""),"J 70")</f>
        <v>J 70</v>
      </c>
      <c r="P10" s="7">
        <f>IFERROR(__xludf.DUMMYFUNCTION("""COMPUTED_VALUE"""),46.0)</f>
        <v>46</v>
      </c>
      <c r="Q10" s="7">
        <f>IFERROR(__xludf.DUMMYFUNCTION("""COMPUTED_VALUE"""),1560.0)</f>
        <v>1560</v>
      </c>
      <c r="R10" s="45"/>
      <c r="S10" s="45" t="str">
        <f>IFERROR(__xludf.DUMMYFUNCTION("""COMPUTED_VALUE"""),"Beeb Beep ")</f>
        <v>Beeb Beep </v>
      </c>
      <c r="T10" s="45" t="str">
        <f>IFERROR(__xludf.DUMMYFUNCTION("""COMPUTED_VALUE"""),"Federico Travasio ")</f>
        <v>Federico Travasio </v>
      </c>
      <c r="U10" s="45" t="str">
        <f>IFERROR(__xludf.DUMMYFUNCTION("""COMPUTED_VALUE"""),"Piru Di Bernardo ")</f>
        <v>Piru Di Bernardo </v>
      </c>
      <c r="V10" s="45" t="str">
        <f>IFERROR(__xludf.DUMMYFUNCTION("""COMPUTED_VALUE"""),"Manuel  Gonzalez Vidal ")</f>
        <v>Manuel  Gonzalez Vidal </v>
      </c>
      <c r="W10" s="45"/>
      <c r="X10" s="45"/>
      <c r="Y10" s="45" t="str">
        <f>IFERROR(__xludf.DUMMYFUNCTION("""COMPUTED_VALUE"""),"Osde ")</f>
        <v>Osde </v>
      </c>
      <c r="Z10" s="7" t="str">
        <f>IFERROR(__xludf.DUMMYFUNCTION("""COMPUTED_VALUE"""),"No")</f>
        <v>No</v>
      </c>
      <c r="AA10" s="7" t="str">
        <f>IFERROR(__xludf.DUMMYFUNCTION("""COMPUTED_VALUE"""),"Acepto")</f>
        <v>Acepto</v>
      </c>
      <c r="AB10" s="7" t="str">
        <f>IFERROR(__xludf.DUMMYFUNCTION("""COMPUTED_VALUE"""),"Terminado")</f>
        <v>Terminado</v>
      </c>
      <c r="AC10" s="45">
        <f>IFERROR(__xludf.DUMMYFUNCTION("""COMPUTED_VALUE"""),90000.0)</f>
        <v>90000</v>
      </c>
      <c r="AD10" s="45">
        <f>IFERROR(__xludf.DUMMYFUNCTION("""COMPUTED_VALUE"""),205064.0)</f>
        <v>205064</v>
      </c>
      <c r="AE10" s="45" t="str">
        <f>IFERROR(__xludf.DUMMYFUNCTION("""COMPUTED_VALUE"""),"TRF 27-08")</f>
        <v>TRF 27-08</v>
      </c>
      <c r="AF10" s="45" t="str">
        <f>IFERROR(__xludf.DUMMYFUNCTION("""COMPUTED_VALUE"""),"No Corresp")</f>
        <v>No Corresp</v>
      </c>
      <c r="AG10" s="45"/>
    </row>
    <row r="11">
      <c r="B11" s="83">
        <f>IFERROR(__xludf.DUMMYFUNCTION("""COMPUTED_VALUE"""),45527.79132775463)</f>
        <v>45527.79133</v>
      </c>
      <c r="C11" s="43" t="str">
        <f>IFERROR(__xludf.DUMMYFUNCTION("""COMPUTED_VALUE"""),"Carlos ")</f>
        <v>Carlos </v>
      </c>
      <c r="D11" s="43" t="str">
        <f>IFERROR(__xludf.DUMMYFUNCTION("""COMPUTED_VALUE"""),"Lacchini")</f>
        <v>Lacchini</v>
      </c>
      <c r="E11" s="43" t="str">
        <f>IFERROR(__xludf.DUMMYFUNCTION("""COMPUTED_VALUE"""),"La Plata")</f>
        <v>La Plata</v>
      </c>
      <c r="F11" s="7" t="str">
        <f>IFERROR(__xludf.DUMMYFUNCTION("""COMPUTED_VALUE"""),"ARG")</f>
        <v>ARG</v>
      </c>
      <c r="G11" s="7">
        <f>IFERROR(__xludf.DUMMYFUNCTION("""COMPUTED_VALUE"""),2.6106153E7)</f>
        <v>26106153</v>
      </c>
      <c r="H11" s="44">
        <f>IFERROR(__xludf.DUMMYFUNCTION("""COMPUTED_VALUE"""),28310.0)</f>
        <v>28310</v>
      </c>
      <c r="I11" s="45">
        <f>IFERROR(__xludf.DUMMYFUNCTION("""COMPUTED_VALUE"""),2.214188871E9)</f>
        <v>2214188871</v>
      </c>
      <c r="J11" s="45">
        <f>IFERROR(__xludf.DUMMYFUNCTION("""COMPUTED_VALUE"""),2.216371227E9)</f>
        <v>2216371227</v>
      </c>
      <c r="K11" s="45" t="str">
        <f>IFERROR(__xludf.DUMMYFUNCTION("""COMPUTED_VALUE"""),"carloslacchini@gmail.com")</f>
        <v>carloslacchini@gmail.com</v>
      </c>
      <c r="L11" s="45" t="str">
        <f>IFERROR(__xludf.DUMMYFUNCTION("""COMPUTED_VALUE"""),"Masculino")</f>
        <v>Masculino</v>
      </c>
      <c r="M11" s="45" t="str">
        <f>IFERROR(__xludf.DUMMYFUNCTION("""COMPUTED_VALUE"""),"YCA - CRLP")</f>
        <v>YCA - CRLP</v>
      </c>
      <c r="N11" s="45" t="str">
        <f>IFERROR(__xludf.DUMMYFUNCTION("""COMPUTED_VALUE"""),"Corinthian")</f>
        <v>Corinthian</v>
      </c>
      <c r="O11" s="45" t="str">
        <f>IFERROR(__xludf.DUMMYFUNCTION("""COMPUTED_VALUE"""),"J 70")</f>
        <v>J 70</v>
      </c>
      <c r="P11" s="7" t="str">
        <f>IFERROR(__xludf.DUMMYFUNCTION("""COMPUTED_VALUE"""),"01")</f>
        <v>01</v>
      </c>
      <c r="Q11" s="7">
        <f>IFERROR(__xludf.DUMMYFUNCTION("""COMPUTED_VALUE"""),1020.0)</f>
        <v>1020</v>
      </c>
      <c r="R11" s="45" t="str">
        <f>IFERROR(__xludf.DUMMYFUNCTION("""COMPUTED_VALUE"""),"Si Querida")</f>
        <v>Si Querida</v>
      </c>
      <c r="S11" s="45" t="str">
        <f>IFERROR(__xludf.DUMMYFUNCTION("""COMPUTED_VALUE"""),"Juani Queirel")</f>
        <v>Juani Queirel</v>
      </c>
      <c r="T11" s="45" t="str">
        <f>IFERROR(__xludf.DUMMYFUNCTION("""COMPUTED_VALUE"""),"Ana Julia Lacchini")</f>
        <v>Ana Julia Lacchini</v>
      </c>
      <c r="U11" s="45" t="str">
        <f>IFERROR(__xludf.DUMMYFUNCTION("""COMPUTED_VALUE"""),"Lihuel Gomez Lacchini")</f>
        <v>Lihuel Gomez Lacchini</v>
      </c>
      <c r="V11" s="45" t="str">
        <f>IFERROR(__xludf.DUMMYFUNCTION("""COMPUTED_VALUE"""),"Ulises Gomez LAcchini")</f>
        <v>Ulises Gomez LAcchini</v>
      </c>
      <c r="W11" s="45"/>
      <c r="X11" s="45"/>
      <c r="Y11" s="45"/>
      <c r="Z11" s="7" t="str">
        <f>IFERROR(__xludf.DUMMYFUNCTION("""COMPUTED_VALUE"""),"No")</f>
        <v>No</v>
      </c>
      <c r="AA11" s="7" t="str">
        <f>IFERROR(__xludf.DUMMYFUNCTION("""COMPUTED_VALUE"""),"Acepto")</f>
        <v>Acepto</v>
      </c>
      <c r="AB11" s="7" t="str">
        <f>IFERROR(__xludf.DUMMYFUNCTION("""COMPUTED_VALUE"""),"Terminado")</f>
        <v>Terminado</v>
      </c>
      <c r="AC11" s="45">
        <f>IFERROR(__xludf.DUMMYFUNCTION("""COMPUTED_VALUE"""),80000.0)</f>
        <v>80000</v>
      </c>
      <c r="AD11" s="45">
        <f>IFERROR(__xludf.DUMMYFUNCTION("""COMPUTED_VALUE"""),205045.0)</f>
        <v>205045</v>
      </c>
      <c r="AE11" s="45" t="str">
        <f>IFERROR(__xludf.DUMMYFUNCTION("""COMPUTED_VALUE"""),"TRF 23-08")</f>
        <v>TRF 23-08</v>
      </c>
      <c r="AF11" s="45" t="str">
        <f>IFERROR(__xludf.DUMMYFUNCTION("""COMPUTED_VALUE"""),"No Corresp")</f>
        <v>No Corresp</v>
      </c>
      <c r="AG11" s="45"/>
    </row>
    <row r="12">
      <c r="B12" s="83">
        <f>IFERROR(__xludf.DUMMYFUNCTION("""COMPUTED_VALUE"""),45538.413341273146)</f>
        <v>45538.41334</v>
      </c>
      <c r="C12" s="43" t="str">
        <f>IFERROR(__xludf.DUMMYFUNCTION("""COMPUTED_VALUE"""),"JOSÉ")</f>
        <v>JOSÉ</v>
      </c>
      <c r="D12" s="43" t="str">
        <f>IFERROR(__xludf.DUMMYFUNCTION("""COMPUTED_VALUE"""),"LOVIGNÉ")</f>
        <v>LOVIGNÉ</v>
      </c>
      <c r="E12" s="43" t="str">
        <f>IFERROR(__xludf.DUMMYFUNCTION("""COMPUTED_VALUE"""),"ROSARIO")</f>
        <v>ROSARIO</v>
      </c>
      <c r="F12" s="7" t="str">
        <f>IFERROR(__xludf.DUMMYFUNCTION("""COMPUTED_VALUE"""),"ARG")</f>
        <v>ARG</v>
      </c>
      <c r="G12" s="7">
        <f>IFERROR(__xludf.DUMMYFUNCTION("""COMPUTED_VALUE"""),1.728104E7)</f>
        <v>17281040</v>
      </c>
      <c r="H12" s="44">
        <f>IFERROR(__xludf.DUMMYFUNCTION("""COMPUTED_VALUE"""),23947.0)</f>
        <v>23947</v>
      </c>
      <c r="I12" s="45" t="str">
        <f>IFERROR(__xludf.DUMMYFUNCTION("""COMPUTED_VALUE"""),"341 6431004")</f>
        <v>341 6431004</v>
      </c>
      <c r="J12" s="45" t="str">
        <f>IFERROR(__xludf.DUMMYFUNCTION("""COMPUTED_VALUE"""),"341 6844204")</f>
        <v>341 6844204</v>
      </c>
      <c r="K12" s="45" t="str">
        <f>IFERROR(__xludf.DUMMYFUNCTION("""COMPUTED_VALUE"""),"joselovigne@gmail.com")</f>
        <v>joselovigne@gmail.com</v>
      </c>
      <c r="L12" s="45" t="str">
        <f>IFERROR(__xludf.DUMMYFUNCTION("""COMPUTED_VALUE"""),"Masculino")</f>
        <v>Masculino</v>
      </c>
      <c r="M12" s="45" t="str">
        <f>IFERROR(__xludf.DUMMYFUNCTION("""COMPUTED_VALUE"""),"YCR")</f>
        <v>YCR</v>
      </c>
      <c r="N12" s="45" t="str">
        <f>IFERROR(__xludf.DUMMYFUNCTION("""COMPUTED_VALUE"""),"J70")</f>
        <v>J70</v>
      </c>
      <c r="O12" s="45" t="str">
        <f>IFERROR(__xludf.DUMMYFUNCTION("""COMPUTED_VALUE"""),"J 70")</f>
        <v>J 70</v>
      </c>
      <c r="P12" s="7">
        <f>IFERROR(__xludf.DUMMYFUNCTION("""COMPUTED_VALUE"""),40.0)</f>
        <v>40</v>
      </c>
      <c r="Q12" s="7">
        <f>IFERROR(__xludf.DUMMYFUNCTION("""COMPUTED_VALUE"""),1551.0)</f>
        <v>1551</v>
      </c>
      <c r="R12" s="45" t="str">
        <f>IFERROR(__xludf.DUMMYFUNCTION("""COMPUTED_VALUE"""),"MAERS")</f>
        <v>MAERS</v>
      </c>
      <c r="S12" s="45" t="str">
        <f>IFERROR(__xludf.DUMMYFUNCTION("""COMPUTED_VALUE"""),"FEDERICO COLELLA")</f>
        <v>FEDERICO COLELLA</v>
      </c>
      <c r="T12" s="45" t="str">
        <f>IFERROR(__xludf.DUMMYFUNCTION("""COMPUTED_VALUE"""),"DANTE CITTADINI")</f>
        <v>DANTE CITTADINI</v>
      </c>
      <c r="U12" s="45" t="str">
        <f>IFERROR(__xludf.DUMMYFUNCTION("""COMPUTED_VALUE"""),"SEGUNDO GARCIA")</f>
        <v>SEGUNDO GARCIA</v>
      </c>
      <c r="V12" s="45"/>
      <c r="W12" s="45"/>
      <c r="X12" s="45"/>
      <c r="Y12" s="45" t="str">
        <f>IFERROR(__xludf.DUMMYFUNCTION("""COMPUTED_VALUE"""),"OSDE")</f>
        <v>OSDE</v>
      </c>
      <c r="Z12" s="7" t="str">
        <f>IFERROR(__xludf.DUMMYFUNCTION("""COMPUTED_VALUE"""),"No")</f>
        <v>No</v>
      </c>
      <c r="AA12" s="7" t="str">
        <f>IFERROR(__xludf.DUMMYFUNCTION("""COMPUTED_VALUE"""),"Acepto")</f>
        <v>Acepto</v>
      </c>
      <c r="AB12" s="7" t="str">
        <f>IFERROR(__xludf.DUMMYFUNCTION("""COMPUTED_VALUE"""),"Terminado")</f>
        <v>Terminado</v>
      </c>
      <c r="AC12" s="45">
        <f>IFERROR(__xludf.DUMMYFUNCTION("""COMPUTED_VALUE"""),68000.0)</f>
        <v>68000</v>
      </c>
      <c r="AD12" s="45">
        <f>IFERROR(__xludf.DUMMYFUNCTION("""COMPUTED_VALUE"""),205412.0)</f>
        <v>205412</v>
      </c>
      <c r="AE12" s="45" t="str">
        <f>IFERROR(__xludf.DUMMYFUNCTION("""COMPUTED_VALUE"""),"TRF 03-09")</f>
        <v>TRF 03-09</v>
      </c>
      <c r="AF12" s="45" t="str">
        <f>IFERROR(__xludf.DUMMYFUNCTION("""COMPUTED_VALUE"""),"No Corresp")</f>
        <v>No Corresp</v>
      </c>
      <c r="AG12" s="45"/>
    </row>
    <row r="13">
      <c r="B13" s="83">
        <f>IFERROR(__xludf.DUMMYFUNCTION("""COMPUTED_VALUE"""),45535.53124181713)</f>
        <v>45535.53124</v>
      </c>
      <c r="C13" s="43" t="str">
        <f>IFERROR(__xludf.DUMMYFUNCTION("""COMPUTED_VALUE"""),"Cristian")</f>
        <v>Cristian</v>
      </c>
      <c r="D13" s="43" t="str">
        <f>IFERROR(__xludf.DUMMYFUNCTION("""COMPUTED_VALUE"""),"Paglini")</f>
        <v>Paglini</v>
      </c>
      <c r="E13" s="43" t="str">
        <f>IFERROR(__xludf.DUMMYFUNCTION("""COMPUTED_VALUE"""),"Rosario")</f>
        <v>Rosario</v>
      </c>
      <c r="F13" s="7" t="str">
        <f>IFERROR(__xludf.DUMMYFUNCTION("""COMPUTED_VALUE"""),"ARG")</f>
        <v>ARG</v>
      </c>
      <c r="G13" s="7">
        <f>IFERROR(__xludf.DUMMYFUNCTION("""COMPUTED_VALUE"""),2.4779378E7)</f>
        <v>24779378</v>
      </c>
      <c r="H13" s="44">
        <f>IFERROR(__xludf.DUMMYFUNCTION("""COMPUTED_VALUE"""),27688.0)</f>
        <v>27688</v>
      </c>
      <c r="I13" s="45" t="str">
        <f>IFERROR(__xludf.DUMMYFUNCTION("""COMPUTED_VALUE"""),"341-3611358")</f>
        <v>341-3611358</v>
      </c>
      <c r="J13" s="45" t="str">
        <f>IFERROR(__xludf.DUMMYFUNCTION("""COMPUTED_VALUE"""),"341-5479620")</f>
        <v>341-5479620</v>
      </c>
      <c r="K13" s="45" t="str">
        <f>IFERROR(__xludf.DUMMYFUNCTION("""COMPUTED_VALUE"""),"cpaglini@serport.com.ar")</f>
        <v>cpaglini@serport.com.ar</v>
      </c>
      <c r="L13" s="45" t="str">
        <f>IFERROR(__xludf.DUMMYFUNCTION("""COMPUTED_VALUE"""),"Masculino")</f>
        <v>Masculino</v>
      </c>
      <c r="M13" s="45" t="str">
        <f>IFERROR(__xludf.DUMMYFUNCTION("""COMPUTED_VALUE"""),"YCR")</f>
        <v>YCR</v>
      </c>
      <c r="N13" s="45" t="str">
        <f>IFERROR(__xludf.DUMMYFUNCTION("""COMPUTED_VALUE"""),"Corinthians")</f>
        <v>Corinthians</v>
      </c>
      <c r="O13" s="45" t="str">
        <f>IFERROR(__xludf.DUMMYFUNCTION("""COMPUTED_VALUE"""),"J 70")</f>
        <v>J 70</v>
      </c>
      <c r="P13" s="7">
        <f>IFERROR(__xludf.DUMMYFUNCTION("""COMPUTED_VALUE"""),49.0)</f>
        <v>49</v>
      </c>
      <c r="Q13" s="7" t="str">
        <f>IFERROR(__xludf.DUMMYFUNCTION("""COMPUTED_VALUE"""),"Arg 1557")</f>
        <v>Arg 1557</v>
      </c>
      <c r="R13" s="45" t="str">
        <f>IFERROR(__xludf.DUMMYFUNCTION("""COMPUTED_VALUE"""),"Ganesh IV")</f>
        <v>Ganesh IV</v>
      </c>
      <c r="S13" s="45" t="str">
        <f>IFERROR(__xludf.DUMMYFUNCTION("""COMPUTED_VALUE"""),"Cura Ramiro")</f>
        <v>Cura Ramiro</v>
      </c>
      <c r="T13" s="45" t="str">
        <f>IFERROR(__xludf.DUMMYFUNCTION("""COMPUTED_VALUE"""),"Alvaro Acevedo")</f>
        <v>Alvaro Acevedo</v>
      </c>
      <c r="U13" s="45" t="str">
        <f>IFERROR(__xludf.DUMMYFUNCTION("""COMPUTED_VALUE"""),"Matias Dietrich")</f>
        <v>Matias Dietrich</v>
      </c>
      <c r="V13" s="45"/>
      <c r="W13" s="45"/>
      <c r="X13" s="45"/>
      <c r="Y13" s="45" t="str">
        <f>IFERROR(__xludf.DUMMYFUNCTION("""COMPUTED_VALUE"""),"Osde")</f>
        <v>Osde</v>
      </c>
      <c r="Z13" s="7" t="str">
        <f>IFERROR(__xludf.DUMMYFUNCTION("""COMPUTED_VALUE"""),"No")</f>
        <v>No</v>
      </c>
      <c r="AA13" s="7" t="str">
        <f>IFERROR(__xludf.DUMMYFUNCTION("""COMPUTED_VALUE"""),"Acepto")</f>
        <v>Acepto</v>
      </c>
      <c r="AB13" s="7" t="str">
        <f>IFERROR(__xludf.DUMMYFUNCTION("""COMPUTED_VALUE"""),"Terminado")</f>
        <v>Terminado</v>
      </c>
      <c r="AC13" s="45">
        <f>IFERROR(__xludf.DUMMYFUNCTION("""COMPUTED_VALUE"""),68000.0)</f>
        <v>68000</v>
      </c>
      <c r="AD13" s="45">
        <f>IFERROR(__xludf.DUMMYFUNCTION("""COMPUTED_VALUE"""),205148.0)</f>
        <v>205148</v>
      </c>
      <c r="AE13" s="45" t="str">
        <f>IFERROR(__xludf.DUMMYFUNCTION("""COMPUTED_VALUE"""),"TRF 31-08")</f>
        <v>TRF 31-08</v>
      </c>
      <c r="AF13" s="45" t="str">
        <f>IFERROR(__xludf.DUMMYFUNCTION("""COMPUTED_VALUE"""),"No Corresp")</f>
        <v>No Corresp</v>
      </c>
      <c r="AG13" s="45"/>
    </row>
    <row r="14">
      <c r="B14" s="83">
        <f>IFERROR(__xludf.DUMMYFUNCTION("""COMPUTED_VALUE"""),45539.79807870371)</f>
        <v>45539.79808</v>
      </c>
      <c r="C14" s="43" t="str">
        <f>IFERROR(__xludf.DUMMYFUNCTION("""COMPUTED_VALUE"""),"Sergio")</f>
        <v>Sergio</v>
      </c>
      <c r="D14" s="43" t="str">
        <f>IFERROR(__xludf.DUMMYFUNCTION("""COMPUTED_VALUE"""),"Pendola")</f>
        <v>Pendola</v>
      </c>
      <c r="E14" s="43" t="str">
        <f>IFERROR(__xludf.DUMMYFUNCTION("""COMPUTED_VALUE"""),"Olivos")</f>
        <v>Olivos</v>
      </c>
      <c r="F14" s="7" t="str">
        <f>IFERROR(__xludf.DUMMYFUNCTION("""COMPUTED_VALUE"""),"ARG")</f>
        <v>ARG</v>
      </c>
      <c r="G14" s="7">
        <f>IFERROR(__xludf.DUMMYFUNCTION("""COMPUTED_VALUE"""),1.612448E7)</f>
        <v>16124480</v>
      </c>
      <c r="H14" s="44">
        <f>IFERROR(__xludf.DUMMYFUNCTION("""COMPUTED_VALUE"""),22682.0)</f>
        <v>22682</v>
      </c>
      <c r="I14" s="45">
        <f>IFERROR(__xludf.DUMMYFUNCTION("""COMPUTED_VALUE"""),1.170750777E9)</f>
        <v>1170750777</v>
      </c>
      <c r="J14" s="45"/>
      <c r="K14" s="45" t="str">
        <f>IFERROR(__xludf.DUMMYFUNCTION("""COMPUTED_VALUE"""),"sependola@gmail.com")</f>
        <v>sependola@gmail.com</v>
      </c>
      <c r="L14" s="45" t="str">
        <f>IFERROR(__xludf.DUMMYFUNCTION("""COMPUTED_VALUE"""),"Masculino")</f>
        <v>Masculino</v>
      </c>
      <c r="M14" s="45" t="str">
        <f>IFERROR(__xludf.DUMMYFUNCTION("""COMPUTED_VALUE"""),"CNO")</f>
        <v>CNO</v>
      </c>
      <c r="N14" s="45" t="str">
        <f>IFERROR(__xludf.DUMMYFUNCTION("""COMPUTED_VALUE"""),"Corintians")</f>
        <v>Corintians</v>
      </c>
      <c r="O14" s="45" t="str">
        <f>IFERROR(__xludf.DUMMYFUNCTION("""COMPUTED_VALUE"""),"J 70")</f>
        <v>J 70</v>
      </c>
      <c r="P14" s="7">
        <f>IFERROR(__xludf.DUMMYFUNCTION("""COMPUTED_VALUE"""),13.0)</f>
        <v>13</v>
      </c>
      <c r="Q14" s="7" t="str">
        <f>IFERROR(__xludf.DUMMYFUNCTION("""COMPUTED_VALUE"""),"ARG1199")</f>
        <v>ARG1199</v>
      </c>
      <c r="R14" s="45" t="str">
        <f>IFERROR(__xludf.DUMMYFUNCTION("""COMPUTED_VALUE"""),"Cacique")</f>
        <v>Cacique</v>
      </c>
      <c r="S14" s="45" t="str">
        <f>IFERROR(__xludf.DUMMYFUNCTION("""COMPUTED_VALUE"""),"Juan Lupo")</f>
        <v>Juan Lupo</v>
      </c>
      <c r="T14" s="45" t="str">
        <f>IFERROR(__xludf.DUMMYFUNCTION("""COMPUTED_VALUE"""),"Diego Belli")</f>
        <v>Diego Belli</v>
      </c>
      <c r="U14" s="45" t="str">
        <f>IFERROR(__xludf.DUMMYFUNCTION("""COMPUTED_VALUE"""),"Agustin Cristiano")</f>
        <v>Agustin Cristiano</v>
      </c>
      <c r="V14" s="45"/>
      <c r="W14" s="45"/>
      <c r="X14" s="45"/>
      <c r="Y14" s="45"/>
      <c r="Z14" s="7" t="str">
        <f>IFERROR(__xludf.DUMMYFUNCTION("""COMPUTED_VALUE"""),"No")</f>
        <v>No</v>
      </c>
      <c r="AA14" s="7" t="str">
        <f>IFERROR(__xludf.DUMMYFUNCTION("""COMPUTED_VALUE"""),"Acepto")</f>
        <v>Acepto</v>
      </c>
      <c r="AB14" s="7" t="str">
        <f>IFERROR(__xludf.DUMMYFUNCTION("""COMPUTED_VALUE"""),"Terminado")</f>
        <v>Terminado</v>
      </c>
      <c r="AC14" s="45">
        <f>IFERROR(__xludf.DUMMYFUNCTION("""COMPUTED_VALUE"""),80000.0)</f>
        <v>80000</v>
      </c>
      <c r="AD14" s="45">
        <f>IFERROR(__xludf.DUMMYFUNCTION("""COMPUTED_VALUE"""),205546.0)</f>
        <v>205546</v>
      </c>
      <c r="AE14" s="45" t="str">
        <f>IFERROR(__xludf.DUMMYFUNCTION("""COMPUTED_VALUE"""),"TRF 06-09")</f>
        <v>TRF 06-09</v>
      </c>
      <c r="AF14" s="45" t="str">
        <f>IFERROR(__xludf.DUMMYFUNCTION("""COMPUTED_VALUE"""),"No Corresp")</f>
        <v>No Corresp</v>
      </c>
      <c r="AG14" s="45"/>
    </row>
    <row r="15">
      <c r="B15" s="83">
        <f>IFERROR(__xludf.DUMMYFUNCTION("""COMPUTED_VALUE"""),45534.39919627315)</f>
        <v>45534.3992</v>
      </c>
      <c r="C15" s="43" t="str">
        <f>IFERROR(__xludf.DUMMYFUNCTION("""COMPUTED_VALUE"""),"matias ")</f>
        <v>matias </v>
      </c>
      <c r="D15" s="43" t="str">
        <f>IFERROR(__xludf.DUMMYFUNCTION("""COMPUTED_VALUE"""),"pereira")</f>
        <v>pereira</v>
      </c>
      <c r="E15" s="43" t="str">
        <f>IFERROR(__xludf.DUMMYFUNCTION("""COMPUTED_VALUE"""),"bs as")</f>
        <v>bs as</v>
      </c>
      <c r="F15" s="7" t="str">
        <f>IFERROR(__xludf.DUMMYFUNCTION("""COMPUTED_VALUE"""),"ARG")</f>
        <v>ARG</v>
      </c>
      <c r="G15" s="7">
        <f>IFERROR(__xludf.DUMMYFUNCTION("""COMPUTED_VALUE"""),2.3804215E7)</f>
        <v>23804215</v>
      </c>
      <c r="H15" s="44">
        <f>IFERROR(__xludf.DUMMYFUNCTION("""COMPUTED_VALUE"""),27102.0)</f>
        <v>27102</v>
      </c>
      <c r="I15" s="45">
        <f>IFERROR(__xludf.DUMMYFUNCTION("""COMPUTED_VALUE"""),5.8791952E7)</f>
        <v>58791952</v>
      </c>
      <c r="J15" s="45"/>
      <c r="K15" s="45" t="str">
        <f>IFERROR(__xludf.DUMMYFUNCTION("""COMPUTED_VALUE"""),"lozanoedgardo@gmail.com")</f>
        <v>lozanoedgardo@gmail.com</v>
      </c>
      <c r="L15" s="45" t="str">
        <f>IFERROR(__xludf.DUMMYFUNCTION("""COMPUTED_VALUE"""),"Masculino")</f>
        <v>Masculino</v>
      </c>
      <c r="M15" s="45" t="str">
        <f>IFERROR(__xludf.DUMMYFUNCTION("""COMPUTED_VALUE"""),"cno")</f>
        <v>cno</v>
      </c>
      <c r="N15" s="45" t="str">
        <f>IFERROR(__xludf.DUMMYFUNCTION("""COMPUTED_VALUE"""),"Corintians")</f>
        <v>Corintians</v>
      </c>
      <c r="O15" s="45" t="str">
        <f>IFERROR(__xludf.DUMMYFUNCTION("""COMPUTED_VALUE"""),"J 70")</f>
        <v>J 70</v>
      </c>
      <c r="P15" s="7">
        <f>IFERROR(__xludf.DUMMYFUNCTION("""COMPUTED_VALUE"""),71.0)</f>
        <v>71</v>
      </c>
      <c r="Q15" s="7">
        <f>IFERROR(__xludf.DUMMYFUNCTION("""COMPUTED_VALUE"""),1555.0)</f>
        <v>1555</v>
      </c>
      <c r="R15" s="45" t="str">
        <f>IFERROR(__xludf.DUMMYFUNCTION("""COMPUTED_VALUE"""),"blue")</f>
        <v>blue</v>
      </c>
      <c r="S15" s="45" t="str">
        <f>IFERROR(__xludf.DUMMYFUNCTION("""COMPUTED_VALUE"""),"fernando casanello")</f>
        <v>fernando casanello</v>
      </c>
      <c r="T15" s="45" t="str">
        <f>IFERROR(__xludf.DUMMYFUNCTION("""COMPUTED_VALUE"""),"emiliano homps")</f>
        <v>emiliano homps</v>
      </c>
      <c r="U15" s="45" t="str">
        <f>IFERROR(__xludf.DUMMYFUNCTION("""COMPUTED_VALUE"""),"edgardo lozano")</f>
        <v>edgardo lozano</v>
      </c>
      <c r="V15" s="45"/>
      <c r="W15" s="45"/>
      <c r="X15" s="45"/>
      <c r="Y15" s="45" t="str">
        <f>IFERROR(__xludf.DUMMYFUNCTION("""COMPUTED_VALUE"""),"osde 210")</f>
        <v>osde 210</v>
      </c>
      <c r="Z15" s="7" t="str">
        <f>IFERROR(__xludf.DUMMYFUNCTION("""COMPUTED_VALUE"""),"No")</f>
        <v>No</v>
      </c>
      <c r="AA15" s="7" t="str">
        <f>IFERROR(__xludf.DUMMYFUNCTION("""COMPUTED_VALUE"""),"Acepto")</f>
        <v>Acepto</v>
      </c>
      <c r="AB15" s="7" t="str">
        <f>IFERROR(__xludf.DUMMYFUNCTION("""COMPUTED_VALUE"""),"Terminado")</f>
        <v>Terminado</v>
      </c>
      <c r="AC15" s="45">
        <f>IFERROR(__xludf.DUMMYFUNCTION("""COMPUTED_VALUE"""),80000.0)</f>
        <v>80000</v>
      </c>
      <c r="AD15" s="45">
        <f>IFERROR(__xludf.DUMMYFUNCTION("""COMPUTED_VALUE"""),205090.0)</f>
        <v>205090</v>
      </c>
      <c r="AE15" s="45" t="str">
        <f>IFERROR(__xludf.DUMMYFUNCTION("""COMPUTED_VALUE"""),"TRF 30-08")</f>
        <v>TRF 30-08</v>
      </c>
      <c r="AF15" s="45" t="str">
        <f>IFERROR(__xludf.DUMMYFUNCTION("""COMPUTED_VALUE"""),"No Corresp")</f>
        <v>No Corresp</v>
      </c>
      <c r="AG15" s="45"/>
    </row>
    <row r="16">
      <c r="B16" s="83">
        <f>IFERROR(__xludf.DUMMYFUNCTION("""COMPUTED_VALUE"""),45540.60892486111)</f>
        <v>45540.60892</v>
      </c>
      <c r="C16" s="43" t="str">
        <f>IFERROR(__xludf.DUMMYFUNCTION("""COMPUTED_VALUE"""),"Juani")</f>
        <v>Juani</v>
      </c>
      <c r="D16" s="43" t="str">
        <f>IFERROR(__xludf.DUMMYFUNCTION("""COMPUTED_VALUE"""),"Pereyra")</f>
        <v>Pereyra</v>
      </c>
      <c r="E16" s="43" t="str">
        <f>IFERROR(__xludf.DUMMYFUNCTION("""COMPUTED_VALUE"""),"Buenos Aires ")</f>
        <v>Buenos Aires </v>
      </c>
      <c r="F16" s="7" t="str">
        <f>IFERROR(__xludf.DUMMYFUNCTION("""COMPUTED_VALUE"""),"ARG")</f>
        <v>ARG</v>
      </c>
      <c r="G16" s="7">
        <f>IFERROR(__xludf.DUMMYFUNCTION("""COMPUTED_VALUE"""),2.6282576E7)</f>
        <v>26282576</v>
      </c>
      <c r="H16" s="44">
        <f>IFERROR(__xludf.DUMMYFUNCTION("""COMPUTED_VALUE"""),-665383.0)</f>
        <v>-665383</v>
      </c>
      <c r="I16" s="45">
        <f>IFERROR(__xludf.DUMMYFUNCTION("""COMPUTED_VALUE"""),9.1138983581E10)</f>
        <v>91138983581</v>
      </c>
      <c r="J16" s="45">
        <f>IFERROR(__xludf.DUMMYFUNCTION("""COMPUTED_VALUE"""),9.1138983581E10)</f>
        <v>91138983581</v>
      </c>
      <c r="K16" s="45" t="str">
        <f>IFERROR(__xludf.DUMMYFUNCTION("""COMPUTED_VALUE"""),"juanipereyra0078@gmail.com")</f>
        <v>juanipereyra0078@gmail.com</v>
      </c>
      <c r="L16" s="45" t="str">
        <f>IFERROR(__xludf.DUMMYFUNCTION("""COMPUTED_VALUE"""),"Masculino")</f>
        <v>Masculino</v>
      </c>
      <c r="M16" s="45" t="str">
        <f>IFERROR(__xludf.DUMMYFUNCTION("""COMPUTED_VALUE"""),"CNO")</f>
        <v>CNO</v>
      </c>
      <c r="N16" s="45"/>
      <c r="O16" s="45" t="str">
        <f>IFERROR(__xludf.DUMMYFUNCTION("""COMPUTED_VALUE"""),"J 70")</f>
        <v>J 70</v>
      </c>
      <c r="P16" s="7">
        <f>IFERROR(__xludf.DUMMYFUNCTION("""COMPUTED_VALUE"""),39.0)</f>
        <v>39</v>
      </c>
      <c r="Q16" s="7">
        <f>IFERROR(__xludf.DUMMYFUNCTION("""COMPUTED_VALUE"""),1441.0)</f>
        <v>1441</v>
      </c>
      <c r="R16" s="45" t="str">
        <f>IFERROR(__xludf.DUMMYFUNCTION("""COMPUTED_VALUE"""),"Homero")</f>
        <v>Homero</v>
      </c>
      <c r="S16" s="45" t="str">
        <f>IFERROR(__xludf.DUMMYFUNCTION("""COMPUTED_VALUE"""),"Pepe bettini")</f>
        <v>Pepe bettini</v>
      </c>
      <c r="T16" s="45" t="str">
        <f>IFERROR(__xludf.DUMMYFUNCTION("""COMPUTED_VALUE"""),"Fede calabrese")</f>
        <v>Fede calabrese</v>
      </c>
      <c r="U16" s="45"/>
      <c r="V16" s="45"/>
      <c r="W16" s="45"/>
      <c r="X16" s="45"/>
      <c r="Y16" s="45"/>
      <c r="Z16" s="7" t="str">
        <f>IFERROR(__xludf.DUMMYFUNCTION("""COMPUTED_VALUE"""),"No")</f>
        <v>No</v>
      </c>
      <c r="AA16" s="7" t="str">
        <f>IFERROR(__xludf.DUMMYFUNCTION("""COMPUTED_VALUE"""),"Acepto")</f>
        <v>Acepto</v>
      </c>
      <c r="AB16" s="7" t="str">
        <f>IFERROR(__xludf.DUMMYFUNCTION("""COMPUTED_VALUE"""),"Terminado")</f>
        <v>Terminado</v>
      </c>
      <c r="AC16" s="45">
        <f>IFERROR(__xludf.DUMMYFUNCTION("""COMPUTED_VALUE"""),80000.0)</f>
        <v>80000</v>
      </c>
      <c r="AD16" s="45">
        <f>IFERROR(__xludf.DUMMYFUNCTION("""COMPUTED_VALUE"""),205502.0)</f>
        <v>205502</v>
      </c>
      <c r="AE16" s="45" t="str">
        <f>IFERROR(__xludf.DUMMYFUNCTION("""COMPUTED_VALUE"""),"TRF 05-09")</f>
        <v>TRF 05-09</v>
      </c>
      <c r="AF16" s="45" t="str">
        <f>IFERROR(__xludf.DUMMYFUNCTION("""COMPUTED_VALUE"""),"No Corresp")</f>
        <v>No Corresp</v>
      </c>
      <c r="AG16" s="45"/>
    </row>
    <row r="17">
      <c r="B17" s="83">
        <f>IFERROR(__xludf.DUMMYFUNCTION("""COMPUTED_VALUE"""),45530.43321945602)</f>
        <v>45530.43322</v>
      </c>
      <c r="C17" s="43" t="str">
        <f>IFERROR(__xludf.DUMMYFUNCTION("""COMPUTED_VALUE"""),"Ignacio")</f>
        <v>Ignacio</v>
      </c>
      <c r="D17" s="43" t="str">
        <f>IFERROR(__xludf.DUMMYFUNCTION("""COMPUTED_VALUE"""),"Ruiz Moreno")</f>
        <v>Ruiz Moreno</v>
      </c>
      <c r="E17" s="43" t="str">
        <f>IFERROR(__xludf.DUMMYFUNCTION("""COMPUTED_VALUE"""),"Zarate")</f>
        <v>Zarate</v>
      </c>
      <c r="F17" s="7" t="str">
        <f>IFERROR(__xludf.DUMMYFUNCTION("""COMPUTED_VALUE"""),"ARG")</f>
        <v>ARG</v>
      </c>
      <c r="G17" s="7">
        <f>IFERROR(__xludf.DUMMYFUNCTION("""COMPUTED_VALUE"""),2.955711E7)</f>
        <v>29557110</v>
      </c>
      <c r="H17" s="44">
        <f>IFERROR(__xludf.DUMMYFUNCTION("""COMPUTED_VALUE"""),30176.0)</f>
        <v>30176</v>
      </c>
      <c r="I17" s="45">
        <f>IFERROR(__xludf.DUMMYFUNCTION("""COMPUTED_VALUE"""),3.48715618569E11)</f>
        <v>348715618569</v>
      </c>
      <c r="J17" s="45">
        <f>IFERROR(__xludf.DUMMYFUNCTION("""COMPUTED_VALUE"""),3.48715686052E11)</f>
        <v>348715686052</v>
      </c>
      <c r="K17" s="45" t="str">
        <f>IFERROR(__xludf.DUMMYFUNCTION("""COMPUTED_VALUE"""),"nachoruizmoreno@gmail.com")</f>
        <v>nachoruizmoreno@gmail.com</v>
      </c>
      <c r="L17" s="45" t="str">
        <f>IFERROR(__xludf.DUMMYFUNCTION("""COMPUTED_VALUE"""),"Masculino")</f>
        <v>Masculino</v>
      </c>
      <c r="M17" s="45" t="str">
        <f>IFERROR(__xludf.DUMMYFUNCTION("""COMPUTED_VALUE"""),"CNAs")</f>
        <v>CNAs</v>
      </c>
      <c r="N17" s="45" t="str">
        <f>IFERROR(__xludf.DUMMYFUNCTION("""COMPUTED_VALUE"""),"Corinthians")</f>
        <v>Corinthians</v>
      </c>
      <c r="O17" s="45" t="str">
        <f>IFERROR(__xludf.DUMMYFUNCTION("""COMPUTED_VALUE"""),"J 70")</f>
        <v>J 70</v>
      </c>
      <c r="P17" s="7">
        <f>IFERROR(__xludf.DUMMYFUNCTION("""COMPUTED_VALUE"""),22.0)</f>
        <v>22</v>
      </c>
      <c r="Q17" s="7" t="str">
        <f>IFERROR(__xludf.DUMMYFUNCTION("""COMPUTED_VALUE"""),"ARG 1296")</f>
        <v>ARG 1296</v>
      </c>
      <c r="R17" s="45" t="str">
        <f>IFERROR(__xludf.DUMMYFUNCTION("""COMPUTED_VALUE"""),"Zaratoka")</f>
        <v>Zaratoka</v>
      </c>
      <c r="S17" s="45" t="str">
        <f>IFERROR(__xludf.DUMMYFUNCTION("""COMPUTED_VALUE"""),"Nicolas Guille")</f>
        <v>Nicolas Guille</v>
      </c>
      <c r="T17" s="45" t="str">
        <f>IFERROR(__xludf.DUMMYFUNCTION("""COMPUTED_VALUE"""),"Alejandro Juan de Paz")</f>
        <v>Alejandro Juan de Paz</v>
      </c>
      <c r="U17" s="45" t="str">
        <f>IFERROR(__xludf.DUMMYFUNCTION("""COMPUTED_VALUE"""),"Ezequiel Navari")</f>
        <v>Ezequiel Navari</v>
      </c>
      <c r="V17" s="45"/>
      <c r="W17" s="45"/>
      <c r="X17" s="45"/>
      <c r="Y17" s="45" t="str">
        <f>IFERROR(__xludf.DUMMYFUNCTION("""COMPUTED_VALUE"""),"OSDE 61816818302")</f>
        <v>OSDE 61816818302</v>
      </c>
      <c r="Z17" s="7" t="str">
        <f>IFERROR(__xludf.DUMMYFUNCTION("""COMPUTED_VALUE"""),"No")</f>
        <v>No</v>
      </c>
      <c r="AA17" s="7" t="str">
        <f>IFERROR(__xludf.DUMMYFUNCTION("""COMPUTED_VALUE"""),"Acepto")</f>
        <v>Acepto</v>
      </c>
      <c r="AB17" s="7" t="str">
        <f>IFERROR(__xludf.DUMMYFUNCTION("""COMPUTED_VALUE"""),"No corre")</f>
        <v>No corre</v>
      </c>
      <c r="AC17" s="45"/>
      <c r="AD17" s="45"/>
      <c r="AE17" s="45"/>
      <c r="AF17" s="45" t="str">
        <f>IFERROR(__xludf.DUMMYFUNCTION("""COMPUTED_VALUE"""),"No Corresp")</f>
        <v>No Corresp</v>
      </c>
      <c r="AG17" s="45"/>
    </row>
    <row r="18">
      <c r="B18" s="83">
        <f>IFERROR(__xludf.DUMMYFUNCTION("""COMPUTED_VALUE"""),45528.44431559028)</f>
        <v>45528.44432</v>
      </c>
      <c r="C18" s="43" t="str">
        <f>IFERROR(__xludf.DUMMYFUNCTION("""COMPUTED_VALUE"""),"Federico")</f>
        <v>Federico</v>
      </c>
      <c r="D18" s="43" t="str">
        <f>IFERROR(__xludf.DUMMYFUNCTION("""COMPUTED_VALUE"""),"Sanchez")</f>
        <v>Sanchez</v>
      </c>
      <c r="E18" s="43" t="str">
        <f>IFERROR(__xludf.DUMMYFUNCTION("""COMPUTED_VALUE"""),"CABA")</f>
        <v>CABA</v>
      </c>
      <c r="F18" s="43" t="str">
        <f>IFERROR(__xludf.DUMMYFUNCTION("""COMPUTED_VALUE"""),"ARG")</f>
        <v>ARG</v>
      </c>
      <c r="G18" s="43">
        <f>IFERROR(__xludf.DUMMYFUNCTION("""COMPUTED_VALUE"""),2.2920734E7)</f>
        <v>22920734</v>
      </c>
      <c r="H18" s="85">
        <f>IFERROR(__xludf.DUMMYFUNCTION("""COMPUTED_VALUE"""),26614.0)</f>
        <v>26614</v>
      </c>
      <c r="I18" s="43">
        <f>IFERROR(__xludf.DUMMYFUNCTION("""COMPUTED_VALUE"""),2.98453948E9)</f>
        <v>2984539480</v>
      </c>
      <c r="J18" s="43">
        <f>IFERROR(__xludf.DUMMYFUNCTION("""COMPUTED_VALUE"""),2.984657777E9)</f>
        <v>2984657777</v>
      </c>
      <c r="K18" s="43" t="str">
        <f>IFERROR(__xludf.DUMMYFUNCTION("""COMPUTED_VALUE"""),"fedhugsan@gmail.com")</f>
        <v>fedhugsan@gmail.com</v>
      </c>
      <c r="L18" s="43" t="str">
        <f>IFERROR(__xludf.DUMMYFUNCTION("""COMPUTED_VALUE"""),"Masculino")</f>
        <v>Masculino</v>
      </c>
      <c r="M18" s="43" t="str">
        <f>IFERROR(__xludf.DUMMYFUNCTION("""COMPUTED_VALUE"""),"YCA")</f>
        <v>YCA</v>
      </c>
      <c r="N18" s="45" t="str">
        <f>IFERROR(__xludf.DUMMYFUNCTION("""COMPUTED_VALUE"""),"Corinthians")</f>
        <v>Corinthians</v>
      </c>
      <c r="O18" s="45" t="str">
        <f>IFERROR(__xludf.DUMMYFUNCTION("""COMPUTED_VALUE"""),"J 70")</f>
        <v>J 70</v>
      </c>
      <c r="P18" s="7">
        <f>IFERROR(__xludf.DUMMYFUNCTION("""COMPUTED_VALUE"""),29.0)</f>
        <v>29</v>
      </c>
      <c r="Q18" s="7">
        <f>IFERROR(__xludf.DUMMYFUNCTION("""COMPUTED_VALUE"""),1433.0)</f>
        <v>1433</v>
      </c>
      <c r="R18" s="45" t="str">
        <f>IFERROR(__xludf.DUMMYFUNCTION("""COMPUTED_VALUE"""),"Spinetta")</f>
        <v>Spinetta</v>
      </c>
      <c r="S18" s="45" t="str">
        <f>IFERROR(__xludf.DUMMYFUNCTION("""COMPUTED_VALUE"""),"Federico Sánchez")</f>
        <v>Federico Sánchez</v>
      </c>
      <c r="T18" s="45" t="str">
        <f>IFERROR(__xludf.DUMMYFUNCTION("""COMPUTED_VALUE"""),"Guillermo de Barrio")</f>
        <v>Guillermo de Barrio</v>
      </c>
      <c r="U18" s="45" t="str">
        <f>IFERROR(__xludf.DUMMYFUNCTION("""COMPUTED_VALUE"""),"Ignacio Bertolini")</f>
        <v>Ignacio Bertolini</v>
      </c>
      <c r="V18" s="45" t="str">
        <f>IFERROR(__xludf.DUMMYFUNCTION("""COMPUTED_VALUE"""),"Fernando Iguerategui")</f>
        <v>Fernando Iguerategui</v>
      </c>
      <c r="W18" s="45"/>
      <c r="X18" s="45"/>
      <c r="Y18" s="45" t="str">
        <f>IFERROR(__xludf.DUMMYFUNCTION("""COMPUTED_VALUE"""),"Osde30208973410")</f>
        <v>Osde30208973410</v>
      </c>
      <c r="Z18" s="7" t="str">
        <f>IFERROR(__xludf.DUMMYFUNCTION("""COMPUTED_VALUE"""),"No")</f>
        <v>No</v>
      </c>
      <c r="AA18" s="7" t="str">
        <f>IFERROR(__xludf.DUMMYFUNCTION("""COMPUTED_VALUE"""),"Acepto")</f>
        <v>Acepto</v>
      </c>
      <c r="AB18" s="7" t="str">
        <f>IFERROR(__xludf.DUMMYFUNCTION("""COMPUTED_VALUE"""),"Terminado")</f>
        <v>Terminado</v>
      </c>
      <c r="AC18" s="45">
        <f>IFERROR(__xludf.DUMMYFUNCTION("""COMPUTED_VALUE"""),80000.0)</f>
        <v>80000</v>
      </c>
      <c r="AD18" s="45">
        <f>IFERROR(__xludf.DUMMYFUNCTION("""COMPUTED_VALUE"""),205050.0)</f>
        <v>205050</v>
      </c>
      <c r="AE18" s="45" t="str">
        <f>IFERROR(__xludf.DUMMYFUNCTION("""COMPUTED_VALUE"""),"TRF 23-08")</f>
        <v>TRF 23-08</v>
      </c>
      <c r="AF18" s="45" t="str">
        <f>IFERROR(__xludf.DUMMYFUNCTION("""COMPUTED_VALUE"""),"No Corresp")</f>
        <v>No Corresp</v>
      </c>
      <c r="AG18" s="45"/>
    </row>
    <row r="19">
      <c r="B19" s="83">
        <f>IFERROR(__xludf.DUMMYFUNCTION("""COMPUTED_VALUE"""),45532.9697056713)</f>
        <v>45532.96971</v>
      </c>
      <c r="C19" s="43" t="str">
        <f>IFERROR(__xludf.DUMMYFUNCTION("""COMPUTED_VALUE"""),"Alejandro")</f>
        <v>Alejandro</v>
      </c>
      <c r="D19" s="43" t="str">
        <f>IFERROR(__xludf.DUMMYFUNCTION("""COMPUTED_VALUE"""),"Sessarego")</f>
        <v>Sessarego</v>
      </c>
      <c r="E19" s="43" t="str">
        <f>IFERROR(__xludf.DUMMYFUNCTION("""COMPUTED_VALUE"""),"Buenos Aires")</f>
        <v>Buenos Aires</v>
      </c>
      <c r="F19" s="43" t="str">
        <f>IFERROR(__xludf.DUMMYFUNCTION("""COMPUTED_VALUE"""),"ARG")</f>
        <v>ARG</v>
      </c>
      <c r="G19" s="43">
        <f>IFERROR(__xludf.DUMMYFUNCTION("""COMPUTED_VALUE"""),1.6124872E7)</f>
        <v>16124872</v>
      </c>
      <c r="H19" s="85">
        <f>IFERROR(__xludf.DUMMYFUNCTION("""COMPUTED_VALUE"""),22855.0)</f>
        <v>22855</v>
      </c>
      <c r="I19" s="43">
        <f>IFERROR(__xludf.DUMMYFUNCTION("""COMPUTED_VALUE"""),1.141714032E9)</f>
        <v>1141714032</v>
      </c>
      <c r="J19" s="43">
        <f>IFERROR(__xludf.DUMMYFUNCTION("""COMPUTED_VALUE"""),1.167598764E9)</f>
        <v>1167598764</v>
      </c>
      <c r="K19" s="43" t="str">
        <f>IFERROR(__xludf.DUMMYFUNCTION("""COMPUTED_VALUE"""),"asessarego@remax.com.ar")</f>
        <v>asessarego@remax.com.ar</v>
      </c>
      <c r="L19" s="43" t="str">
        <f>IFERROR(__xludf.DUMMYFUNCTION("""COMPUTED_VALUE"""),"Masculino")</f>
        <v>Masculino</v>
      </c>
      <c r="M19" s="43" t="str">
        <f>IFERROR(__xludf.DUMMYFUNCTION("""COMPUTED_VALUE"""),"CVSI CNSE")</f>
        <v>CVSI CNSE</v>
      </c>
      <c r="N19" s="45" t="str">
        <f>IFERROR(__xludf.DUMMYFUNCTION("""COMPUTED_VALUE"""),"J70 open")</f>
        <v>J70 open</v>
      </c>
      <c r="O19" s="45" t="str">
        <f>IFERROR(__xludf.DUMMYFUNCTION("""COMPUTED_VALUE"""),"J 70")</f>
        <v>J 70</v>
      </c>
      <c r="P19" s="7">
        <f>IFERROR(__xludf.DUMMYFUNCTION("""COMPUTED_VALUE"""),23.0)</f>
        <v>23</v>
      </c>
      <c r="Q19" s="7">
        <f>IFERROR(__xludf.DUMMYFUNCTION("""COMPUTED_VALUE"""),1738.0)</f>
        <v>1738</v>
      </c>
      <c r="R19" s="45" t="str">
        <f>IFERROR(__xludf.DUMMYFUNCTION("""COMPUTED_VALUE"""),"Macarena")</f>
        <v>Macarena</v>
      </c>
      <c r="S19" s="45" t="str">
        <f>IFERROR(__xludf.DUMMYFUNCTION("""COMPUTED_VALUE"""),"Alejandro Sessarego")</f>
        <v>Alejandro Sessarego</v>
      </c>
      <c r="T19" s="45" t="str">
        <f>IFERROR(__xludf.DUMMYFUNCTION("""COMPUTED_VALUE"""),"Ezequiel Vescio")</f>
        <v>Ezequiel Vescio</v>
      </c>
      <c r="U19" s="45" t="str">
        <f>IFERROR(__xludf.DUMMYFUNCTION("""COMPUTED_VALUE"""),"Carlos Barone")</f>
        <v>Carlos Barone</v>
      </c>
      <c r="V19" s="45" t="str">
        <f>IFERROR(__xludf.DUMMYFUNCTION("""COMPUTED_VALUE"""),"Esteban Afonso")</f>
        <v>Esteban Afonso</v>
      </c>
      <c r="W19" s="45"/>
      <c r="X19" s="45"/>
      <c r="Y19" s="45" t="str">
        <f>IFERROR(__xludf.DUMMYFUNCTION("""COMPUTED_VALUE"""),"Swiss Medical 8000060239590 01")</f>
        <v>Swiss Medical 8000060239590 01</v>
      </c>
      <c r="Z19" s="7" t="str">
        <f>IFERROR(__xludf.DUMMYFUNCTION("""COMPUTED_VALUE"""),"No")</f>
        <v>No</v>
      </c>
      <c r="AA19" s="7" t="str">
        <f>IFERROR(__xludf.DUMMYFUNCTION("""COMPUTED_VALUE"""),"Acepto")</f>
        <v>Acepto</v>
      </c>
      <c r="AB19" s="7" t="str">
        <f>IFERROR(__xludf.DUMMYFUNCTION("""COMPUTED_VALUE"""),"Terminado")</f>
        <v>Terminado</v>
      </c>
      <c r="AC19" s="45">
        <f>IFERROR(__xludf.DUMMYFUNCTION("""COMPUTED_VALUE"""),90000.0)</f>
        <v>90000</v>
      </c>
      <c r="AD19" s="45">
        <f>IFERROR(__xludf.DUMMYFUNCTION("""COMPUTED_VALUE"""),205456.0)</f>
        <v>205456</v>
      </c>
      <c r="AE19" s="45" t="str">
        <f>IFERROR(__xludf.DUMMYFUNCTION("""COMPUTED_VALUE"""),"TRF 04-09")</f>
        <v>TRF 04-09</v>
      </c>
      <c r="AF19" s="45" t="str">
        <f>IFERROR(__xludf.DUMMYFUNCTION("""COMPUTED_VALUE"""),"No Corresp")</f>
        <v>No Corresp</v>
      </c>
      <c r="AG19" s="45"/>
    </row>
    <row r="20">
      <c r="B20" s="83">
        <f>IFERROR(__xludf.DUMMYFUNCTION("""COMPUTED_VALUE"""),45538.49335796296)</f>
        <v>45538.49336</v>
      </c>
      <c r="C20" s="43" t="str">
        <f>IFERROR(__xludf.DUMMYFUNCTION("""COMPUTED_VALUE"""),"Mariano")</f>
        <v>Mariano</v>
      </c>
      <c r="D20" s="43" t="str">
        <f>IFERROR(__xludf.DUMMYFUNCTION("""COMPUTED_VALUE"""),"Tavelli")</f>
        <v>Tavelli</v>
      </c>
      <c r="E20" s="43" t="str">
        <f>IFERROR(__xludf.DUMMYFUNCTION("""COMPUTED_VALUE"""),"C.A.B.A")</f>
        <v>C.A.B.A</v>
      </c>
      <c r="F20" s="43" t="str">
        <f>IFERROR(__xludf.DUMMYFUNCTION("""COMPUTED_VALUE"""),"ARG")</f>
        <v>ARG</v>
      </c>
      <c r="G20" s="7">
        <f>IFERROR(__xludf.DUMMYFUNCTION("""COMPUTED_VALUE"""),1.8370425E7)</f>
        <v>18370425</v>
      </c>
      <c r="H20" s="44">
        <f>IFERROR(__xludf.DUMMYFUNCTION("""COMPUTED_VALUE"""),24737.0)</f>
        <v>24737</v>
      </c>
      <c r="I20" s="45" t="str">
        <f>IFERROR(__xludf.DUMMYFUNCTION("""COMPUTED_VALUE"""),"15-6704-1779")</f>
        <v>15-6704-1779</v>
      </c>
      <c r="J20" s="45"/>
      <c r="K20" s="45" t="str">
        <f>IFERROR(__xludf.DUMMYFUNCTION("""COMPUTED_VALUE"""),"mariano.tavelli@tavelli.com.ar")</f>
        <v>mariano.tavelli@tavelli.com.ar</v>
      </c>
      <c r="L20" s="45" t="str">
        <f>IFERROR(__xludf.DUMMYFUNCTION("""COMPUTED_VALUE"""),"Masculino")</f>
        <v>Masculino</v>
      </c>
      <c r="M20" s="45" t="str">
        <f>IFERROR(__xludf.DUMMYFUNCTION("""COMPUTED_VALUE"""),"YCA")</f>
        <v>YCA</v>
      </c>
      <c r="N20" s="45" t="str">
        <f>IFERROR(__xludf.DUMMYFUNCTION("""COMPUTED_VALUE"""),"Corinthians")</f>
        <v>Corinthians</v>
      </c>
      <c r="O20" s="45" t="str">
        <f>IFERROR(__xludf.DUMMYFUNCTION("""COMPUTED_VALUE"""),"J 70")</f>
        <v>J 70</v>
      </c>
      <c r="P20" s="7">
        <f>IFERROR(__xludf.DUMMYFUNCTION("""COMPUTED_VALUE"""),31.0)</f>
        <v>31</v>
      </c>
      <c r="Q20" s="7" t="str">
        <f>IFERROR(__xludf.DUMMYFUNCTION("""COMPUTED_VALUE"""),"ARG 1436")</f>
        <v>ARG 1436</v>
      </c>
      <c r="R20" s="45" t="str">
        <f>IFERROR(__xludf.DUMMYFUNCTION("""COMPUTED_VALUE"""),"DAI !")</f>
        <v>DAI !</v>
      </c>
      <c r="S20" s="45" t="str">
        <f>IFERROR(__xludf.DUMMYFUNCTION("""COMPUTED_VALUE"""),"Carlos Agnoletti")</f>
        <v>Carlos Agnoletti</v>
      </c>
      <c r="T20" s="45" t="str">
        <f>IFERROR(__xludf.DUMMYFUNCTION("""COMPUTED_VALUE"""),"Andrés Fox")</f>
        <v>Andrés Fox</v>
      </c>
      <c r="U20" s="45" t="str">
        <f>IFERROR(__xludf.DUMMYFUNCTION("""COMPUTED_VALUE"""),"KIKE Wiedeman")</f>
        <v>KIKE Wiedeman</v>
      </c>
      <c r="V20" s="45"/>
      <c r="W20" s="45"/>
      <c r="X20" s="45"/>
      <c r="Y20" s="45" t="str">
        <f>IFERROR(__xludf.DUMMYFUNCTION("""COMPUTED_VALUE"""),"OSDE")</f>
        <v>OSDE</v>
      </c>
      <c r="Z20" s="7" t="str">
        <f>IFERROR(__xludf.DUMMYFUNCTION("""COMPUTED_VALUE"""),"No")</f>
        <v>No</v>
      </c>
      <c r="AA20" s="7" t="str">
        <f>IFERROR(__xludf.DUMMYFUNCTION("""COMPUTED_VALUE"""),"Acepto")</f>
        <v>Acepto</v>
      </c>
      <c r="AB20" s="7" t="str">
        <f>IFERROR(__xludf.DUMMYFUNCTION("""COMPUTED_VALUE"""),"Terminado")</f>
        <v>Terminado</v>
      </c>
      <c r="AC20" s="45">
        <f>IFERROR(__xludf.DUMMYFUNCTION("""COMPUTED_VALUE"""),90000.0)</f>
        <v>90000</v>
      </c>
      <c r="AD20" s="45">
        <f>IFERROR(__xludf.DUMMYFUNCTION("""COMPUTED_VALUE"""),205413.0)</f>
        <v>205413</v>
      </c>
      <c r="AE20" s="45" t="str">
        <f>IFERROR(__xludf.DUMMYFUNCTION("""COMPUTED_VALUE"""),"TRF 03-09")</f>
        <v>TRF 03-09</v>
      </c>
      <c r="AF20" s="45" t="str">
        <f>IFERROR(__xludf.DUMMYFUNCTION("""COMPUTED_VALUE"""),"No Corresp")</f>
        <v>No Corresp</v>
      </c>
      <c r="AG20" s="45" t="str">
        <f>IFERROR(__xludf.DUMMYFUNCTION("""COMPUTED_VALUE"""),"SI")</f>
        <v>SI</v>
      </c>
    </row>
    <row r="21">
      <c r="B21" s="83">
        <f>IFERROR(__xludf.DUMMYFUNCTION("""COMPUTED_VALUE"""),45539.686846805555)</f>
        <v>45539.68685</v>
      </c>
      <c r="C21" s="43" t="str">
        <f>IFERROR(__xludf.DUMMYFUNCTION("""COMPUTED_VALUE"""),"Mariano")</f>
        <v>Mariano</v>
      </c>
      <c r="D21" s="43" t="str">
        <f>IFERROR(__xludf.DUMMYFUNCTION("""COMPUTED_VALUE"""),"Victory")</f>
        <v>Victory</v>
      </c>
      <c r="E21" s="43" t="str">
        <f>IFERROR(__xludf.DUMMYFUNCTION("""COMPUTED_VALUE"""),"caba")</f>
        <v>caba</v>
      </c>
      <c r="F21" s="43" t="str">
        <f>IFERROR(__xludf.DUMMYFUNCTION("""COMPUTED_VALUE"""),"ARG")</f>
        <v>ARG</v>
      </c>
      <c r="G21" s="7">
        <f>IFERROR(__xludf.DUMMYFUNCTION("""COMPUTED_VALUE"""),4.0649218E7)</f>
        <v>40649218</v>
      </c>
      <c r="H21" s="44">
        <f>IFERROR(__xludf.DUMMYFUNCTION("""COMPUTED_VALUE"""),35719.0)</f>
        <v>35719</v>
      </c>
      <c r="I21" s="45">
        <f>IFERROR(__xludf.DUMMYFUNCTION("""COMPUTED_VALUE"""),1.161640707E9)</f>
        <v>1161640707</v>
      </c>
      <c r="J21" s="45">
        <f>IFERROR(__xludf.DUMMYFUNCTION("""COMPUTED_VALUE"""),1.161640707E9)</f>
        <v>1161640707</v>
      </c>
      <c r="K21" s="45" t="str">
        <f>IFERROR(__xludf.DUMMYFUNCTION("""COMPUTED_VALUE"""),"fjtavella@gmail.com")</f>
        <v>fjtavella@gmail.com</v>
      </c>
      <c r="L21" s="45" t="str">
        <f>IFERROR(__xludf.DUMMYFUNCTION("""COMPUTED_VALUE"""),"Masculino")</f>
        <v>Masculino</v>
      </c>
      <c r="M21" s="45" t="str">
        <f>IFERROR(__xludf.DUMMYFUNCTION("""COMPUTED_VALUE"""),"YCA")</f>
        <v>YCA</v>
      </c>
      <c r="N21" s="45"/>
      <c r="O21" s="45" t="str">
        <f>IFERROR(__xludf.DUMMYFUNCTION("""COMPUTED_VALUE"""),"J 70")</f>
        <v>J 70</v>
      </c>
      <c r="P21" s="7" t="str">
        <f>IFERROR(__xludf.DUMMYFUNCTION("""COMPUTED_VALUE"""),"04")</f>
        <v>04</v>
      </c>
      <c r="Q21" s="7" t="str">
        <f>IFERROR(__xludf.DUMMYFUNCTION("""COMPUTED_VALUE"""),"Arg1190")</f>
        <v>Arg1190</v>
      </c>
      <c r="R21" s="45"/>
      <c r="S21" s="45" t="str">
        <f>IFERROR(__xludf.DUMMYFUNCTION("""COMPUTED_VALUE"""),"Martín Bodas")</f>
        <v>Martín Bodas</v>
      </c>
      <c r="T21" s="45" t="str">
        <f>IFERROR(__xludf.DUMMYFUNCTION("""COMPUTED_VALUE"""),"José Ignacio Villar")</f>
        <v>José Ignacio Villar</v>
      </c>
      <c r="U21" s="45" t="str">
        <f>IFERROR(__xludf.DUMMYFUNCTION("""COMPUTED_VALUE"""),"Pedro Ciscato")</f>
        <v>Pedro Ciscato</v>
      </c>
      <c r="V21" s="45" t="str">
        <f>IFERROR(__xludf.DUMMYFUNCTION("""COMPUTED_VALUE"""),"Javier Tavella")</f>
        <v>Javier Tavella</v>
      </c>
      <c r="W21" s="45"/>
      <c r="X21" s="45"/>
      <c r="Y21" s="45" t="str">
        <f>IFERROR(__xludf.DUMMYFUNCTION("""COMPUTED_VALUE"""),"OSDE")</f>
        <v>OSDE</v>
      </c>
      <c r="Z21" s="7" t="str">
        <f>IFERROR(__xludf.DUMMYFUNCTION("""COMPUTED_VALUE"""),"No")</f>
        <v>No</v>
      </c>
      <c r="AA21" s="7" t="str">
        <f>IFERROR(__xludf.DUMMYFUNCTION("""COMPUTED_VALUE"""),"Acepto")</f>
        <v>Acepto</v>
      </c>
      <c r="AB21" s="7" t="str">
        <f>IFERROR(__xludf.DUMMYFUNCTION("""COMPUTED_VALUE"""),"Terminado")</f>
        <v>Terminado</v>
      </c>
      <c r="AC21" s="45">
        <f>IFERROR(__xludf.DUMMYFUNCTION("""COMPUTED_VALUE"""),90000.0)</f>
        <v>90000</v>
      </c>
      <c r="AD21" s="45">
        <f>IFERROR(__xludf.DUMMYFUNCTION("""COMPUTED_VALUE"""),205444.0)</f>
        <v>205444</v>
      </c>
      <c r="AE21" s="45" t="str">
        <f>IFERROR(__xludf.DUMMYFUNCTION("""COMPUTED_VALUE"""),"TRF 04-09")</f>
        <v>TRF 04-09</v>
      </c>
      <c r="AF21" s="45" t="str">
        <f>IFERROR(__xludf.DUMMYFUNCTION("""COMPUTED_VALUE"""),"No Corresp")</f>
        <v>No Corresp</v>
      </c>
      <c r="AG21" s="45"/>
    </row>
    <row r="22">
      <c r="B22" s="83">
        <f>IFERROR(__xludf.DUMMYFUNCTION("""COMPUTED_VALUE"""),45528.68500759259)</f>
        <v>45528.68501</v>
      </c>
      <c r="C22" s="43" t="str">
        <f>IFERROR(__xludf.DUMMYFUNCTION("""COMPUTED_VALUE"""),"Maximo")</f>
        <v>Maximo</v>
      </c>
      <c r="D22" s="43" t="str">
        <f>IFERROR(__xludf.DUMMYFUNCTION("""COMPUTED_VALUE"""),"Videla")</f>
        <v>Videla</v>
      </c>
      <c r="E22" s="43" t="str">
        <f>IFERROR(__xludf.DUMMYFUNCTION("""COMPUTED_VALUE"""),"CABA")</f>
        <v>CABA</v>
      </c>
      <c r="F22" s="43" t="str">
        <f>IFERROR(__xludf.DUMMYFUNCTION("""COMPUTED_VALUE"""),"ARG")</f>
        <v>ARG</v>
      </c>
      <c r="G22" s="7">
        <f>IFERROR(__xludf.DUMMYFUNCTION("""COMPUTED_VALUE"""),4.5283311E7)</f>
        <v>45283311</v>
      </c>
      <c r="H22" s="44">
        <f>IFERROR(__xludf.DUMMYFUNCTION("""COMPUTED_VALUE"""),38029.0)</f>
        <v>38029</v>
      </c>
      <c r="I22" s="45">
        <f>IFERROR(__xludf.DUMMYFUNCTION("""COMPUTED_VALUE"""),1.556174773E9)</f>
        <v>1556174773</v>
      </c>
      <c r="J22" s="45">
        <f>IFERROR(__xludf.DUMMYFUNCTION("""COMPUTED_VALUE"""),1.564422696E9)</f>
        <v>1564422696</v>
      </c>
      <c r="K22" s="45" t="str">
        <f>IFERROR(__xludf.DUMMYFUNCTION("""COMPUTED_VALUE"""),"eugejasson@gmail.com")</f>
        <v>eugejasson@gmail.com</v>
      </c>
      <c r="L22" s="45" t="str">
        <f>IFERROR(__xludf.DUMMYFUNCTION("""COMPUTED_VALUE"""),"Masculino")</f>
        <v>Masculino</v>
      </c>
      <c r="M22" s="45" t="str">
        <f>IFERROR(__xludf.DUMMYFUNCTION("""COMPUTED_VALUE"""),"YCA")</f>
        <v>YCA</v>
      </c>
      <c r="N22" s="45" t="str">
        <f>IFERROR(__xludf.DUMMYFUNCTION("""COMPUTED_VALUE"""),"Corinthian")</f>
        <v>Corinthian</v>
      </c>
      <c r="O22" s="45" t="str">
        <f>IFERROR(__xludf.DUMMYFUNCTION("""COMPUTED_VALUE"""),"J 70")</f>
        <v>J 70</v>
      </c>
      <c r="P22" s="7" t="str">
        <f>IFERROR(__xludf.DUMMYFUNCTION("""COMPUTED_VALUE"""),"03")</f>
        <v>03</v>
      </c>
      <c r="Q22" s="7">
        <f>IFERROR(__xludf.DUMMYFUNCTION("""COMPUTED_VALUE"""),1189.0)</f>
        <v>1189</v>
      </c>
      <c r="R22" s="45" t="str">
        <f>IFERROR(__xludf.DUMMYFUNCTION("""COMPUTED_VALUE"""),"Whisky")</f>
        <v>Whisky</v>
      </c>
      <c r="S22" s="45" t="str">
        <f>IFERROR(__xludf.DUMMYFUNCTION("""COMPUTED_VALUE"""),"Franco Greggi")</f>
        <v>Franco Greggi</v>
      </c>
      <c r="T22" s="45" t="str">
        <f>IFERROR(__xludf.DUMMYFUNCTION("""COMPUTED_VALUE"""),"Santiago Palkin")</f>
        <v>Santiago Palkin</v>
      </c>
      <c r="U22" s="45" t="str">
        <f>IFERROR(__xludf.DUMMYFUNCTION("""COMPUTED_VALUE"""),"Juan Cruz Albamonte")</f>
        <v>Juan Cruz Albamonte</v>
      </c>
      <c r="V22" s="45" t="str">
        <f>IFERROR(__xludf.DUMMYFUNCTION("""COMPUTED_VALUE"""),"Eugenia Jasson")</f>
        <v>Eugenia Jasson</v>
      </c>
      <c r="W22" s="45"/>
      <c r="X22" s="45"/>
      <c r="Y22" s="45" t="str">
        <f>IFERROR(__xludf.DUMMYFUNCTION("""COMPUTED_VALUE"""),"osde")</f>
        <v>osde</v>
      </c>
      <c r="Z22" s="7" t="str">
        <f>IFERROR(__xludf.DUMMYFUNCTION("""COMPUTED_VALUE"""),"No")</f>
        <v>No</v>
      </c>
      <c r="AA22" s="7" t="str">
        <f>IFERROR(__xludf.DUMMYFUNCTION("""COMPUTED_VALUE"""),"Acepto")</f>
        <v>Acepto</v>
      </c>
      <c r="AB22" s="7" t="str">
        <f>IFERROR(__xludf.DUMMYFUNCTION("""COMPUTED_VALUE"""),"Terminado")</f>
        <v>Terminado</v>
      </c>
      <c r="AC22" s="45">
        <f>IFERROR(__xludf.DUMMYFUNCTION("""COMPUTED_VALUE"""),80000.0)</f>
        <v>80000</v>
      </c>
      <c r="AD22" s="45">
        <f>IFERROR(__xludf.DUMMYFUNCTION("""COMPUTED_VALUE"""),205051.0)</f>
        <v>205051</v>
      </c>
      <c r="AE22" s="45" t="str">
        <f>IFERROR(__xludf.DUMMYFUNCTION("""COMPUTED_VALUE"""),"TRF 23-08")</f>
        <v>TRF 23-08</v>
      </c>
      <c r="AF22" s="45" t="str">
        <f>IFERROR(__xludf.DUMMYFUNCTION("""COMPUTED_VALUE"""),"No Corresp")</f>
        <v>No Corresp</v>
      </c>
      <c r="AG22" s="45"/>
    </row>
    <row r="23">
      <c r="B23" s="83">
        <f>IFERROR(__xludf.DUMMYFUNCTION("""COMPUTED_VALUE"""),45527.37822677083)</f>
        <v>45527.37823</v>
      </c>
      <c r="C23" s="43" t="str">
        <f>IFERROR(__xludf.DUMMYFUNCTION("""COMPUTED_VALUE"""),"Cristian ")</f>
        <v>Cristian </v>
      </c>
      <c r="D23" s="43" t="str">
        <f>IFERROR(__xludf.DUMMYFUNCTION("""COMPUTED_VALUE"""),"Vogt")</f>
        <v>Vogt</v>
      </c>
      <c r="E23" s="43" t="str">
        <f>IFERROR(__xludf.DUMMYFUNCTION("""COMPUTED_VALUE"""),"Rosario")</f>
        <v>Rosario</v>
      </c>
      <c r="F23" s="43" t="str">
        <f>IFERROR(__xludf.DUMMYFUNCTION("""COMPUTED_VALUE"""),"ARG")</f>
        <v>ARG</v>
      </c>
      <c r="G23" s="7">
        <f>IFERROR(__xludf.DUMMYFUNCTION("""COMPUTED_VALUE"""),2.2300172E7)</f>
        <v>22300172</v>
      </c>
      <c r="H23" s="44">
        <f>IFERROR(__xludf.DUMMYFUNCTION("""COMPUTED_VALUE"""),26147.0)</f>
        <v>26147</v>
      </c>
      <c r="I23" s="45">
        <f>IFERROR(__xludf.DUMMYFUNCTION("""COMPUTED_VALUE"""),3.416199295E9)</f>
        <v>3416199295</v>
      </c>
      <c r="J23" s="45">
        <f>IFERROR(__xludf.DUMMYFUNCTION("""COMPUTED_VALUE"""),3.41619939E9)</f>
        <v>3416199390</v>
      </c>
      <c r="K23" s="45" t="str">
        <f>IFERROR(__xludf.DUMMYFUNCTION("""COMPUTED_VALUE"""),"Chopyandy@hotmail.com")</f>
        <v>Chopyandy@hotmail.com</v>
      </c>
      <c r="L23" s="45" t="str">
        <f>IFERROR(__xludf.DUMMYFUNCTION("""COMPUTED_VALUE"""),"Masculino")</f>
        <v>Masculino</v>
      </c>
      <c r="M23" s="45" t="str">
        <f>IFERROR(__xludf.DUMMYFUNCTION("""COMPUTED_VALUE"""),"YCR")</f>
        <v>YCR</v>
      </c>
      <c r="N23" s="45"/>
      <c r="O23" s="45" t="str">
        <f>IFERROR(__xludf.DUMMYFUNCTION("""COMPUTED_VALUE"""),"J 70")</f>
        <v>J 70</v>
      </c>
      <c r="P23" s="7">
        <f>IFERROR(__xludf.DUMMYFUNCTION("""COMPUTED_VALUE"""),43.0)</f>
        <v>43</v>
      </c>
      <c r="Q23" s="7">
        <f>IFERROR(__xludf.DUMMYFUNCTION("""COMPUTED_VALUE"""),1558.0)</f>
        <v>1558</v>
      </c>
      <c r="R23" s="45" t="str">
        <f>IFERROR(__xludf.DUMMYFUNCTION("""COMPUTED_VALUE"""),"Indicado")</f>
        <v>Indicado</v>
      </c>
      <c r="S23" s="45" t="str">
        <f>IFERROR(__xludf.DUMMYFUNCTION("""COMPUTED_VALUE"""),"Mario German diaz")</f>
        <v>Mario German diaz</v>
      </c>
      <c r="T23" s="45" t="str">
        <f>IFERROR(__xludf.DUMMYFUNCTION("""COMPUTED_VALUE"""),"Diego bailardo")</f>
        <v>Diego bailardo</v>
      </c>
      <c r="U23" s="45" t="str">
        <f>IFERROR(__xludf.DUMMYFUNCTION("""COMPUTED_VALUE"""),"Nicolás cuerdo")</f>
        <v>Nicolás cuerdo</v>
      </c>
      <c r="V23" s="45"/>
      <c r="W23" s="45"/>
      <c r="X23" s="45"/>
      <c r="Y23" s="45"/>
      <c r="Z23" s="7" t="str">
        <f>IFERROR(__xludf.DUMMYFUNCTION("""COMPUTED_VALUE"""),"No")</f>
        <v>No</v>
      </c>
      <c r="AA23" s="7" t="str">
        <f>IFERROR(__xludf.DUMMYFUNCTION("""COMPUTED_VALUE"""),"Acepto")</f>
        <v>Acepto</v>
      </c>
      <c r="AB23" s="7" t="str">
        <f>IFERROR(__xludf.DUMMYFUNCTION("""COMPUTED_VALUE"""),"Terminado")</f>
        <v>Terminado</v>
      </c>
      <c r="AC23" s="45">
        <f>IFERROR(__xludf.DUMMYFUNCTION("""COMPUTED_VALUE"""),80000.0)</f>
        <v>80000</v>
      </c>
      <c r="AD23" s="45">
        <f>IFERROR(__xludf.DUMMYFUNCTION("""COMPUTED_VALUE"""),205043.0)</f>
        <v>205043</v>
      </c>
      <c r="AE23" s="45" t="str">
        <f>IFERROR(__xludf.DUMMYFUNCTION("""COMPUTED_VALUE"""),"TRF 23-08")</f>
        <v>TRF 23-08</v>
      </c>
      <c r="AF23" s="45" t="str">
        <f>IFERROR(__xludf.DUMMYFUNCTION("""COMPUTED_VALUE"""),"No Corresp")</f>
        <v>No Corresp</v>
      </c>
      <c r="AG23" s="45"/>
    </row>
    <row r="24">
      <c r="B24" s="83">
        <f>IFERROR(__xludf.DUMMYFUNCTION("""COMPUTED_VALUE"""),45541.41551767361)</f>
        <v>45541.41552</v>
      </c>
      <c r="C24" s="43" t="str">
        <f>IFERROR(__xludf.DUMMYFUNCTION("""COMPUTED_VALUE"""),"Marcos ")</f>
        <v>Marcos </v>
      </c>
      <c r="D24" s="43" t="str">
        <f>IFERROR(__xludf.DUMMYFUNCTION("""COMPUTED_VALUE"""),"Lewis")</f>
        <v>Lewis</v>
      </c>
      <c r="E24" s="43" t="str">
        <f>IFERROR(__xludf.DUMMYFUNCTION("""COMPUTED_VALUE"""),"Rosario")</f>
        <v>Rosario</v>
      </c>
      <c r="F24" s="43" t="str">
        <f>IFERROR(__xludf.DUMMYFUNCTION("""COMPUTED_VALUE"""),"ARG")</f>
        <v>ARG</v>
      </c>
      <c r="G24" s="7">
        <f>IFERROR(__xludf.DUMMYFUNCTION("""COMPUTED_VALUE"""),3.0048496E7)</f>
        <v>30048496</v>
      </c>
      <c r="H24" s="44">
        <f>IFERROR(__xludf.DUMMYFUNCTION("""COMPUTED_VALUE"""),30289.0)</f>
        <v>30289</v>
      </c>
      <c r="I24" s="45">
        <f>IFERROR(__xludf.DUMMYFUNCTION("""COMPUTED_VALUE"""),3.416192647E9)</f>
        <v>3416192647</v>
      </c>
      <c r="J24" s="45"/>
      <c r="K24" s="45" t="str">
        <f>IFERROR(__xludf.DUMMYFUNCTION("""COMPUTED_VALUE"""),"hattansailingteam@gmail.com")</f>
        <v>hattansailingteam@gmail.com</v>
      </c>
      <c r="L24" s="45" t="str">
        <f>IFERROR(__xludf.DUMMYFUNCTION("""COMPUTED_VALUE"""),"Masculino")</f>
        <v>Masculino</v>
      </c>
      <c r="M24" s="45" t="str">
        <f>IFERROR(__xludf.DUMMYFUNCTION("""COMPUTED_VALUE"""),"CVR")</f>
        <v>CVR</v>
      </c>
      <c r="N24" s="45" t="str">
        <f>IFERROR(__xludf.DUMMYFUNCTION("""COMPUTED_VALUE"""),"corinthians J70")</f>
        <v>corinthians J70</v>
      </c>
      <c r="O24" s="45" t="str">
        <f>IFERROR(__xludf.DUMMYFUNCTION("""COMPUTED_VALUE"""),"J 70")</f>
        <v>J 70</v>
      </c>
      <c r="P24" s="7">
        <f>IFERROR(__xludf.DUMMYFUNCTION("""COMPUTED_VALUE"""),47.0)</f>
        <v>47</v>
      </c>
      <c r="Q24" s="7">
        <f>IFERROR(__xludf.DUMMYFUNCTION("""COMPUTED_VALUE"""),1559.0)</f>
        <v>1559</v>
      </c>
      <c r="R24" s="45" t="str">
        <f>IFERROR(__xludf.DUMMYFUNCTION("""COMPUTED_VALUE"""),"HATTAN")</f>
        <v>HATTAN</v>
      </c>
      <c r="S24" s="45" t="str">
        <f>IFERROR(__xludf.DUMMYFUNCTION("""COMPUTED_VALUE"""),"MARCOS LEWIS")</f>
        <v>MARCOS LEWIS</v>
      </c>
      <c r="T24" s="45" t="str">
        <f>IFERROR(__xludf.DUMMYFUNCTION("""COMPUTED_VALUE"""),"Santiago Duncan")</f>
        <v>Santiago Duncan</v>
      </c>
      <c r="U24" s="45" t="str">
        <f>IFERROR(__xludf.DUMMYFUNCTION("""COMPUTED_VALUE"""),"Facundo Campaza")</f>
        <v>Facundo Campaza</v>
      </c>
      <c r="V24" s="45" t="str">
        <f>IFERROR(__xludf.DUMMYFUNCTION("""COMPUTED_VALUE"""),"Elias Dalli")</f>
        <v>Elias Dalli</v>
      </c>
      <c r="W24" s="45" t="str">
        <f>IFERROR(__xludf.DUMMYFUNCTION("""COMPUTED_VALUE"""),"Igor")</f>
        <v>Igor</v>
      </c>
      <c r="X24" s="45"/>
      <c r="Y24" s="45" t="str">
        <f>IFERROR(__xludf.DUMMYFUNCTION("""COMPUTED_VALUE"""),"OSDE")</f>
        <v>OSDE</v>
      </c>
      <c r="Z24" s="7" t="str">
        <f>IFERROR(__xludf.DUMMYFUNCTION("""COMPUTED_VALUE"""),"No")</f>
        <v>No</v>
      </c>
      <c r="AA24" s="7" t="str">
        <f>IFERROR(__xludf.DUMMYFUNCTION("""COMPUTED_VALUE"""),"Acepto")</f>
        <v>Acepto</v>
      </c>
      <c r="AB24" s="7" t="str">
        <f>IFERROR(__xludf.DUMMYFUNCTION("""COMPUTED_VALUE"""),"Terminado")</f>
        <v>Terminado</v>
      </c>
      <c r="AC24" s="45">
        <f>IFERROR(__xludf.DUMMYFUNCTION("""COMPUTED_VALUE"""),72000.0)</f>
        <v>72000</v>
      </c>
      <c r="AD24" s="45">
        <f>IFERROR(__xludf.DUMMYFUNCTION("""COMPUTED_VALUE"""),205536.0)</f>
        <v>205536</v>
      </c>
      <c r="AE24" s="45" t="str">
        <f>IFERROR(__xludf.DUMMYFUNCTION("""COMPUTED_VALUE"""),"TRF 06-09")</f>
        <v>TRF 06-09</v>
      </c>
      <c r="AF24" s="45" t="str">
        <f>IFERROR(__xludf.DUMMYFUNCTION("""COMPUTED_VALUE"""),"No Corresp")</f>
        <v>No Corresp</v>
      </c>
      <c r="AG24" s="45"/>
    </row>
    <row r="25">
      <c r="B25" s="103"/>
      <c r="C25" s="43"/>
      <c r="D25" s="43"/>
      <c r="E25" s="43"/>
      <c r="F25" s="43"/>
      <c r="G25" s="7"/>
      <c r="P25" s="7"/>
      <c r="Q25" s="7"/>
      <c r="Z25" s="7"/>
      <c r="AA25" s="7"/>
      <c r="AB25" s="7"/>
    </row>
    <row r="26">
      <c r="B26" s="103"/>
      <c r="C26" s="43"/>
      <c r="D26" s="43"/>
      <c r="E26" s="43"/>
      <c r="F26" s="43"/>
      <c r="G26" s="7"/>
      <c r="P26" s="7"/>
      <c r="Q26" s="7"/>
      <c r="Z26" s="7"/>
      <c r="AA26" s="7"/>
      <c r="AB26" s="7"/>
    </row>
    <row r="27">
      <c r="B27" s="103"/>
      <c r="D27" s="43"/>
      <c r="E27" s="7"/>
      <c r="F27" s="7"/>
      <c r="G27" s="7"/>
      <c r="P27" s="7"/>
      <c r="Q27" s="7"/>
      <c r="Z27" s="7"/>
      <c r="AA27" s="7"/>
      <c r="AB27" s="7"/>
    </row>
    <row r="28">
      <c r="B28" s="103"/>
      <c r="D28" s="43"/>
      <c r="E28" s="7"/>
      <c r="F28" s="7"/>
      <c r="G28" s="7"/>
      <c r="P28" s="7"/>
      <c r="Z28" s="7"/>
      <c r="AA28" s="7"/>
      <c r="AB28" s="7"/>
    </row>
    <row r="29">
      <c r="B29" s="103"/>
      <c r="D29" s="43"/>
      <c r="E29" s="7"/>
      <c r="F29" s="7"/>
      <c r="G29" s="7"/>
      <c r="P29" s="7"/>
      <c r="Z29" s="7"/>
      <c r="AA29" s="7"/>
      <c r="AB29" s="7"/>
    </row>
    <row r="30">
      <c r="B30" s="103"/>
      <c r="D30" s="43"/>
      <c r="E30" s="7"/>
      <c r="F30" s="7"/>
      <c r="G30" s="7"/>
      <c r="P30" s="7"/>
      <c r="Z30" s="7"/>
      <c r="AA30" s="7"/>
      <c r="AB30" s="7"/>
    </row>
    <row r="31">
      <c r="B31" s="103"/>
      <c r="D31" s="43"/>
      <c r="E31" s="7"/>
      <c r="F31" s="7"/>
      <c r="G31" s="7"/>
      <c r="P31" s="7"/>
      <c r="Z31" s="7"/>
      <c r="AA31" s="7"/>
      <c r="AB31" s="7"/>
    </row>
    <row r="32">
      <c r="B32" s="103"/>
      <c r="D32" s="43"/>
      <c r="E32" s="7"/>
      <c r="F32" s="7"/>
      <c r="G32" s="7"/>
      <c r="P32" s="7"/>
      <c r="Z32" s="7"/>
      <c r="AA32" s="7"/>
      <c r="AB32" s="7"/>
    </row>
    <row r="33">
      <c r="B33" s="103"/>
      <c r="C33" s="43"/>
      <c r="D33" s="43"/>
      <c r="E33" s="7"/>
      <c r="F33" s="7"/>
      <c r="G33" s="7"/>
      <c r="P33" s="7"/>
      <c r="Z33" s="7"/>
      <c r="AA33" s="7"/>
      <c r="AB33" s="7"/>
    </row>
    <row r="34">
      <c r="D34" s="7"/>
      <c r="E34" s="7"/>
      <c r="F34" s="7"/>
      <c r="G34" s="7"/>
      <c r="P34" s="7"/>
    </row>
    <row r="35">
      <c r="D35" s="7"/>
      <c r="E35" s="7"/>
      <c r="F35" s="7"/>
      <c r="G35" s="7"/>
      <c r="P35" s="7"/>
    </row>
    <row r="36">
      <c r="D36" s="7"/>
      <c r="E36" s="7"/>
      <c r="F36" s="7"/>
      <c r="G36" s="7"/>
      <c r="P36" s="7"/>
    </row>
    <row r="37">
      <c r="D37" s="7"/>
      <c r="E37" s="7"/>
      <c r="F37" s="7"/>
      <c r="G37" s="7"/>
      <c r="P37" s="7"/>
    </row>
    <row r="38">
      <c r="D38" s="7"/>
      <c r="E38" s="7"/>
      <c r="F38" s="7"/>
      <c r="G38" s="7"/>
      <c r="P38" s="7"/>
    </row>
    <row r="39">
      <c r="D39" s="7"/>
      <c r="E39" s="7"/>
      <c r="F39" s="7"/>
      <c r="G39" s="7"/>
      <c r="P39" s="7"/>
    </row>
    <row r="40">
      <c r="D40" s="7"/>
      <c r="E40" s="7"/>
      <c r="F40" s="7"/>
      <c r="G40" s="7"/>
      <c r="P40" s="7"/>
    </row>
    <row r="41">
      <c r="D41" s="7"/>
      <c r="E41" s="7"/>
      <c r="F41" s="7"/>
      <c r="G41" s="7"/>
    </row>
    <row r="42">
      <c r="D42" s="7"/>
      <c r="E42" s="7"/>
      <c r="F42" s="7"/>
      <c r="G42" s="7"/>
    </row>
    <row r="43">
      <c r="D43" s="7"/>
      <c r="E43" s="7"/>
      <c r="F43" s="7"/>
      <c r="G43" s="7"/>
    </row>
    <row r="44">
      <c r="D44" s="7"/>
      <c r="E44" s="7"/>
      <c r="F44" s="7"/>
      <c r="G44" s="7"/>
    </row>
    <row r="45">
      <c r="D45" s="7"/>
      <c r="E45" s="7"/>
      <c r="F45" s="7"/>
      <c r="G45" s="7"/>
    </row>
    <row r="46">
      <c r="D46" s="7"/>
      <c r="E46" s="7"/>
      <c r="F46" s="7"/>
      <c r="G46" s="7"/>
    </row>
    <row r="47">
      <c r="D47" s="7"/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:G21 I2">
    <cfRule type="cellIs" dxfId="1" priority="2" operator="equal">
      <formula>"Si"</formula>
    </cfRule>
  </conditionalFormatting>
  <conditionalFormatting sqref="AB3:AB30">
    <cfRule type="cellIs" dxfId="3" priority="3" operator="equal">
      <formula>"Terminado"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18.5"/>
    <col hidden="1" min="6" max="12" width="12.63"/>
    <col hidden="1" min="14" max="16" width="12.63"/>
    <col customWidth="1" hidden="1" min="22" max="24" width="10.38"/>
    <col hidden="1" min="25" max="27" width="12.63"/>
    <col customWidth="1" min="28" max="28" width="9.38"/>
    <col customWidth="1" hidden="1" min="29" max="29" width="7.13"/>
    <col customWidth="1" hidden="1" min="30" max="30" width="18.5"/>
    <col hidden="1" min="31" max="32" width="12.63"/>
    <col customWidth="1" min="33" max="33" width="9.75"/>
  </cols>
  <sheetData>
    <row r="1">
      <c r="A1" s="108"/>
      <c r="B1" s="60" t="s">
        <v>33</v>
      </c>
      <c r="E1" s="61"/>
      <c r="F1" s="61"/>
      <c r="G1" s="62"/>
      <c r="H1" s="61"/>
      <c r="I1" s="61"/>
      <c r="J1" s="6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108"/>
      <c r="B2" s="64" t="s">
        <v>68</v>
      </c>
      <c r="C2" s="109"/>
      <c r="D2" s="109"/>
      <c r="E2" s="3"/>
      <c r="F2" s="69" t="str">
        <f>"Inscriptos: "&amp;COUNTA(C4:C100)</f>
        <v>Inscriptos: 11</v>
      </c>
      <c r="G2" s="3"/>
      <c r="H2" s="3"/>
      <c r="I2" s="67"/>
      <c r="J2" s="67"/>
      <c r="K2" s="67"/>
      <c r="L2" s="3"/>
      <c r="M2" s="3"/>
      <c r="N2" s="3"/>
      <c r="O2" s="3"/>
      <c r="P2" s="3"/>
      <c r="Q2" s="69" t="str">
        <f>"Inscriptos: "&amp;COUNTA(D4:D100)</f>
        <v>Inscriptos: 11</v>
      </c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08" t="s">
        <v>69</v>
      </c>
      <c r="B3" s="112" t="str">
        <f>IFERROR(__xludf.DUMMYFUNCTION("query(Titulos)"),"Dia y Hora")</f>
        <v>Dia y Hora</v>
      </c>
      <c r="C3" s="113" t="str">
        <f>IFERROR(__xludf.DUMMYFUNCTION("""COMPUTED_VALUE"""),"Nombre")</f>
        <v>Nombre</v>
      </c>
      <c r="D3" s="114" t="str">
        <f>IFERROR(__xludf.DUMMYFUNCTION("""COMPUTED_VALUE"""),"Apellido")</f>
        <v>Apellido</v>
      </c>
      <c r="E3" s="113" t="str">
        <f>IFERROR(__xludf.DUMMYFUNCTION("""COMPUTED_VALUE"""),"Ciudad")</f>
        <v>Ciudad</v>
      </c>
      <c r="F3" s="112" t="str">
        <f>IFERROR(__xludf.DUMMYFUNCTION("""COMPUTED_VALUE"""),"Pais")</f>
        <v>Pais</v>
      </c>
      <c r="G3" s="112" t="str">
        <f>IFERROR(__xludf.DUMMYFUNCTION("""COMPUTED_VALUE"""),"DNI")</f>
        <v>DNI</v>
      </c>
      <c r="H3" s="112" t="str">
        <f>IFERROR(__xludf.DUMMYFUNCTION("""COMPUTED_VALUE"""),"Nacimiento")</f>
        <v>Nacimiento</v>
      </c>
      <c r="I3" s="115" t="str">
        <f>IFERROR(__xludf.DUMMYFUNCTION("""COMPUTED_VALUE"""),"Celular de Contacto")</f>
        <v>Celular de Contacto</v>
      </c>
      <c r="J3" s="115" t="str">
        <f>IFERROR(__xludf.DUMMYFUNCTION("""COMPUTED_VALUE"""),"Celular de Emergencias")</f>
        <v>Celular de Emergencias</v>
      </c>
      <c r="K3" s="115" t="str">
        <f>IFERROR(__xludf.DUMMYFUNCTION("""COMPUTED_VALUE"""),"email")</f>
        <v>email</v>
      </c>
      <c r="L3" s="112" t="str">
        <f>IFERROR(__xludf.DUMMYFUNCTION("""COMPUTED_VALUE"""),"Sexo")</f>
        <v>Sexo</v>
      </c>
      <c r="M3" s="113" t="str">
        <f>IFERROR(__xludf.DUMMYFUNCTION("""COMPUTED_VALUE"""),"Club")</f>
        <v>Club</v>
      </c>
      <c r="N3" s="113" t="str">
        <f>IFERROR(__xludf.DUMMYFUNCTION("""COMPUTED_VALUE"""),"Categoría")</f>
        <v>Categoría</v>
      </c>
      <c r="O3" s="113" t="str">
        <f>IFERROR(__xludf.DUMMYFUNCTION("""COMPUTED_VALUE"""),"Clase")</f>
        <v>Clase</v>
      </c>
      <c r="P3" s="113" t="str">
        <f>IFERROR(__xludf.DUMMYFUNCTION("""COMPUTED_VALUE"""),"Proa Nº")</f>
        <v>Proa Nº</v>
      </c>
      <c r="Q3" s="113" t="str">
        <f>IFERROR(__xludf.DUMMYFUNCTION("""COMPUTED_VALUE"""),"Vela")</f>
        <v>Vela</v>
      </c>
      <c r="R3" s="113" t="str">
        <f>IFERROR(__xludf.DUMMYFUNCTION("""COMPUTED_VALUE"""),"Nombre del Barco")</f>
        <v>Nombre del Barco</v>
      </c>
      <c r="S3" s="114" t="str">
        <f>IFERROR(__xludf.DUMMYFUNCTION("""COMPUTED_VALUE"""),"Tripulante 1")</f>
        <v>Tripulante 1</v>
      </c>
      <c r="T3" s="115" t="str">
        <f>IFERROR(__xludf.DUMMYFUNCTION("""COMPUTED_VALUE"""),"Tripulante 2")</f>
        <v>Tripulante 2</v>
      </c>
      <c r="U3" s="112" t="str">
        <f>IFERROR(__xludf.DUMMYFUNCTION("""COMPUTED_VALUE"""),"Tripulante 3")</f>
        <v>Tripulante 3</v>
      </c>
      <c r="V3" s="112" t="str">
        <f>IFERROR(__xludf.DUMMYFUNCTION("""COMPUTED_VALUE"""),"Tripulante 4")</f>
        <v>Tripulante 4</v>
      </c>
      <c r="W3" s="112" t="str">
        <f>IFERROR(__xludf.DUMMYFUNCTION("""COMPUTED_VALUE"""),"Tripulante 5")</f>
        <v>Tripulante 5</v>
      </c>
      <c r="X3" s="112" t="str">
        <f>IFERROR(__xludf.DUMMYFUNCTION("""COMPUTED_VALUE"""),"Tripulante 6")</f>
        <v>Tripulante 6</v>
      </c>
      <c r="Y3" s="112" t="str">
        <f>IFERROR(__xludf.DUMMYFUNCTION("""COMPUTED_VALUE"""),"Obra Social/Nº Afiliado")</f>
        <v>Obra Social/Nº Afiliado</v>
      </c>
      <c r="Z3" s="112" t="str">
        <f>IFERROR(__xludf.DUMMYFUNCTION("""COMPUTED_VALUE"""),"Bajada YCO")</f>
        <v>Bajada YCO</v>
      </c>
      <c r="AA3" s="112" t="str">
        <f>IFERROR(__xludf.DUMMYFUNCTION("""COMPUTED_VALUE"""),"Términos y Condiciones")</f>
        <v>Términos y Condiciones</v>
      </c>
      <c r="AB3" s="112" t="str">
        <f>IFERROR(__xludf.DUMMYFUNCTION("""COMPUTED_VALUE"""),"Pago")</f>
        <v>Pago</v>
      </c>
      <c r="AC3" s="115" t="str">
        <f>IFERROR(__xludf.DUMMYFUNCTION("""COMPUTED_VALUE"""),"Importe")</f>
        <v>Importe</v>
      </c>
      <c r="AD3" s="3" t="str">
        <f>IFERROR(__xludf.DUMMYFUNCTION("""COMPUTED_VALUE"""),"RECIBO")</f>
        <v>RECIBO</v>
      </c>
      <c r="AG3" s="118" t="s">
        <v>32</v>
      </c>
    </row>
    <row r="4">
      <c r="B4" s="119">
        <f>IFERROR(__xludf.DUMMYFUNCTION("filter(Datos,Clases=A3)"),45540.629499097224)</f>
        <v>45540.6295</v>
      </c>
      <c r="C4" s="75" t="str">
        <f>IFERROR(__xludf.DUMMYFUNCTION("""COMPUTED_VALUE"""),"Jaime ")</f>
        <v>Jaime </v>
      </c>
      <c r="D4" s="75" t="str">
        <f>IFERROR(__xludf.DUMMYFUNCTION("""COMPUTED_VALUE"""),"Bejarano ")</f>
        <v>Bejarano </v>
      </c>
      <c r="E4" s="75" t="str">
        <f>IFERROR(__xludf.DUMMYFUNCTION("""COMPUTED_VALUE"""),"San Isidro ")</f>
        <v>San Isidro </v>
      </c>
      <c r="F4" s="75" t="str">
        <f>IFERROR(__xludf.DUMMYFUNCTION("""COMPUTED_VALUE"""),"ARG")</f>
        <v>ARG</v>
      </c>
      <c r="G4" s="75">
        <f>IFERROR(__xludf.DUMMYFUNCTION("""COMPUTED_VALUE"""),1.4455785E7)</f>
        <v>14455785</v>
      </c>
      <c r="H4" s="74">
        <f>IFERROR(__xludf.DUMMYFUNCTION("""COMPUTED_VALUE"""),45511.0)</f>
        <v>45511</v>
      </c>
      <c r="I4" s="75">
        <f>IFERROR(__xludf.DUMMYFUNCTION("""COMPUTED_VALUE"""),1.1447582E9)</f>
        <v>1144758200</v>
      </c>
      <c r="J4" s="75">
        <f>IFERROR(__xludf.DUMMYFUNCTION("""COMPUTED_VALUE"""),1.1447582E9)</f>
        <v>1144758200</v>
      </c>
      <c r="K4" s="75" t="str">
        <f>IFERROR(__xludf.DUMMYFUNCTION("""COMPUTED_VALUE"""),"bejarano33@gmail.com")</f>
        <v>bejarano33@gmail.com</v>
      </c>
      <c r="L4" s="75" t="str">
        <f>IFERROR(__xludf.DUMMYFUNCTION("""COMPUTED_VALUE"""),"Masculino")</f>
        <v>Masculino</v>
      </c>
      <c r="M4" s="75" t="str">
        <f>IFERROR(__xludf.DUMMYFUNCTION("""COMPUTED_VALUE"""),"Cpnlb")</f>
        <v>Cpnlb</v>
      </c>
      <c r="N4" s="75"/>
      <c r="O4" s="75" t="str">
        <f>IFERROR(__xludf.DUMMYFUNCTION("""COMPUTED_VALUE"""),"GRUMETE")</f>
        <v>GRUMETE</v>
      </c>
      <c r="P4" s="75"/>
      <c r="Q4" s="75">
        <f>IFERROR(__xludf.DUMMYFUNCTION("""COMPUTED_VALUE"""),300.0)</f>
        <v>300</v>
      </c>
      <c r="R4" s="75" t="str">
        <f>IFERROR(__xludf.DUMMYFUNCTION("""COMPUTED_VALUE"""),"Antares")</f>
        <v>Antares</v>
      </c>
      <c r="S4" s="75" t="str">
        <f>IFERROR(__xludf.DUMMYFUNCTION("""COMPUTED_VALUE"""),"Verena Zagni")</f>
        <v>Verena Zagni</v>
      </c>
      <c r="T4" s="75" t="str">
        <f>IFERROR(__xludf.DUMMYFUNCTION("""COMPUTED_VALUE"""),"Roberto Ricoveri ")</f>
        <v>Roberto Ricoveri </v>
      </c>
      <c r="U4" s="75"/>
      <c r="V4" s="75"/>
      <c r="W4" s="75"/>
      <c r="X4" s="75"/>
      <c r="Y4" s="75"/>
      <c r="Z4" s="75" t="str">
        <f>IFERROR(__xludf.DUMMYFUNCTION("""COMPUTED_VALUE"""),"No")</f>
        <v>No</v>
      </c>
      <c r="AA4" s="75" t="str">
        <f>IFERROR(__xludf.DUMMYFUNCTION("""COMPUTED_VALUE"""),"Acepto")</f>
        <v>Acepto</v>
      </c>
      <c r="AB4" s="73" t="str">
        <f>IFERROR(__xludf.DUMMYFUNCTION("""COMPUTED_VALUE"""),"Repetido")</f>
        <v>Repetido</v>
      </c>
      <c r="AC4" s="75"/>
      <c r="AD4" s="45"/>
      <c r="AE4" s="45"/>
      <c r="AF4" s="45" t="str">
        <f>IFERROR(__xludf.DUMMYFUNCTION("""COMPUTED_VALUE"""),"No Corresp")</f>
        <v>No Corresp</v>
      </c>
      <c r="AG4" s="73"/>
    </row>
    <row r="5">
      <c r="B5" s="77">
        <f>IFERROR(__xludf.DUMMYFUNCTION("""COMPUTED_VALUE"""),45531.65139599537)</f>
        <v>45531.6514</v>
      </c>
      <c r="C5" s="75" t="str">
        <f>IFERROR(__xludf.DUMMYFUNCTION("""COMPUTED_VALUE"""),"Catalina")</f>
        <v>Catalina</v>
      </c>
      <c r="D5" s="75" t="str">
        <f>IFERROR(__xludf.DUMMYFUNCTION("""COMPUTED_VALUE"""),"Cherro")</f>
        <v>Cherro</v>
      </c>
      <c r="E5" s="75" t="str">
        <f>IFERROR(__xludf.DUMMYFUNCTION("""COMPUTED_VALUE"""),"Buenos Aires")</f>
        <v>Buenos Aires</v>
      </c>
      <c r="F5" s="75" t="str">
        <f>IFERROR(__xludf.DUMMYFUNCTION("""COMPUTED_VALUE"""),"ARG")</f>
        <v>ARG</v>
      </c>
      <c r="G5" s="75">
        <f>IFERROR(__xludf.DUMMYFUNCTION("""COMPUTED_VALUE"""),4.8386142E7)</f>
        <v>48386142</v>
      </c>
      <c r="H5" s="74">
        <f>IFERROR(__xludf.DUMMYFUNCTION("""COMPUTED_VALUE"""),39417.0)</f>
        <v>39417</v>
      </c>
      <c r="I5" s="75">
        <f>IFERROR(__xludf.DUMMYFUNCTION("""COMPUTED_VALUE"""),1.156395103E9)</f>
        <v>1156395103</v>
      </c>
      <c r="J5" s="75">
        <f>IFERROR(__xludf.DUMMYFUNCTION("""COMPUTED_VALUE"""),1.123929511E9)</f>
        <v>1123929511</v>
      </c>
      <c r="K5" s="75" t="str">
        <f>IFERROR(__xludf.DUMMYFUNCTION("""COMPUTED_VALUE"""),"ccherrocatalina@gmail.com")</f>
        <v>ccherrocatalina@gmail.com</v>
      </c>
      <c r="L5" s="75" t="str">
        <f>IFERROR(__xludf.DUMMYFUNCTION("""COMPUTED_VALUE"""),"Femenino")</f>
        <v>Femenino</v>
      </c>
      <c r="M5" s="75" t="str">
        <f>IFERROR(__xludf.DUMMYFUNCTION("""COMPUTED_VALUE"""),"CPNLB")</f>
        <v>CPNLB</v>
      </c>
      <c r="N5" s="75"/>
      <c r="O5" s="75" t="str">
        <f>IFERROR(__xludf.DUMMYFUNCTION("""COMPUTED_VALUE"""),"GRUMETE")</f>
        <v>GRUMETE</v>
      </c>
      <c r="P5" s="75" t="str">
        <f>IFERROR(__xludf.DUMMYFUNCTION("""COMPUTED_VALUE"""),"-")</f>
        <v>-</v>
      </c>
      <c r="Q5" s="75">
        <f>IFERROR(__xludf.DUMMYFUNCTION("""COMPUTED_VALUE"""),7.0)</f>
        <v>7</v>
      </c>
      <c r="R5" s="75" t="str">
        <f>IFERROR(__xludf.DUMMYFUNCTION("""COMPUTED_VALUE"""),"Nadine")</f>
        <v>Nadine</v>
      </c>
      <c r="S5" s="75" t="str">
        <f>IFERROR(__xludf.DUMMYFUNCTION("""COMPUTED_VALUE"""),"Alejandro Cherro")</f>
        <v>Alejandro Cherro</v>
      </c>
      <c r="T5" s="75" t="str">
        <f>IFERROR(__xludf.DUMMYFUNCTION("""COMPUTED_VALUE"""),"Fabián Vinciguerra")</f>
        <v>Fabián Vinciguerra</v>
      </c>
      <c r="U5" s="75" t="str">
        <f>IFERROR(__xludf.DUMMYFUNCTION("""COMPUTED_VALUE"""),"Catu Cherro")</f>
        <v>Catu Cherro</v>
      </c>
      <c r="V5" s="75"/>
      <c r="W5" s="75"/>
      <c r="X5" s="75"/>
      <c r="Y5" s="75" t="str">
        <f>IFERROR(__xludf.DUMMYFUNCTION("""COMPUTED_VALUE"""),"-")</f>
        <v>-</v>
      </c>
      <c r="Z5" s="75" t="str">
        <f>IFERROR(__xludf.DUMMYFUNCTION("""COMPUTED_VALUE"""),"No")</f>
        <v>No</v>
      </c>
      <c r="AA5" s="75" t="str">
        <f>IFERROR(__xludf.DUMMYFUNCTION("""COMPUTED_VALUE"""),"Acepto")</f>
        <v>Acepto</v>
      </c>
      <c r="AB5" s="73" t="str">
        <f>IFERROR(__xludf.DUMMYFUNCTION("""COMPUTED_VALUE"""),"Terminado")</f>
        <v>Terminado</v>
      </c>
      <c r="AC5" s="75">
        <f>IFERROR(__xludf.DUMMYFUNCTION("""COMPUTED_VALUE"""),60000.0)</f>
        <v>60000</v>
      </c>
      <c r="AD5" s="45">
        <f>IFERROR(__xludf.DUMMYFUNCTION("""COMPUTED_VALUE"""),205416.0)</f>
        <v>205416</v>
      </c>
      <c r="AE5" s="45" t="str">
        <f>IFERROR(__xludf.DUMMYFUNCTION("""COMPUTED_VALUE"""),"TRF 03-09")</f>
        <v>TRF 03-09</v>
      </c>
      <c r="AF5" s="45"/>
      <c r="AG5" s="73" t="str">
        <f>IFERROR(__xludf.DUMMYFUNCTION("""COMPUTED_VALUE"""),"Si")</f>
        <v>Si</v>
      </c>
    </row>
    <row r="6">
      <c r="B6" s="77">
        <f>IFERROR(__xludf.DUMMYFUNCTION("""COMPUTED_VALUE"""),45539.86732614583)</f>
        <v>45539.86733</v>
      </c>
      <c r="C6" s="75" t="str">
        <f>IFERROR(__xludf.DUMMYFUNCTION("""COMPUTED_VALUE"""),"Lisandro ")</f>
        <v>Lisandro </v>
      </c>
      <c r="D6" s="75" t="str">
        <f>IFERROR(__xludf.DUMMYFUNCTION("""COMPUTED_VALUE"""),"García ")</f>
        <v>García </v>
      </c>
      <c r="E6" s="75" t="str">
        <f>IFERROR(__xludf.DUMMYFUNCTION("""COMPUTED_VALUE"""),"Ituzaingó ")</f>
        <v>Ituzaingó </v>
      </c>
      <c r="F6" s="75" t="str">
        <f>IFERROR(__xludf.DUMMYFUNCTION("""COMPUTED_VALUE"""),"ARG")</f>
        <v>ARG</v>
      </c>
      <c r="G6" s="75">
        <f>IFERROR(__xludf.DUMMYFUNCTION("""COMPUTED_VALUE"""),2.3175944E7)</f>
        <v>23175944</v>
      </c>
      <c r="H6" s="120">
        <f>IFERROR(__xludf.DUMMYFUNCTION("""COMPUTED_VALUE"""),26893.0)</f>
        <v>26893</v>
      </c>
      <c r="I6" s="75">
        <f>IFERROR(__xludf.DUMMYFUNCTION("""COMPUTED_VALUE"""),1.168452008E9)</f>
        <v>1168452008</v>
      </c>
      <c r="J6" s="75">
        <f>IFERROR(__xludf.DUMMYFUNCTION("""COMPUTED_VALUE"""),1.127230426E9)</f>
        <v>1127230426</v>
      </c>
      <c r="K6" s="75" t="str">
        <f>IFERROR(__xludf.DUMMYFUNCTION("""COMPUTED_VALUE"""),"lisandropf@hotmail.com")</f>
        <v>lisandropf@hotmail.com</v>
      </c>
      <c r="L6" s="75" t="str">
        <f>IFERROR(__xludf.DUMMYFUNCTION("""COMPUTED_VALUE"""),"Masculino")</f>
        <v>Masculino</v>
      </c>
      <c r="M6" s="75" t="str">
        <f>IFERROR(__xludf.DUMMYFUNCTION("""COMPUTED_VALUE"""),"CUBA")</f>
        <v>CUBA</v>
      </c>
      <c r="N6" s="75"/>
      <c r="O6" s="75" t="str">
        <f>IFERROR(__xludf.DUMMYFUNCTION("""COMPUTED_VALUE"""),"GRUMETE")</f>
        <v>GRUMETE</v>
      </c>
      <c r="P6" s="75"/>
      <c r="Q6" s="75">
        <f>IFERROR(__xludf.DUMMYFUNCTION("""COMPUTED_VALUE"""),87.0)</f>
        <v>87</v>
      </c>
      <c r="R6" s="75" t="str">
        <f>IFERROR(__xludf.DUMMYFUNCTION("""COMPUTED_VALUE"""),"URUNDAY ")</f>
        <v>URUNDAY </v>
      </c>
      <c r="S6" s="75" t="str">
        <f>IFERROR(__xludf.DUMMYFUNCTION("""COMPUTED_VALUE"""),"Castro julian")</f>
        <v>Castro julian</v>
      </c>
      <c r="T6" s="75" t="str">
        <f>IFERROR(__xludf.DUMMYFUNCTION("""COMPUTED_VALUE"""),"Bonorino sergio")</f>
        <v>Bonorino sergio</v>
      </c>
      <c r="U6" s="75"/>
      <c r="V6" s="75"/>
      <c r="W6" s="75"/>
      <c r="X6" s="75"/>
      <c r="Y6" s="75"/>
      <c r="Z6" s="75" t="str">
        <f>IFERROR(__xludf.DUMMYFUNCTION("""COMPUTED_VALUE"""),"No")</f>
        <v>No</v>
      </c>
      <c r="AA6" s="75" t="str">
        <f>IFERROR(__xludf.DUMMYFUNCTION("""COMPUTED_VALUE"""),"Acepto")</f>
        <v>Acepto</v>
      </c>
      <c r="AB6" s="73" t="str">
        <f>IFERROR(__xludf.DUMMYFUNCTION("""COMPUTED_VALUE"""),"Terminado")</f>
        <v>Terminado</v>
      </c>
      <c r="AC6" s="75">
        <f>IFERROR(__xludf.DUMMYFUNCTION("""COMPUTED_VALUE"""),50000.0)</f>
        <v>50000</v>
      </c>
      <c r="AD6" s="45">
        <f>IFERROR(__xludf.DUMMYFUNCTION("""COMPUTED_VALUE"""),205540.0)</f>
        <v>205540</v>
      </c>
      <c r="AE6" s="45" t="str">
        <f>IFERROR(__xludf.DUMMYFUNCTION("""COMPUTED_VALUE"""),"TRF 06-09")</f>
        <v>TRF 06-09</v>
      </c>
      <c r="AF6" s="45" t="str">
        <f>IFERROR(__xludf.DUMMYFUNCTION("""COMPUTED_VALUE"""),"No Corresp")</f>
        <v>No Corresp</v>
      </c>
      <c r="AG6" s="73"/>
    </row>
    <row r="7">
      <c r="B7" s="77">
        <f>IFERROR(__xludf.DUMMYFUNCTION("""COMPUTED_VALUE"""),45538.58772112268)</f>
        <v>45538.58772</v>
      </c>
      <c r="C7" s="75" t="str">
        <f>IFERROR(__xludf.DUMMYFUNCTION("""COMPUTED_VALUE"""),"Horacio ")</f>
        <v>Horacio </v>
      </c>
      <c r="D7" s="75" t="str">
        <f>IFERROR(__xludf.DUMMYFUNCTION("""COMPUTED_VALUE"""),"Maffei")</f>
        <v>Maffei</v>
      </c>
      <c r="E7" s="75" t="str">
        <f>IFERROR(__xludf.DUMMYFUNCTION("""COMPUTED_VALUE"""),"El Palomar")</f>
        <v>El Palomar</v>
      </c>
      <c r="F7" s="75" t="str">
        <f>IFERROR(__xludf.DUMMYFUNCTION("""COMPUTED_VALUE"""),"ARG")</f>
        <v>ARG</v>
      </c>
      <c r="G7" s="75">
        <f>IFERROR(__xludf.DUMMYFUNCTION("""COMPUTED_VALUE"""),1.1684869E7)</f>
        <v>11684869</v>
      </c>
      <c r="H7" s="74">
        <f>IFERROR(__xludf.DUMMYFUNCTION("""COMPUTED_VALUE"""),20313.0)</f>
        <v>20313</v>
      </c>
      <c r="I7" s="75">
        <f>IFERROR(__xludf.DUMMYFUNCTION("""COMPUTED_VALUE"""),1.151631122E9)</f>
        <v>1151631122</v>
      </c>
      <c r="J7" s="75">
        <f>IFERROR(__xludf.DUMMYFUNCTION("""COMPUTED_VALUE"""),1.166455365E9)</f>
        <v>1166455365</v>
      </c>
      <c r="K7" s="75" t="str">
        <f>IFERROR(__xludf.DUMMYFUNCTION("""COMPUTED_VALUE"""),"hamaffei@hotmail.com")</f>
        <v>hamaffei@hotmail.com</v>
      </c>
      <c r="L7" s="75" t="str">
        <f>IFERROR(__xludf.DUMMYFUNCTION("""COMPUTED_VALUE"""),"Masculino")</f>
        <v>Masculino</v>
      </c>
      <c r="M7" s="75" t="str">
        <f>IFERROR(__xludf.DUMMYFUNCTION("""COMPUTED_VALUE"""),"CPNLB")</f>
        <v>CPNLB</v>
      </c>
      <c r="N7" s="75"/>
      <c r="O7" s="75" t="str">
        <f>IFERROR(__xludf.DUMMYFUNCTION("""COMPUTED_VALUE"""),"GRUMETE")</f>
        <v>GRUMETE</v>
      </c>
      <c r="P7" s="75"/>
      <c r="Q7" s="75">
        <f>IFERROR(__xludf.DUMMYFUNCTION("""COMPUTED_VALUE"""),302.0)</f>
        <v>302</v>
      </c>
      <c r="R7" s="75" t="str">
        <f>IFERROR(__xludf.DUMMYFUNCTION("""COMPUTED_VALUE"""),"MI VIEJO")</f>
        <v>MI VIEJO</v>
      </c>
      <c r="S7" s="75" t="str">
        <f>IFERROR(__xludf.DUMMYFUNCTION("""COMPUTED_VALUE"""),"Fernando Rizzo")</f>
        <v>Fernando Rizzo</v>
      </c>
      <c r="T7" s="75" t="str">
        <f>IFERROR(__xludf.DUMMYFUNCTION("""COMPUTED_VALUE"""),"Ignacio Stella")</f>
        <v>Ignacio Stella</v>
      </c>
      <c r="U7" s="75"/>
      <c r="V7" s="75"/>
      <c r="W7" s="75"/>
      <c r="X7" s="75"/>
      <c r="Y7" s="75"/>
      <c r="Z7" s="75" t="str">
        <f>IFERROR(__xludf.DUMMYFUNCTION("""COMPUTED_VALUE"""),"No")</f>
        <v>No</v>
      </c>
      <c r="AA7" s="75" t="str">
        <f>IFERROR(__xludf.DUMMYFUNCTION("""COMPUTED_VALUE"""),"Acepto")</f>
        <v>Acepto</v>
      </c>
      <c r="AB7" s="73" t="str">
        <f>IFERROR(__xludf.DUMMYFUNCTION("""COMPUTED_VALUE"""),"Terminado")</f>
        <v>Terminado</v>
      </c>
      <c r="AC7" s="75">
        <f>IFERROR(__xludf.DUMMYFUNCTION("""COMPUTED_VALUE"""),50000.0)</f>
        <v>50000</v>
      </c>
      <c r="AD7" s="45">
        <f>IFERROR(__xludf.DUMMYFUNCTION("""COMPUTED_VALUE"""),205507.0)</f>
        <v>205507</v>
      </c>
      <c r="AE7" s="45" t="str">
        <f>IFERROR(__xludf.DUMMYFUNCTION("""COMPUTED_VALUE"""),"TRF 05-09")</f>
        <v>TRF 05-09</v>
      </c>
      <c r="AF7" s="45" t="str">
        <f>IFERROR(__xludf.DUMMYFUNCTION("""COMPUTED_VALUE"""),"No Corresp")</f>
        <v>No Corresp</v>
      </c>
      <c r="AG7" s="73"/>
    </row>
    <row r="8">
      <c r="B8" s="77">
        <f>IFERROR(__xludf.DUMMYFUNCTION("""COMPUTED_VALUE"""),45537.52053417824)</f>
        <v>45537.52053</v>
      </c>
      <c r="C8" s="75" t="str">
        <f>IFERROR(__xludf.DUMMYFUNCTION("""COMPUTED_VALUE"""),"Irene")</f>
        <v>Irene</v>
      </c>
      <c r="D8" s="75" t="str">
        <f>IFERROR(__xludf.DUMMYFUNCTION("""COMPUTED_VALUE"""),"Mezzaluna")</f>
        <v>Mezzaluna</v>
      </c>
      <c r="E8" s="75" t="str">
        <f>IFERROR(__xludf.DUMMYFUNCTION("""COMPUTED_VALUE"""),"Buenos Aires")</f>
        <v>Buenos Aires</v>
      </c>
      <c r="F8" s="75" t="str">
        <f>IFERROR(__xludf.DUMMYFUNCTION("""COMPUTED_VALUE"""),"ARG")</f>
        <v>ARG</v>
      </c>
      <c r="G8" s="75">
        <f>IFERROR(__xludf.DUMMYFUNCTION("""COMPUTED_VALUE"""),2.1707194E7)</f>
        <v>21707194</v>
      </c>
      <c r="H8" s="74">
        <f>IFERROR(__xludf.DUMMYFUNCTION("""COMPUTED_VALUE"""),25747.0)</f>
        <v>25747</v>
      </c>
      <c r="I8" s="75">
        <f>IFERROR(__xludf.DUMMYFUNCTION("""COMPUTED_VALUE"""),1.166455365E9)</f>
        <v>1166455365</v>
      </c>
      <c r="J8" s="75">
        <f>IFERROR(__xludf.DUMMYFUNCTION("""COMPUTED_VALUE"""),1.151631122E9)</f>
        <v>1151631122</v>
      </c>
      <c r="K8" s="75" t="str">
        <f>IFERROR(__xludf.DUMMYFUNCTION("""COMPUTED_VALUE"""),"irene.mezzaluna@gmail.com")</f>
        <v>irene.mezzaluna@gmail.com</v>
      </c>
      <c r="L8" s="75" t="str">
        <f>IFERROR(__xludf.DUMMYFUNCTION("""COMPUTED_VALUE"""),"Femenino")</f>
        <v>Femenino</v>
      </c>
      <c r="M8" s="75" t="str">
        <f>IFERROR(__xludf.DUMMYFUNCTION("""COMPUTED_VALUE"""),"CPNLB")</f>
        <v>CPNLB</v>
      </c>
      <c r="N8" s="75" t="str">
        <f>IFERROR(__xludf.DUMMYFUNCTION("""COMPUTED_VALUE"""),"GRUMETE")</f>
        <v>GRUMETE</v>
      </c>
      <c r="O8" s="75" t="str">
        <f>IFERROR(__xludf.DUMMYFUNCTION("""COMPUTED_VALUE"""),"GRUMETE")</f>
        <v>GRUMETE</v>
      </c>
      <c r="P8" s="75"/>
      <c r="Q8" s="75">
        <f>IFERROR(__xludf.DUMMYFUNCTION("""COMPUTED_VALUE"""),286.0)</f>
        <v>286</v>
      </c>
      <c r="R8" s="75" t="str">
        <f>IFERROR(__xludf.DUMMYFUNCTION("""COMPUTED_VALUE"""),"CRIOLLO")</f>
        <v>CRIOLLO</v>
      </c>
      <c r="S8" s="75" t="str">
        <f>IFERROR(__xludf.DUMMYFUNCTION("""COMPUTED_VALUE"""),"Carolina Galucci")</f>
        <v>Carolina Galucci</v>
      </c>
      <c r="T8" s="75" t="str">
        <f>IFERROR(__xludf.DUMMYFUNCTION("""COMPUTED_VALUE"""),"Claudia Tamayo")</f>
        <v>Claudia Tamayo</v>
      </c>
      <c r="U8" s="75" t="str">
        <f>IFERROR(__xludf.DUMMYFUNCTION("""COMPUTED_VALUE"""),"Ingrid")</f>
        <v>Ingrid</v>
      </c>
      <c r="V8" s="75"/>
      <c r="W8" s="75"/>
      <c r="X8" s="75"/>
      <c r="Y8" s="75"/>
      <c r="Z8" s="75" t="str">
        <f>IFERROR(__xludf.DUMMYFUNCTION("""COMPUTED_VALUE"""),"No")</f>
        <v>No</v>
      </c>
      <c r="AA8" s="75" t="str">
        <f>IFERROR(__xludf.DUMMYFUNCTION("""COMPUTED_VALUE"""),"Acepto")</f>
        <v>Acepto</v>
      </c>
      <c r="AB8" s="73" t="str">
        <f>IFERROR(__xludf.DUMMYFUNCTION("""COMPUTED_VALUE"""),"Terminado")</f>
        <v>Terminado</v>
      </c>
      <c r="AC8" s="75">
        <f>IFERROR(__xludf.DUMMYFUNCTION("""COMPUTED_VALUE"""),50000.0)</f>
        <v>50000</v>
      </c>
      <c r="AD8" s="45">
        <f>IFERROR(__xludf.DUMMYFUNCTION("""COMPUTED_VALUE"""),205505.0)</f>
        <v>205505</v>
      </c>
      <c r="AE8" s="45" t="str">
        <f>IFERROR(__xludf.DUMMYFUNCTION("""COMPUTED_VALUE"""),"TRF 05-09")</f>
        <v>TRF 05-09</v>
      </c>
      <c r="AF8" s="45" t="str">
        <f>IFERROR(__xludf.DUMMYFUNCTION("""COMPUTED_VALUE"""),"No Corresp")</f>
        <v>No Corresp</v>
      </c>
      <c r="AG8" s="73"/>
    </row>
    <row r="9">
      <c r="B9" s="77">
        <f>IFERROR(__xludf.DUMMYFUNCTION("""COMPUTED_VALUE"""),45539.78510491898)</f>
        <v>45539.7851</v>
      </c>
      <c r="C9" s="75" t="str">
        <f>IFERROR(__xludf.DUMMYFUNCTION("""COMPUTED_VALUE"""),"Emilio")</f>
        <v>Emilio</v>
      </c>
      <c r="D9" s="75" t="str">
        <f>IFERROR(__xludf.DUMMYFUNCTION("""COMPUTED_VALUE"""),"Monch")</f>
        <v>Monch</v>
      </c>
      <c r="E9" s="75" t="str">
        <f>IFERROR(__xludf.DUMMYFUNCTION("""COMPUTED_VALUE"""),"Buenos aires")</f>
        <v>Buenos aires</v>
      </c>
      <c r="F9" s="75" t="str">
        <f>IFERROR(__xludf.DUMMYFUNCTION("""COMPUTED_VALUE"""),"ARG")</f>
        <v>ARG</v>
      </c>
      <c r="G9" s="75">
        <f>IFERROR(__xludf.DUMMYFUNCTION("""COMPUTED_VALUE"""),2.9951477E7)</f>
        <v>29951477</v>
      </c>
      <c r="H9" s="74">
        <f>IFERROR(__xludf.DUMMYFUNCTION("""COMPUTED_VALUE"""),30284.0)</f>
        <v>30284</v>
      </c>
      <c r="I9" s="75">
        <f>IFERROR(__xludf.DUMMYFUNCTION("""COMPUTED_VALUE"""),1.15059875E9)</f>
        <v>1150598750</v>
      </c>
      <c r="J9" s="75">
        <f>IFERROR(__xludf.DUMMYFUNCTION("""COMPUTED_VALUE"""),1.15059875E9)</f>
        <v>1150598750</v>
      </c>
      <c r="K9" s="75" t="str">
        <f>IFERROR(__xludf.DUMMYFUNCTION("""COMPUTED_VALUE"""),"Emonch290@gmail.com ")</f>
        <v>Emonch290@gmail.com </v>
      </c>
      <c r="L9" s="75" t="str">
        <f>IFERROR(__xludf.DUMMYFUNCTION("""COMPUTED_VALUE"""),"Masculino")</f>
        <v>Masculino</v>
      </c>
      <c r="M9" s="75" t="str">
        <f>IFERROR(__xludf.DUMMYFUNCTION("""COMPUTED_VALUE"""),"Cuba")</f>
        <v>Cuba</v>
      </c>
      <c r="N9" s="75" t="str">
        <f>IFERROR(__xludf.DUMMYFUNCTION("""COMPUTED_VALUE"""),"Grumete")</f>
        <v>Grumete</v>
      </c>
      <c r="O9" s="75" t="str">
        <f>IFERROR(__xludf.DUMMYFUNCTION("""COMPUTED_VALUE"""),"GRUMETE")</f>
        <v>GRUMETE</v>
      </c>
      <c r="P9" s="75"/>
      <c r="Q9" s="75">
        <f>IFERROR(__xludf.DUMMYFUNCTION("""COMPUTED_VALUE"""),274.0)</f>
        <v>274</v>
      </c>
      <c r="R9" s="75" t="str">
        <f>IFERROR(__xludf.DUMMYFUNCTION("""COMPUTED_VALUE"""),"BANANA")</f>
        <v>BANANA</v>
      </c>
      <c r="S9" s="75" t="str">
        <f>IFERROR(__xludf.DUMMYFUNCTION("""COMPUTED_VALUE"""),"Jorge Samitier")</f>
        <v>Jorge Samitier</v>
      </c>
      <c r="T9" s="75" t="str">
        <f>IFERROR(__xludf.DUMMYFUNCTION("""COMPUTED_VALUE"""),"Pablo Noceti")</f>
        <v>Pablo Noceti</v>
      </c>
      <c r="U9" s="75"/>
      <c r="V9" s="75"/>
      <c r="W9" s="75"/>
      <c r="X9" s="75"/>
      <c r="Y9" s="75" t="str">
        <f>IFERROR(__xludf.DUMMYFUNCTION("""COMPUTED_VALUE"""),"Poder judicial")</f>
        <v>Poder judicial</v>
      </c>
      <c r="Z9" s="75" t="str">
        <f>IFERROR(__xludf.DUMMYFUNCTION("""COMPUTED_VALUE"""),"No")</f>
        <v>No</v>
      </c>
      <c r="AA9" s="75" t="str">
        <f>IFERROR(__xludf.DUMMYFUNCTION("""COMPUTED_VALUE"""),"Acepto")</f>
        <v>Acepto</v>
      </c>
      <c r="AB9" s="73" t="str">
        <f>IFERROR(__xludf.DUMMYFUNCTION("""COMPUTED_VALUE"""),"Terminado")</f>
        <v>Terminado</v>
      </c>
      <c r="AC9" s="75">
        <f>IFERROR(__xludf.DUMMYFUNCTION("""COMPUTED_VALUE"""),50000.0)</f>
        <v>50000</v>
      </c>
      <c r="AD9" s="45">
        <f>IFERROR(__xludf.DUMMYFUNCTION("""COMPUTED_VALUE"""),205533.0)</f>
        <v>205533</v>
      </c>
      <c r="AE9" s="45" t="str">
        <f>IFERROR(__xludf.DUMMYFUNCTION("""COMPUTED_VALUE"""),"TRF 06-09")</f>
        <v>TRF 06-09</v>
      </c>
      <c r="AF9" s="45" t="str">
        <f>IFERROR(__xludf.DUMMYFUNCTION("""COMPUTED_VALUE"""),"No Corresp")</f>
        <v>No Corresp</v>
      </c>
      <c r="AG9" s="73"/>
    </row>
    <row r="10">
      <c r="B10" s="77">
        <f>IFERROR(__xludf.DUMMYFUNCTION("""COMPUTED_VALUE"""),45540.658237083335)</f>
        <v>45540.65824</v>
      </c>
      <c r="C10" s="75" t="str">
        <f>IFERROR(__xludf.DUMMYFUNCTION("""COMPUTED_VALUE"""),"Emilio")</f>
        <v>Emilio</v>
      </c>
      <c r="D10" s="75" t="str">
        <f>IFERROR(__xludf.DUMMYFUNCTION("""COMPUTED_VALUE"""),"MÖnch ")</f>
        <v>MÖnch </v>
      </c>
      <c r="E10" s="75" t="str">
        <f>IFERROR(__xludf.DUMMYFUNCTION("""COMPUTED_VALUE"""),"Caba")</f>
        <v>Caba</v>
      </c>
      <c r="F10" s="75" t="str">
        <f>IFERROR(__xludf.DUMMYFUNCTION("""COMPUTED_VALUE"""),"ARG")</f>
        <v>ARG</v>
      </c>
      <c r="G10" s="75">
        <f>IFERROR(__xludf.DUMMYFUNCTION("""COMPUTED_VALUE"""),2.9951477E7)</f>
        <v>29951477</v>
      </c>
      <c r="H10" s="74">
        <f>IFERROR(__xludf.DUMMYFUNCTION("""COMPUTED_VALUE"""),30284.0)</f>
        <v>30284</v>
      </c>
      <c r="I10" s="75">
        <f>IFERROR(__xludf.DUMMYFUNCTION("""COMPUTED_VALUE"""),1.15059875E9)</f>
        <v>1150598750</v>
      </c>
      <c r="J10" s="75">
        <f>IFERROR(__xludf.DUMMYFUNCTION("""COMPUTED_VALUE"""),1.15059875E9)</f>
        <v>1150598750</v>
      </c>
      <c r="K10" s="75" t="str">
        <f>IFERROR(__xludf.DUMMYFUNCTION("""COMPUTED_VALUE"""),"Emonch290@gmail.com ")</f>
        <v>Emonch290@gmail.com </v>
      </c>
      <c r="L10" s="75" t="str">
        <f>IFERROR(__xludf.DUMMYFUNCTION("""COMPUTED_VALUE"""),"Masculino")</f>
        <v>Masculino</v>
      </c>
      <c r="M10" s="75" t="str">
        <f>IFERROR(__xludf.DUMMYFUNCTION("""COMPUTED_VALUE"""),"Cuba")</f>
        <v>Cuba</v>
      </c>
      <c r="N10" s="75" t="str">
        <f>IFERROR(__xludf.DUMMYFUNCTION("""COMPUTED_VALUE"""),"Grumete")</f>
        <v>Grumete</v>
      </c>
      <c r="O10" s="75" t="str">
        <f>IFERROR(__xludf.DUMMYFUNCTION("""COMPUTED_VALUE"""),"GRUMETE")</f>
        <v>GRUMETE</v>
      </c>
      <c r="P10" s="75"/>
      <c r="Q10" s="75">
        <f>IFERROR(__xludf.DUMMYFUNCTION("""COMPUTED_VALUE"""),274.0)</f>
        <v>274</v>
      </c>
      <c r="R10" s="75" t="str">
        <f>IFERROR(__xludf.DUMMYFUNCTION("""COMPUTED_VALUE"""),"BANANA")</f>
        <v>BANANA</v>
      </c>
      <c r="S10" s="75" t="str">
        <f>IFERROR(__xludf.DUMMYFUNCTION("""COMPUTED_VALUE"""),"Jorge Samitier")</f>
        <v>Jorge Samitier</v>
      </c>
      <c r="T10" s="75" t="str">
        <f>IFERROR(__xludf.DUMMYFUNCTION("""COMPUTED_VALUE"""),"Pablo Noceti")</f>
        <v>Pablo Noceti</v>
      </c>
      <c r="U10" s="75"/>
      <c r="V10" s="75"/>
      <c r="W10" s="75"/>
      <c r="X10" s="75"/>
      <c r="Y10" s="75" t="str">
        <f>IFERROR(__xludf.DUMMYFUNCTION("""COMPUTED_VALUE"""),"Poder judicial")</f>
        <v>Poder judicial</v>
      </c>
      <c r="Z10" s="75" t="str">
        <f>IFERROR(__xludf.DUMMYFUNCTION("""COMPUTED_VALUE"""),"No")</f>
        <v>No</v>
      </c>
      <c r="AA10" s="75" t="str">
        <f>IFERROR(__xludf.DUMMYFUNCTION("""COMPUTED_VALUE"""),"Acepto")</f>
        <v>Acepto</v>
      </c>
      <c r="AB10" s="73" t="str">
        <f>IFERROR(__xludf.DUMMYFUNCTION("""COMPUTED_VALUE"""),"Repetido")</f>
        <v>Repetido</v>
      </c>
      <c r="AC10" s="75"/>
      <c r="AD10" s="45"/>
      <c r="AE10" s="45"/>
      <c r="AF10" s="45" t="str">
        <f>IFERROR(__xludf.DUMMYFUNCTION("""COMPUTED_VALUE"""),"No Corresp")</f>
        <v>No Corresp</v>
      </c>
      <c r="AG10" s="73"/>
    </row>
    <row r="11">
      <c r="B11" s="77">
        <f>IFERROR(__xludf.DUMMYFUNCTION("""COMPUTED_VALUE"""),45533.3230571875)</f>
        <v>45533.32306</v>
      </c>
      <c r="C11" s="75" t="str">
        <f>IFERROR(__xludf.DUMMYFUNCTION("""COMPUTED_VALUE"""),"Eduardo ")</f>
        <v>Eduardo </v>
      </c>
      <c r="D11" s="75" t="str">
        <f>IFERROR(__xludf.DUMMYFUNCTION("""COMPUTED_VALUE"""),"Riancho ")</f>
        <v>Riancho </v>
      </c>
      <c r="E11" s="75" t="str">
        <f>IFERROR(__xludf.DUMMYFUNCTION("""COMPUTED_VALUE"""),"Caba")</f>
        <v>Caba</v>
      </c>
      <c r="F11" s="75" t="str">
        <f>IFERROR(__xludf.DUMMYFUNCTION("""COMPUTED_VALUE"""),"ARG")</f>
        <v>ARG</v>
      </c>
      <c r="G11" s="75">
        <f>IFERROR(__xludf.DUMMYFUNCTION("""COMPUTED_VALUE"""),1.7802518E7)</f>
        <v>17802518</v>
      </c>
      <c r="H11" s="74">
        <f>IFERROR(__xludf.DUMMYFUNCTION("""COMPUTED_VALUE"""),45520.0)</f>
        <v>45520</v>
      </c>
      <c r="I11" s="75">
        <f>IFERROR(__xludf.DUMMYFUNCTION("""COMPUTED_VALUE"""),1.149799352E9)</f>
        <v>1149799352</v>
      </c>
      <c r="J11" s="75"/>
      <c r="K11" s="75" t="str">
        <f>IFERROR(__xludf.DUMMYFUNCTION("""COMPUTED_VALUE"""),"eduriancho@yahoo.com.ar")</f>
        <v>eduriancho@yahoo.com.ar</v>
      </c>
      <c r="L11" s="75" t="str">
        <f>IFERROR(__xludf.DUMMYFUNCTION("""COMPUTED_VALUE"""),"Masculino")</f>
        <v>Masculino</v>
      </c>
      <c r="M11" s="75" t="str">
        <f>IFERROR(__xludf.DUMMYFUNCTION("""COMPUTED_VALUE"""),"CPNLB")</f>
        <v>CPNLB</v>
      </c>
      <c r="N11" s="75"/>
      <c r="O11" s="75" t="str">
        <f>IFERROR(__xludf.DUMMYFUNCTION("""COMPUTED_VALUE"""),"GRUMETE")</f>
        <v>GRUMETE</v>
      </c>
      <c r="P11" s="75"/>
      <c r="Q11" s="75">
        <f>IFERROR(__xludf.DUMMYFUNCTION("""COMPUTED_VALUE"""),89.0)</f>
        <v>89</v>
      </c>
      <c r="R11" s="75" t="str">
        <f>IFERROR(__xludf.DUMMYFUNCTION("""COMPUTED_VALUE"""),"Lince")</f>
        <v>Lince</v>
      </c>
      <c r="S11" s="75"/>
      <c r="T11" s="75"/>
      <c r="U11" s="75"/>
      <c r="V11" s="75"/>
      <c r="W11" s="75"/>
      <c r="X11" s="75"/>
      <c r="Y11" s="75"/>
      <c r="Z11" s="75" t="str">
        <f>IFERROR(__xludf.DUMMYFUNCTION("""COMPUTED_VALUE"""),"No")</f>
        <v>No</v>
      </c>
      <c r="AA11" s="75" t="str">
        <f>IFERROR(__xludf.DUMMYFUNCTION("""COMPUTED_VALUE"""),"Acepto")</f>
        <v>Acepto</v>
      </c>
      <c r="AB11" s="73" t="str">
        <f>IFERROR(__xludf.DUMMYFUNCTION("""COMPUTED_VALUE"""),"Terminado")</f>
        <v>Terminado</v>
      </c>
      <c r="AC11" s="75">
        <f>IFERROR(__xludf.DUMMYFUNCTION("""COMPUTED_VALUE"""),50000.0)</f>
        <v>50000</v>
      </c>
      <c r="AD11" s="45">
        <f>IFERROR(__xludf.DUMMYFUNCTION("""COMPUTED_VALUE"""),205517.0)</f>
        <v>205517</v>
      </c>
      <c r="AE11" s="45" t="str">
        <f>IFERROR(__xludf.DUMMYFUNCTION("""COMPUTED_VALUE"""),"TRF 05-09")</f>
        <v>TRF 05-09</v>
      </c>
      <c r="AF11" s="45" t="str">
        <f>IFERROR(__xludf.DUMMYFUNCTION("""COMPUTED_VALUE"""),"No Corresp")</f>
        <v>No Corresp</v>
      </c>
      <c r="AG11" s="73"/>
    </row>
    <row r="12">
      <c r="B12" s="77">
        <f>IFERROR(__xludf.DUMMYFUNCTION("""COMPUTED_VALUE"""),45540.66595434028)</f>
        <v>45540.66595</v>
      </c>
      <c r="C12" s="75" t="str">
        <f>IFERROR(__xludf.DUMMYFUNCTION("""COMPUTED_VALUE"""),"Roberto")</f>
        <v>Roberto</v>
      </c>
      <c r="D12" s="75" t="str">
        <f>IFERROR(__xludf.DUMMYFUNCTION("""COMPUTED_VALUE"""),"Ricoveri")</f>
        <v>Ricoveri</v>
      </c>
      <c r="E12" s="75" t="str">
        <f>IFERROR(__xludf.DUMMYFUNCTION("""COMPUTED_VALUE"""),"caba")</f>
        <v>caba</v>
      </c>
      <c r="F12" s="75" t="str">
        <f>IFERROR(__xludf.DUMMYFUNCTION("""COMPUTED_VALUE"""),"ARG")</f>
        <v>ARG</v>
      </c>
      <c r="G12" s="75">
        <f>IFERROR(__xludf.DUMMYFUNCTION("""COMPUTED_VALUE"""),1.3924228E7)</f>
        <v>13924228</v>
      </c>
      <c r="H12" s="74">
        <f>IFERROR(__xludf.DUMMYFUNCTION("""COMPUTED_VALUE"""),21610.0)</f>
        <v>21610</v>
      </c>
      <c r="I12" s="75">
        <f>IFERROR(__xludf.DUMMYFUNCTION("""COMPUTED_VALUE"""),1.131247997E9)</f>
        <v>1131247997</v>
      </c>
      <c r="J12" s="75"/>
      <c r="K12" s="75" t="str">
        <f>IFERROR(__xludf.DUMMYFUNCTION("""COMPUTED_VALUE"""),"robertoricoveri@hotmail.com")</f>
        <v>robertoricoveri@hotmail.com</v>
      </c>
      <c r="L12" s="75" t="str">
        <f>IFERROR(__xludf.DUMMYFUNCTION("""COMPUTED_VALUE"""),"Masculino")</f>
        <v>Masculino</v>
      </c>
      <c r="M12" s="75" t="str">
        <f>IFERROR(__xludf.DUMMYFUNCTION("""COMPUTED_VALUE"""),"CUBA")</f>
        <v>CUBA</v>
      </c>
      <c r="N12" s="75"/>
      <c r="O12" s="75" t="str">
        <f>IFERROR(__xludf.DUMMYFUNCTION("""COMPUTED_VALUE"""),"GRUMETE")</f>
        <v>GRUMETE</v>
      </c>
      <c r="P12" s="75"/>
      <c r="Q12" s="75">
        <f>IFERROR(__xludf.DUMMYFUNCTION("""COMPUTED_VALUE"""),300.0)</f>
        <v>300</v>
      </c>
      <c r="R12" s="75" t="str">
        <f>IFERROR(__xludf.DUMMYFUNCTION("""COMPUTED_VALUE"""),"Antares")</f>
        <v>Antares</v>
      </c>
      <c r="S12" s="75" t="str">
        <f>IFERROR(__xludf.DUMMYFUNCTION("""COMPUTED_VALUE"""),"Jaime Bejarano")</f>
        <v>Jaime Bejarano</v>
      </c>
      <c r="T12" s="75" t="str">
        <f>IFERROR(__xludf.DUMMYFUNCTION("""COMPUTED_VALUE"""),"Verena Zagni")</f>
        <v>Verena Zagni</v>
      </c>
      <c r="U12" s="75"/>
      <c r="V12" s="75"/>
      <c r="W12" s="75"/>
      <c r="X12" s="75"/>
      <c r="Y12" s="75" t="str">
        <f>IFERROR(__xludf.DUMMYFUNCTION("""COMPUTED_VALUE"""),"Galeno")</f>
        <v>Galeno</v>
      </c>
      <c r="Z12" s="75" t="str">
        <f>IFERROR(__xludf.DUMMYFUNCTION("""COMPUTED_VALUE"""),"No")</f>
        <v>No</v>
      </c>
      <c r="AA12" s="75" t="str">
        <f>IFERROR(__xludf.DUMMYFUNCTION("""COMPUTED_VALUE"""),"Acepto")</f>
        <v>Acepto</v>
      </c>
      <c r="AB12" s="73" t="str">
        <f>IFERROR(__xludf.DUMMYFUNCTION("""COMPUTED_VALUE"""),"Terminado")</f>
        <v>Terminado</v>
      </c>
      <c r="AC12" s="45">
        <f>IFERROR(__xludf.DUMMYFUNCTION("""COMPUTED_VALUE"""),60000.0)</f>
        <v>60000</v>
      </c>
      <c r="AD12" s="45">
        <f>IFERROR(__xludf.DUMMYFUNCTION("""COMPUTED_VALUE"""),205485.0)</f>
        <v>205485</v>
      </c>
      <c r="AE12" s="45" t="str">
        <f>IFERROR(__xludf.DUMMYFUNCTION("""COMPUTED_VALUE"""),"TRF 05-09")</f>
        <v>TRF 05-09</v>
      </c>
      <c r="AF12" s="45" t="str">
        <f>IFERROR(__xludf.DUMMYFUNCTION("""COMPUTED_VALUE"""),"No Corresp")</f>
        <v>No Corresp</v>
      </c>
      <c r="AG12" s="73"/>
    </row>
    <row r="13">
      <c r="B13" s="77">
        <f>IFERROR(__xludf.DUMMYFUNCTION("""COMPUTED_VALUE"""),45532.92049820602)</f>
        <v>45532.9205</v>
      </c>
      <c r="C13" s="75" t="str">
        <f>IFERROR(__xludf.DUMMYFUNCTION("""COMPUTED_VALUE"""),"Roberto")</f>
        <v>Roberto</v>
      </c>
      <c r="D13" s="75" t="str">
        <f>IFERROR(__xludf.DUMMYFUNCTION("""COMPUTED_VALUE"""),"Zulli")</f>
        <v>Zulli</v>
      </c>
      <c r="E13" s="75" t="str">
        <f>IFERROR(__xludf.DUMMYFUNCTION("""COMPUTED_VALUE"""),"San isidro")</f>
        <v>San isidro</v>
      </c>
      <c r="F13" s="75" t="str">
        <f>IFERROR(__xludf.DUMMYFUNCTION("""COMPUTED_VALUE"""),"ARG")</f>
        <v>ARG</v>
      </c>
      <c r="G13" s="75">
        <f>IFERROR(__xludf.DUMMYFUNCTION("""COMPUTED_VALUE"""),2.2275715E7)</f>
        <v>22275715</v>
      </c>
      <c r="H13" s="74">
        <f>IFERROR(__xludf.DUMMYFUNCTION("""COMPUTED_VALUE"""),45511.0)</f>
        <v>45511</v>
      </c>
      <c r="I13" s="75">
        <f>IFERROR(__xludf.DUMMYFUNCTION("""COMPUTED_VALUE"""),1.149395391E9)</f>
        <v>1149395391</v>
      </c>
      <c r="J13" s="75"/>
      <c r="K13" s="75" t="str">
        <f>IFERROR(__xludf.DUMMYFUNCTION("""COMPUTED_VALUE"""),"Zullirobertog257@gmail.com")</f>
        <v>Zullirobertog257@gmail.com</v>
      </c>
      <c r="L13" s="75" t="str">
        <f>IFERROR(__xludf.DUMMYFUNCTION("""COMPUTED_VALUE"""),"Masculino")</f>
        <v>Masculino</v>
      </c>
      <c r="M13" s="75" t="str">
        <f>IFERROR(__xludf.DUMMYFUNCTION("""COMPUTED_VALUE"""),"Cnbd")</f>
        <v>Cnbd</v>
      </c>
      <c r="N13" s="75"/>
      <c r="O13" s="75" t="str">
        <f>IFERROR(__xludf.DUMMYFUNCTION("""COMPUTED_VALUE"""),"GRUMETE")</f>
        <v>GRUMETE</v>
      </c>
      <c r="P13" s="75" t="str">
        <f>IFERROR(__xludf.DUMMYFUNCTION("""COMPUTED_VALUE"""),"No")</f>
        <v>No</v>
      </c>
      <c r="Q13" s="75" t="str">
        <f>IFERROR(__xludf.DUMMYFUNCTION("""COMPUTED_VALUE"""),"G117")</f>
        <v>G117</v>
      </c>
      <c r="R13" s="75" t="str">
        <f>IFERROR(__xludf.DUMMYFUNCTION("""COMPUTED_VALUE"""),"Coya")</f>
        <v>Coya</v>
      </c>
      <c r="S13" s="75" t="str">
        <f>IFERROR(__xludf.DUMMYFUNCTION("""COMPUTED_VALUE"""),"Gerardo Della torre")</f>
        <v>Gerardo Della torre</v>
      </c>
      <c r="T13" s="75" t="str">
        <f>IFERROR(__xludf.DUMMYFUNCTION("""COMPUTED_VALUE"""),"Nicolás dono")</f>
        <v>Nicolás dono</v>
      </c>
      <c r="U13" s="75"/>
      <c r="V13" s="75"/>
      <c r="W13" s="75"/>
      <c r="X13" s="75"/>
      <c r="Y13" s="75" t="str">
        <f>IFERROR(__xludf.DUMMYFUNCTION("""COMPUTED_VALUE"""),"Sume")</f>
        <v>Sume</v>
      </c>
      <c r="Z13" s="75" t="str">
        <f>IFERROR(__xludf.DUMMYFUNCTION("""COMPUTED_VALUE"""),"No")</f>
        <v>No</v>
      </c>
      <c r="AA13" s="75" t="str">
        <f>IFERROR(__xludf.DUMMYFUNCTION("""COMPUTED_VALUE"""),"Acepto")</f>
        <v>Acepto</v>
      </c>
      <c r="AB13" s="73" t="str">
        <f>IFERROR(__xludf.DUMMYFUNCTION("""COMPUTED_VALUE"""),"Terminado")</f>
        <v>Terminado</v>
      </c>
      <c r="AC13" s="45">
        <f>IFERROR(__xludf.DUMMYFUNCTION("""COMPUTED_VALUE"""),50000.0)</f>
        <v>50000</v>
      </c>
      <c r="AD13" s="45">
        <f>IFERROR(__xludf.DUMMYFUNCTION("""COMPUTED_VALUE"""),205514.0)</f>
        <v>205514</v>
      </c>
      <c r="AE13" s="45" t="str">
        <f>IFERROR(__xludf.DUMMYFUNCTION("""COMPUTED_VALUE"""),"TRF 05-09")</f>
        <v>TRF 05-09</v>
      </c>
      <c r="AF13" s="45" t="str">
        <f>IFERROR(__xludf.DUMMYFUNCTION("""COMPUTED_VALUE"""),"No Corresp")</f>
        <v>No Corresp</v>
      </c>
      <c r="AG13" s="73"/>
    </row>
    <row r="14">
      <c r="B14" s="77">
        <f>IFERROR(__xludf.DUMMYFUNCTION("""COMPUTED_VALUE"""),45541.45556405092)</f>
        <v>45541.45556</v>
      </c>
      <c r="C14" s="75" t="str">
        <f>IFERROR(__xludf.DUMMYFUNCTION("""COMPUTED_VALUE"""),"Andres")</f>
        <v>Andres</v>
      </c>
      <c r="D14" s="75" t="str">
        <f>IFERROR(__xludf.DUMMYFUNCTION("""COMPUTED_VALUE"""),"Grasso")</f>
        <v>Grasso</v>
      </c>
      <c r="E14" s="75" t="str">
        <f>IFERROR(__xludf.DUMMYFUNCTION("""COMPUTED_VALUE"""),"CABA")</f>
        <v>CABA</v>
      </c>
      <c r="F14" s="75" t="str">
        <f>IFERROR(__xludf.DUMMYFUNCTION("""COMPUTED_VALUE"""),"ARG")</f>
        <v>ARG</v>
      </c>
      <c r="G14" s="75">
        <f>IFERROR(__xludf.DUMMYFUNCTION("""COMPUTED_VALUE"""),2.9435724E7)</f>
        <v>29435724</v>
      </c>
      <c r="H14" s="74">
        <f>IFERROR(__xludf.DUMMYFUNCTION("""COMPUTED_VALUE"""),30036.0)</f>
        <v>30036</v>
      </c>
      <c r="I14" s="75">
        <f>IFERROR(__xludf.DUMMYFUNCTION("""COMPUTED_VALUE"""),1.151521958E9)</f>
        <v>1151521958</v>
      </c>
      <c r="J14" s="75">
        <f>IFERROR(__xludf.DUMMYFUNCTION("""COMPUTED_VALUE"""),1.151521958E9)</f>
        <v>1151521958</v>
      </c>
      <c r="K14" s="75" t="str">
        <f>IFERROR(__xludf.DUMMYFUNCTION("""COMPUTED_VALUE"""),"grasso.andres@gmail.com")</f>
        <v>grasso.andres@gmail.com</v>
      </c>
      <c r="L14" s="75" t="str">
        <f>IFERROR(__xludf.DUMMYFUNCTION("""COMPUTED_VALUE"""),"Masculino")</f>
        <v>Masculino</v>
      </c>
      <c r="M14" s="75" t="str">
        <f>IFERROR(__xludf.DUMMYFUNCTION("""COMPUTED_VALUE"""),"CPNLB")</f>
        <v>CPNLB</v>
      </c>
      <c r="N14" s="75" t="str">
        <f>IFERROR(__xludf.DUMMYFUNCTION("""COMPUTED_VALUE"""),"GRUMETE")</f>
        <v>GRUMETE</v>
      </c>
      <c r="O14" s="75" t="str">
        <f>IFERROR(__xludf.DUMMYFUNCTION("""COMPUTED_VALUE"""),"GRUMETE")</f>
        <v>GRUMETE</v>
      </c>
      <c r="P14" s="75"/>
      <c r="Q14" s="75">
        <f>IFERROR(__xludf.DUMMYFUNCTION("""COMPUTED_VALUE"""),84.0)</f>
        <v>84</v>
      </c>
      <c r="R14" s="75" t="str">
        <f>IFERROR(__xludf.DUMMYFUNCTION("""COMPUTED_VALUE"""),"PETERIBI")</f>
        <v>PETERIBI</v>
      </c>
      <c r="S14" s="75"/>
      <c r="T14" s="75"/>
      <c r="U14" s="75"/>
      <c r="V14" s="75"/>
      <c r="W14" s="75"/>
      <c r="X14" s="75"/>
      <c r="Y14" s="75" t="str">
        <f>IFERROR(__xludf.DUMMYFUNCTION("""COMPUTED_VALUE"""),"MEDICUS/1069739.002")</f>
        <v>MEDICUS/1069739.002</v>
      </c>
      <c r="Z14" s="75" t="str">
        <f>IFERROR(__xludf.DUMMYFUNCTION("""COMPUTED_VALUE"""),"No")</f>
        <v>No</v>
      </c>
      <c r="AA14" s="75" t="str">
        <f>IFERROR(__xludf.DUMMYFUNCTION("""COMPUTED_VALUE"""),"Acepto")</f>
        <v>Acepto</v>
      </c>
      <c r="AB14" s="73" t="str">
        <f>IFERROR(__xludf.DUMMYFUNCTION("""COMPUTED_VALUE"""),"Pendiente")</f>
        <v>Pendiente</v>
      </c>
      <c r="AC14" s="45">
        <f>IFERROR(__xludf.DUMMYFUNCTION("""COMPUTED_VALUE"""),50000.0)</f>
        <v>50000</v>
      </c>
      <c r="AD14" s="45">
        <f>IFERROR(__xludf.DUMMYFUNCTION("""COMPUTED_VALUE"""),205692.0)</f>
        <v>205692</v>
      </c>
      <c r="AE14" s="45" t="str">
        <f>IFERROR(__xludf.DUMMYFUNCTION("""COMPUTED_VALUE"""),"TRF 11-09")</f>
        <v>TRF 11-09</v>
      </c>
      <c r="AF14" s="45" t="str">
        <f>IFERROR(__xludf.DUMMYFUNCTION("""COMPUTED_VALUE"""),"No Corresp")</f>
        <v>No Corresp</v>
      </c>
      <c r="AG14" s="73"/>
    </row>
  </sheetData>
  <conditionalFormatting sqref="I1">
    <cfRule type="cellIs" dxfId="1" priority="1" operator="equal">
      <formula>"Si"</formula>
    </cfRule>
  </conditionalFormatting>
  <conditionalFormatting sqref="AC4:AC11">
    <cfRule type="cellIs" dxfId="1" priority="2" operator="equal">
      <formula>"Terminado"</formula>
    </cfRule>
  </conditionalFormatting>
  <conditionalFormatting sqref="AB3:AB14">
    <cfRule type="cellIs" dxfId="1" priority="3" operator="equal">
      <formula>"Terminado"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0.75"/>
    <col customWidth="1" min="4" max="4" width="12.13"/>
    <col customWidth="1" min="5" max="5" width="19.88"/>
    <col customWidth="1" min="6" max="6" width="5.25"/>
    <col customWidth="1" hidden="1" min="7" max="7" width="9.38"/>
    <col customWidth="1" hidden="1" min="8" max="8" width="4.38"/>
    <col customWidth="1" hidden="1" min="9" max="9" width="9.0"/>
    <col customWidth="1" hidden="1" min="10" max="10" width="6.13"/>
    <col customWidth="1" hidden="1" min="11" max="11" width="5.25"/>
    <col customWidth="1" min="12" max="12" width="8.5"/>
    <col customWidth="1" min="13" max="13" width="9.75"/>
    <col customWidth="1" min="14" max="14" width="11.38"/>
    <col customWidth="1" min="15" max="15" width="16.38"/>
    <col customWidth="1" hidden="1" min="16" max="16" width="7.0"/>
    <col customWidth="1" min="17" max="17" width="10.63"/>
    <col customWidth="1" min="18" max="18" width="10.13"/>
    <col customWidth="1" hidden="1" min="19" max="24" width="10.38"/>
    <col customWidth="1" hidden="1" min="25" max="25" width="10.25"/>
    <col customWidth="1" min="26" max="26" width="7.0"/>
    <col customWidth="1" hidden="1" min="27" max="27" width="11.0"/>
    <col customWidth="1" min="28" max="28" width="9.63"/>
    <col customWidth="1" hidden="1" min="29" max="29" width="11.13"/>
    <col customWidth="1" hidden="1" min="30" max="30" width="10.63"/>
    <col hidden="1" min="31" max="32" width="12.63"/>
    <col customWidth="1" min="33" max="33" width="15.88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70</v>
      </c>
      <c r="C2" s="3"/>
      <c r="D2" s="65"/>
      <c r="E2" s="3"/>
      <c r="F2" s="66" t="str">
        <f>"Inscriptos: "&amp;COUNTA(C4:C100)</f>
        <v>Inscriptos: 0</v>
      </c>
      <c r="G2" s="3"/>
      <c r="H2" s="3"/>
      <c r="I2" s="67"/>
      <c r="J2" s="67"/>
      <c r="K2" s="67"/>
      <c r="L2" s="68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 t="s">
        <v>71</v>
      </c>
      <c r="B3" s="3" t="str">
        <f>IFERROR(__xludf.DUMMYFUNCTION("query(Titulos)"),"Dia y Hora")</f>
        <v>Dia y Hora</v>
      </c>
      <c r="C3" s="3" t="str">
        <f>IFERROR(__xludf.DUMMYFUNCTION("""COMPUTED_VALUE"""),"Nombre")</f>
        <v>Nombre</v>
      </c>
      <c r="D3" s="3" t="str">
        <f>IFERROR(__xludf.DUMMYFUNCTION("""COMPUTED_VALUE"""),"Apellido")</f>
        <v>Apellido</v>
      </c>
      <c r="E3" s="3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121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3" t="str">
        <f>IFERROR(__xludf.DUMMYFUNCTION("""COMPUTED_VALUE"""),"Importe")</f>
        <v>Importe</v>
      </c>
      <c r="AD3" s="3" t="str">
        <f>IFERROR(__xludf.DUMMYFUNCTION("""COMPUTED_VALUE"""),"RECIBO")</f>
        <v>RECIBO</v>
      </c>
      <c r="AG3" s="3" t="s">
        <v>72</v>
      </c>
    </row>
    <row r="4">
      <c r="B4" s="122"/>
      <c r="C4" s="43"/>
      <c r="D4" s="43"/>
      <c r="E4" s="43"/>
      <c r="F4" s="7"/>
      <c r="G4" s="7"/>
      <c r="Q4" s="123"/>
      <c r="Z4" s="7"/>
      <c r="AA4" s="7"/>
      <c r="AB4" s="7"/>
    </row>
    <row r="5">
      <c r="B5" s="122"/>
      <c r="C5" s="43"/>
      <c r="D5" s="43"/>
      <c r="E5" s="43"/>
      <c r="F5" s="7"/>
      <c r="G5" s="7"/>
      <c r="Q5" s="123"/>
      <c r="Z5" s="7"/>
      <c r="AA5" s="7"/>
      <c r="AB5" s="7"/>
    </row>
    <row r="6">
      <c r="B6" s="122"/>
      <c r="C6" s="43"/>
      <c r="D6" s="43"/>
      <c r="E6" s="43"/>
      <c r="F6" s="7"/>
      <c r="G6" s="7"/>
      <c r="Q6" s="123"/>
      <c r="Z6" s="7"/>
      <c r="AA6" s="7"/>
      <c r="AB6" s="7"/>
    </row>
    <row r="7">
      <c r="B7" s="122"/>
      <c r="C7" s="43"/>
      <c r="D7" s="43"/>
      <c r="E7" s="43"/>
      <c r="F7" s="7"/>
      <c r="G7" s="7"/>
      <c r="Q7" s="123"/>
      <c r="Z7" s="7"/>
      <c r="AA7" s="7"/>
      <c r="AB7" s="7"/>
    </row>
    <row r="8">
      <c r="B8" s="122"/>
      <c r="C8" s="43"/>
      <c r="D8" s="43"/>
      <c r="E8" s="43"/>
      <c r="F8" s="7"/>
      <c r="G8" s="7"/>
      <c r="Q8" s="123"/>
      <c r="Z8" s="7"/>
      <c r="AA8" s="7"/>
      <c r="AB8" s="7"/>
    </row>
    <row r="9">
      <c r="B9" s="122"/>
      <c r="C9" s="43"/>
      <c r="D9" s="43"/>
      <c r="E9" s="43"/>
      <c r="F9" s="7"/>
      <c r="G9" s="7"/>
      <c r="Q9" s="123"/>
      <c r="Z9" s="7"/>
      <c r="AA9" s="7"/>
      <c r="AB9" s="7"/>
    </row>
    <row r="10">
      <c r="B10" s="122"/>
      <c r="C10" s="43"/>
      <c r="D10" s="43"/>
      <c r="E10" s="43"/>
      <c r="F10" s="7"/>
      <c r="G10" s="7"/>
      <c r="Q10" s="123"/>
      <c r="Z10" s="7"/>
      <c r="AA10" s="7"/>
      <c r="AB10" s="7"/>
    </row>
    <row r="11">
      <c r="B11" s="122"/>
      <c r="C11" s="43"/>
      <c r="D11" s="43"/>
      <c r="E11" s="43"/>
      <c r="F11" s="7"/>
      <c r="G11" s="7"/>
      <c r="Q11" s="123"/>
      <c r="Z11" s="7"/>
      <c r="AA11" s="7"/>
      <c r="AB11" s="7"/>
    </row>
    <row r="12">
      <c r="B12" s="122"/>
      <c r="C12" s="43"/>
      <c r="D12" s="43"/>
      <c r="E12" s="43"/>
      <c r="F12" s="7"/>
      <c r="G12" s="7"/>
      <c r="Q12" s="123"/>
      <c r="Z12" s="7"/>
      <c r="AA12" s="7"/>
      <c r="AB12" s="7"/>
    </row>
    <row r="13">
      <c r="B13" s="122"/>
      <c r="C13" s="43"/>
      <c r="D13" s="43"/>
      <c r="E13" s="43"/>
      <c r="F13" s="7"/>
      <c r="G13" s="7"/>
      <c r="Q13" s="123"/>
      <c r="Z13" s="7"/>
      <c r="AA13" s="7"/>
      <c r="AB13" s="7"/>
    </row>
    <row r="14">
      <c r="B14" s="122"/>
      <c r="C14" s="43"/>
      <c r="D14" s="43"/>
      <c r="E14" s="43"/>
      <c r="F14" s="7"/>
      <c r="G14" s="7"/>
      <c r="Q14" s="123"/>
      <c r="Z14" s="7"/>
      <c r="AA14" s="7"/>
      <c r="AB14" s="7"/>
    </row>
    <row r="15">
      <c r="B15" s="122"/>
      <c r="C15" s="43"/>
      <c r="D15" s="43"/>
      <c r="E15" s="43"/>
      <c r="F15" s="7"/>
      <c r="G15" s="7"/>
      <c r="Q15" s="123"/>
      <c r="Z15" s="7"/>
      <c r="AA15" s="7"/>
      <c r="AB15" s="7"/>
    </row>
    <row r="16">
      <c r="B16" s="122"/>
      <c r="C16" s="43"/>
      <c r="D16" s="43"/>
      <c r="E16" s="43"/>
      <c r="F16" s="7"/>
      <c r="G16" s="7"/>
      <c r="Q16" s="123"/>
      <c r="Z16" s="7"/>
      <c r="AA16" s="7"/>
      <c r="AB16" s="7"/>
    </row>
    <row r="17">
      <c r="B17" s="122"/>
      <c r="C17" s="43"/>
      <c r="D17" s="43"/>
      <c r="E17" s="43"/>
      <c r="F17" s="7"/>
      <c r="G17" s="7"/>
      <c r="Q17" s="123"/>
      <c r="Z17" s="7"/>
      <c r="AA17" s="7"/>
      <c r="AB17" s="7"/>
    </row>
    <row r="18">
      <c r="B18" s="122"/>
      <c r="C18" s="43"/>
      <c r="D18" s="43"/>
      <c r="E18" s="43"/>
      <c r="F18" s="7"/>
      <c r="G18" s="7"/>
      <c r="Q18" s="123"/>
      <c r="Z18" s="7"/>
      <c r="AA18" s="7"/>
      <c r="AB18" s="7"/>
    </row>
    <row r="19">
      <c r="B19" s="122"/>
      <c r="C19" s="43"/>
      <c r="D19" s="43"/>
      <c r="E19" s="43"/>
      <c r="F19" s="7"/>
      <c r="G19" s="7"/>
      <c r="Q19" s="123"/>
      <c r="Z19" s="7"/>
      <c r="AA19" s="7"/>
      <c r="AB19" s="7"/>
    </row>
    <row r="20">
      <c r="B20" s="122"/>
      <c r="C20" s="43"/>
      <c r="D20" s="43"/>
      <c r="E20" s="43"/>
      <c r="F20" s="7"/>
      <c r="G20" s="7"/>
      <c r="Q20" s="123"/>
      <c r="Z20" s="7"/>
      <c r="AA20" s="7"/>
      <c r="AB20" s="7"/>
    </row>
    <row r="21">
      <c r="B21" s="122"/>
      <c r="C21" s="43"/>
      <c r="D21" s="43"/>
      <c r="E21" s="43"/>
      <c r="F21" s="7"/>
      <c r="G21" s="7"/>
      <c r="Q21" s="123"/>
      <c r="Z21" s="7"/>
      <c r="AA21" s="7"/>
      <c r="AB21" s="7"/>
    </row>
    <row r="22">
      <c r="B22" s="122"/>
      <c r="C22" s="43"/>
      <c r="D22" s="43"/>
      <c r="E22" s="43"/>
      <c r="F22" s="7"/>
      <c r="G22" s="7"/>
      <c r="Q22" s="123"/>
      <c r="Z22" s="7"/>
      <c r="AA22" s="7"/>
      <c r="AB22" s="7"/>
    </row>
    <row r="23">
      <c r="B23" s="122"/>
      <c r="C23" s="43"/>
      <c r="D23" s="43"/>
      <c r="E23" s="43"/>
      <c r="F23" s="7"/>
      <c r="G23" s="7"/>
      <c r="Q23" s="123"/>
      <c r="Z23" s="7"/>
      <c r="AA23" s="7"/>
      <c r="AB23" s="7"/>
    </row>
    <row r="24">
      <c r="B24" s="122"/>
      <c r="C24" s="43"/>
      <c r="D24" s="43"/>
      <c r="E24" s="43"/>
      <c r="F24" s="7"/>
      <c r="G24" s="7"/>
      <c r="Q24" s="123"/>
      <c r="Z24" s="7"/>
      <c r="AA24" s="7"/>
      <c r="AB24" s="7"/>
    </row>
    <row r="25">
      <c r="B25" s="122"/>
      <c r="C25" s="43"/>
      <c r="D25" s="43"/>
      <c r="E25" s="43"/>
      <c r="F25" s="7"/>
      <c r="G25" s="7"/>
      <c r="Q25" s="123"/>
      <c r="Z25" s="7"/>
      <c r="AA25" s="7"/>
      <c r="AB25" s="7"/>
    </row>
    <row r="26">
      <c r="B26" s="122"/>
      <c r="C26" s="43"/>
      <c r="D26" s="43"/>
      <c r="E26" s="43"/>
      <c r="F26" s="7"/>
      <c r="G26" s="7"/>
      <c r="Q26" s="123"/>
      <c r="Z26" s="7"/>
      <c r="AA26" s="7"/>
      <c r="AB26" s="7"/>
    </row>
    <row r="27">
      <c r="B27" s="122"/>
      <c r="C27" s="43"/>
      <c r="D27" s="43"/>
      <c r="E27" s="43"/>
      <c r="F27" s="7"/>
      <c r="G27" s="7"/>
      <c r="Q27" s="123"/>
      <c r="Z27" s="7"/>
      <c r="AA27" s="7"/>
      <c r="AB27" s="7"/>
    </row>
    <row r="28">
      <c r="B28" s="122"/>
      <c r="C28" s="43"/>
      <c r="D28" s="43"/>
      <c r="E28" s="43"/>
      <c r="F28" s="7"/>
      <c r="G28" s="7"/>
      <c r="Q28" s="123"/>
      <c r="Z28" s="7"/>
      <c r="AA28" s="7"/>
      <c r="AB28" s="7"/>
    </row>
    <row r="29">
      <c r="B29" s="122"/>
      <c r="C29" s="43"/>
      <c r="D29" s="43"/>
      <c r="E29" s="43"/>
      <c r="F29" s="7"/>
      <c r="G29" s="7"/>
      <c r="Q29" s="123"/>
      <c r="Z29" s="7"/>
      <c r="AA29" s="7"/>
      <c r="AB29" s="7"/>
    </row>
    <row r="30">
      <c r="B30" s="122"/>
      <c r="C30" s="43"/>
      <c r="D30" s="43"/>
      <c r="E30" s="43"/>
      <c r="F30" s="7"/>
      <c r="G30" s="7"/>
      <c r="Q30" s="123"/>
      <c r="Z30" s="7"/>
      <c r="AA30" s="7"/>
      <c r="AB30" s="7"/>
    </row>
    <row r="31">
      <c r="B31" s="122"/>
      <c r="C31" s="43"/>
      <c r="D31" s="43"/>
      <c r="E31" s="43"/>
      <c r="F31" s="7"/>
      <c r="G31" s="7"/>
      <c r="Q31" s="123"/>
      <c r="Z31" s="7"/>
      <c r="AA31" s="7"/>
      <c r="AB31" s="7"/>
    </row>
    <row r="32">
      <c r="B32" s="122"/>
      <c r="C32" s="43"/>
      <c r="D32" s="43"/>
      <c r="E32" s="43"/>
      <c r="F32" s="7"/>
      <c r="G32" s="7"/>
      <c r="Q32" s="123"/>
      <c r="Z32" s="7"/>
      <c r="AA32" s="7"/>
      <c r="AB32" s="7"/>
    </row>
    <row r="33">
      <c r="B33" s="122"/>
      <c r="C33" s="43"/>
      <c r="D33" s="43"/>
      <c r="E33" s="43"/>
      <c r="F33" s="7"/>
      <c r="G33" s="7"/>
      <c r="Q33" s="123"/>
      <c r="Z33" s="7"/>
      <c r="AA33" s="7"/>
      <c r="AB33" s="7"/>
    </row>
    <row r="34">
      <c r="B34" s="122"/>
      <c r="C34" s="43"/>
      <c r="D34" s="43"/>
      <c r="E34" s="43"/>
      <c r="F34" s="7"/>
      <c r="G34" s="7"/>
      <c r="Q34" s="123"/>
      <c r="Z34" s="7"/>
      <c r="AA34" s="7"/>
      <c r="AB34" s="7"/>
    </row>
    <row r="35">
      <c r="B35" s="122"/>
      <c r="C35" s="43"/>
      <c r="D35" s="43"/>
      <c r="E35" s="43"/>
      <c r="F35" s="7"/>
      <c r="G35" s="7"/>
      <c r="Q35" s="123"/>
      <c r="Z35" s="7"/>
      <c r="AA35" s="7"/>
      <c r="AB35" s="7"/>
    </row>
    <row r="36">
      <c r="B36" s="122"/>
      <c r="C36" s="43"/>
      <c r="D36" s="43"/>
      <c r="E36" s="43"/>
      <c r="F36" s="7"/>
      <c r="G36" s="7"/>
      <c r="Q36" s="123"/>
      <c r="Z36" s="7"/>
      <c r="AA36" s="7"/>
      <c r="AB36" s="7"/>
    </row>
    <row r="37">
      <c r="B37" s="122"/>
      <c r="C37" s="43"/>
      <c r="D37" s="43"/>
      <c r="E37" s="43"/>
      <c r="F37" s="7"/>
      <c r="G37" s="7"/>
      <c r="Q37" s="123"/>
      <c r="Z37" s="7"/>
      <c r="AA37" s="7"/>
      <c r="AB37" s="7"/>
    </row>
    <row r="38">
      <c r="B38" s="122"/>
      <c r="C38" s="43"/>
      <c r="D38" s="43"/>
      <c r="E38" s="43"/>
      <c r="F38" s="7"/>
      <c r="G38" s="7"/>
      <c r="Q38" s="123"/>
      <c r="Z38" s="7"/>
      <c r="AA38" s="7"/>
      <c r="AB38" s="7"/>
    </row>
    <row r="39">
      <c r="B39" s="122"/>
      <c r="C39" s="43"/>
      <c r="D39" s="43"/>
      <c r="E39" s="43"/>
      <c r="F39" s="7"/>
      <c r="G39" s="7"/>
      <c r="Q39" s="123"/>
      <c r="Z39" s="7"/>
      <c r="AA39" s="7"/>
      <c r="AB39" s="7"/>
    </row>
    <row r="40">
      <c r="B40" s="122"/>
      <c r="C40" s="43"/>
      <c r="D40" s="43"/>
      <c r="E40" s="43"/>
      <c r="F40" s="7"/>
      <c r="G40" s="7"/>
      <c r="Q40" s="123"/>
      <c r="Z40" s="7"/>
      <c r="AA40" s="7"/>
      <c r="AB40" s="7"/>
    </row>
    <row r="41">
      <c r="B41" s="122"/>
      <c r="C41" s="43"/>
      <c r="D41" s="43"/>
      <c r="E41" s="43"/>
      <c r="F41" s="7"/>
      <c r="G41" s="7"/>
      <c r="Q41" s="123"/>
      <c r="Z41" s="7"/>
      <c r="AA41" s="7"/>
      <c r="AB41" s="7"/>
    </row>
    <row r="42">
      <c r="B42" s="122"/>
      <c r="C42" s="43"/>
      <c r="D42" s="43"/>
      <c r="E42" s="43"/>
      <c r="F42" s="7"/>
      <c r="G42" s="7"/>
      <c r="Q42" s="123"/>
      <c r="Z42" s="7"/>
      <c r="AA42" s="7"/>
      <c r="AB42" s="7"/>
    </row>
    <row r="43">
      <c r="B43" s="122"/>
      <c r="C43" s="43"/>
      <c r="D43" s="43"/>
      <c r="E43" s="43"/>
      <c r="F43" s="7"/>
      <c r="G43" s="7"/>
      <c r="Q43" s="123"/>
      <c r="Z43" s="7"/>
      <c r="AA43" s="7"/>
      <c r="AB43" s="7"/>
    </row>
    <row r="44">
      <c r="B44" s="122"/>
      <c r="C44" s="43"/>
      <c r="D44" s="43"/>
      <c r="E44" s="43"/>
      <c r="F44" s="7"/>
      <c r="G44" s="7"/>
      <c r="Q44" s="123"/>
      <c r="Z44" s="7"/>
      <c r="AA44" s="7"/>
      <c r="AB44" s="7"/>
    </row>
    <row r="45">
      <c r="B45" s="122"/>
      <c r="C45" s="43"/>
      <c r="D45" s="43"/>
      <c r="E45" s="43"/>
      <c r="F45" s="7"/>
      <c r="G45" s="7"/>
      <c r="Q45" s="123"/>
      <c r="Z45" s="7"/>
      <c r="AA45" s="7"/>
      <c r="AB45" s="7"/>
    </row>
    <row r="46">
      <c r="B46" s="122"/>
      <c r="C46" s="43"/>
      <c r="D46" s="43"/>
      <c r="E46" s="43"/>
      <c r="F46" s="7"/>
      <c r="G46" s="7"/>
      <c r="Q46" s="123"/>
      <c r="Z46" s="7"/>
      <c r="AA46" s="7"/>
      <c r="AB46" s="7"/>
    </row>
    <row r="47">
      <c r="B47" s="122"/>
      <c r="C47" s="43"/>
      <c r="D47" s="43"/>
      <c r="E47" s="43"/>
      <c r="F47" s="7"/>
      <c r="G47" s="7"/>
      <c r="Q47" s="123"/>
      <c r="Z47" s="7"/>
      <c r="AA47" s="7"/>
      <c r="AB47" s="7"/>
    </row>
    <row r="48">
      <c r="E48" s="7"/>
      <c r="F48" s="7"/>
      <c r="G48" s="7"/>
      <c r="Q48" s="123"/>
      <c r="Z48" s="7"/>
      <c r="AA48" s="7"/>
      <c r="AB48" s="7"/>
    </row>
    <row r="49">
      <c r="E49" s="7"/>
      <c r="F49" s="7"/>
      <c r="G49" s="7"/>
      <c r="Q49" s="123"/>
      <c r="Z49" s="7"/>
      <c r="AA49" s="7"/>
      <c r="AB49" s="7"/>
    </row>
    <row r="50">
      <c r="E50" s="7"/>
      <c r="F50" s="7"/>
      <c r="G50" s="7"/>
      <c r="Z50" s="7"/>
      <c r="AA50" s="7"/>
      <c r="AB50" s="7"/>
    </row>
    <row r="51">
      <c r="E51" s="7"/>
      <c r="F51" s="7"/>
      <c r="G51" s="7"/>
      <c r="Z51" s="7"/>
      <c r="AA51" s="7"/>
      <c r="AB51" s="7"/>
    </row>
    <row r="52">
      <c r="E52" s="7"/>
      <c r="F52" s="7"/>
      <c r="G52" s="7"/>
      <c r="Z52" s="7"/>
      <c r="AA52" s="7"/>
      <c r="AB52" s="7"/>
    </row>
    <row r="53">
      <c r="E53" s="7"/>
      <c r="F53" s="7"/>
      <c r="G53" s="7"/>
      <c r="Z53" s="7"/>
      <c r="AA53" s="7"/>
      <c r="AB53" s="7"/>
    </row>
    <row r="54">
      <c r="E54" s="7"/>
      <c r="F54" s="7"/>
      <c r="G54" s="7"/>
      <c r="Z54" s="7"/>
      <c r="AA54" s="7"/>
      <c r="AB54" s="7"/>
    </row>
    <row r="55">
      <c r="E55" s="7"/>
      <c r="F55" s="7"/>
      <c r="G55" s="7"/>
      <c r="Z55" s="7"/>
      <c r="AA55" s="7"/>
      <c r="AB55" s="7"/>
    </row>
    <row r="56">
      <c r="E56" s="7"/>
      <c r="F56" s="7"/>
      <c r="G56" s="7"/>
      <c r="Z56" s="7"/>
      <c r="AA56" s="7"/>
      <c r="AB56" s="7"/>
    </row>
    <row r="57">
      <c r="E57" s="7"/>
      <c r="F57" s="7"/>
      <c r="G57" s="7"/>
      <c r="Z57" s="7"/>
      <c r="AA57" s="7"/>
      <c r="AB57" s="7"/>
    </row>
    <row r="58">
      <c r="E58" s="7"/>
      <c r="F58" s="7"/>
      <c r="G58" s="7"/>
      <c r="Z58" s="7"/>
      <c r="AA58" s="7"/>
      <c r="AB58" s="7"/>
    </row>
    <row r="59">
      <c r="E59" s="7"/>
      <c r="F59" s="7"/>
      <c r="G59" s="7"/>
      <c r="Z59" s="7"/>
      <c r="AA59" s="7"/>
      <c r="AB59" s="7"/>
    </row>
    <row r="60">
      <c r="E60" s="7"/>
      <c r="F60" s="7"/>
      <c r="G60" s="7"/>
      <c r="Z60" s="7"/>
      <c r="AA60" s="7"/>
      <c r="AB60" s="7"/>
    </row>
    <row r="61">
      <c r="E61" s="7"/>
      <c r="F61" s="7"/>
      <c r="G61" s="7"/>
      <c r="Z61" s="7"/>
      <c r="AA61" s="7"/>
      <c r="AB61" s="7"/>
    </row>
    <row r="62">
      <c r="E62" s="7"/>
      <c r="F62" s="7"/>
      <c r="G62" s="7"/>
      <c r="Z62" s="7"/>
      <c r="AA62" s="7"/>
      <c r="AB62" s="7"/>
    </row>
    <row r="63">
      <c r="E63" s="7"/>
      <c r="F63" s="7"/>
      <c r="G63" s="7"/>
      <c r="Z63" s="7"/>
      <c r="AA63" s="7"/>
      <c r="AB63" s="7"/>
    </row>
    <row r="64">
      <c r="E64" s="7"/>
      <c r="F64" s="7"/>
      <c r="G64" s="7"/>
      <c r="Z64" s="7"/>
      <c r="AA64" s="7"/>
      <c r="AB64" s="7"/>
    </row>
    <row r="65">
      <c r="E65" s="7"/>
      <c r="F65" s="7"/>
      <c r="G65" s="7"/>
      <c r="Z65" s="7"/>
      <c r="AA65" s="7"/>
      <c r="AB65" s="7"/>
    </row>
    <row r="66">
      <c r="E66" s="7"/>
      <c r="F66" s="7"/>
      <c r="G66" s="7"/>
      <c r="Z66" s="7"/>
      <c r="AA66" s="7"/>
      <c r="AB66" s="7"/>
    </row>
    <row r="67">
      <c r="E67" s="7"/>
      <c r="F67" s="7"/>
      <c r="G67" s="7"/>
      <c r="Z67" s="7"/>
      <c r="AA67" s="7"/>
      <c r="AB67" s="7"/>
    </row>
    <row r="68">
      <c r="E68" s="7"/>
      <c r="F68" s="7"/>
      <c r="G68" s="7"/>
      <c r="Z68" s="7"/>
      <c r="AA68" s="7"/>
      <c r="AB68" s="7"/>
    </row>
    <row r="69">
      <c r="E69" s="7"/>
      <c r="F69" s="7"/>
      <c r="G69" s="7"/>
      <c r="Z69" s="7"/>
      <c r="AA69" s="7"/>
      <c r="AB69" s="7"/>
    </row>
    <row r="70">
      <c r="E70" s="7"/>
      <c r="F70" s="7"/>
      <c r="G70" s="7"/>
      <c r="Z70" s="7"/>
      <c r="AA70" s="7"/>
      <c r="AB70" s="7"/>
    </row>
    <row r="71">
      <c r="E71" s="7"/>
      <c r="F71" s="7"/>
      <c r="G71" s="7"/>
      <c r="Z71" s="7"/>
      <c r="AA71" s="7"/>
      <c r="AB71" s="7"/>
    </row>
    <row r="72">
      <c r="E72" s="7"/>
      <c r="F72" s="7"/>
      <c r="G72" s="7"/>
      <c r="Z72" s="7"/>
      <c r="AA72" s="7"/>
      <c r="AB72" s="7"/>
    </row>
    <row r="73">
      <c r="E73" s="7"/>
      <c r="F73" s="7"/>
      <c r="G73" s="7"/>
      <c r="Z73" s="7"/>
      <c r="AA73" s="7"/>
      <c r="AB73" s="7"/>
    </row>
    <row r="74">
      <c r="E74" s="7"/>
      <c r="F74" s="7"/>
      <c r="G74" s="7"/>
      <c r="Z74" s="7"/>
      <c r="AA74" s="7"/>
      <c r="AB74" s="7"/>
    </row>
    <row r="75">
      <c r="E75" s="7"/>
      <c r="F75" s="7"/>
      <c r="G75" s="7"/>
      <c r="Z75" s="7"/>
      <c r="AA75" s="7"/>
      <c r="AB75" s="7"/>
    </row>
    <row r="76">
      <c r="E76" s="7"/>
      <c r="F76" s="7"/>
      <c r="G76" s="7"/>
      <c r="Z76" s="7"/>
      <c r="AA76" s="7"/>
      <c r="AB76" s="7"/>
    </row>
    <row r="77">
      <c r="E77" s="7"/>
      <c r="F77" s="7"/>
      <c r="G77" s="7"/>
      <c r="Z77" s="7"/>
      <c r="AA77" s="7"/>
      <c r="AB77" s="7"/>
    </row>
    <row r="78">
      <c r="E78" s="7"/>
      <c r="F78" s="7"/>
      <c r="G78" s="7"/>
      <c r="Z78" s="7"/>
      <c r="AA78" s="7"/>
      <c r="AB78" s="7"/>
    </row>
    <row r="79">
      <c r="E79" s="7"/>
      <c r="F79" s="7"/>
      <c r="G79" s="7"/>
      <c r="Z79" s="7"/>
      <c r="AA79" s="7"/>
      <c r="AB79" s="7"/>
    </row>
    <row r="80">
      <c r="E80" s="7"/>
      <c r="F80" s="7"/>
      <c r="G80" s="7"/>
      <c r="Z80" s="7"/>
      <c r="AA80" s="7"/>
      <c r="AB80" s="7"/>
    </row>
    <row r="81">
      <c r="E81" s="7"/>
      <c r="F81" s="7"/>
      <c r="G81" s="7"/>
      <c r="Z81" s="7"/>
      <c r="AA81" s="7"/>
      <c r="AB81" s="7"/>
    </row>
    <row r="82">
      <c r="E82" s="7"/>
      <c r="F82" s="7"/>
      <c r="G82" s="7"/>
      <c r="Z82" s="7"/>
      <c r="AA82" s="7"/>
      <c r="AB82" s="7"/>
    </row>
    <row r="83">
      <c r="E83" s="7"/>
      <c r="F83" s="7"/>
      <c r="G83" s="7"/>
      <c r="Z83" s="7"/>
      <c r="AA83" s="7"/>
      <c r="AB83" s="7"/>
    </row>
    <row r="84">
      <c r="E84" s="7"/>
      <c r="F84" s="7"/>
      <c r="G84" s="7"/>
      <c r="Z84" s="7"/>
      <c r="AA84" s="7"/>
      <c r="AB84" s="7"/>
    </row>
    <row r="85">
      <c r="E85" s="7"/>
      <c r="F85" s="7"/>
      <c r="G85" s="7"/>
      <c r="Z85" s="7"/>
      <c r="AA85" s="7"/>
      <c r="AB85" s="7"/>
    </row>
    <row r="86">
      <c r="E86" s="7"/>
      <c r="F86" s="7"/>
      <c r="G86" s="7"/>
      <c r="Z86" s="7"/>
      <c r="AA86" s="7"/>
      <c r="AB86" s="7"/>
    </row>
    <row r="87">
      <c r="E87" s="7"/>
      <c r="F87" s="7"/>
      <c r="G87" s="7"/>
      <c r="Z87" s="7"/>
      <c r="AA87" s="7"/>
      <c r="AB87" s="7"/>
    </row>
    <row r="88">
      <c r="E88" s="7"/>
      <c r="F88" s="7"/>
      <c r="G88" s="7"/>
      <c r="Z88" s="7"/>
      <c r="AA88" s="7"/>
      <c r="AB88" s="7"/>
    </row>
    <row r="89">
      <c r="E89" s="7"/>
      <c r="F89" s="7"/>
      <c r="G89" s="7"/>
      <c r="Z89" s="7"/>
      <c r="AA89" s="7"/>
      <c r="AB89" s="7"/>
    </row>
    <row r="90">
      <c r="E90" s="7"/>
      <c r="F90" s="7"/>
      <c r="G90" s="7"/>
      <c r="Z90" s="7"/>
      <c r="AA90" s="7"/>
      <c r="AB90" s="7"/>
    </row>
    <row r="91">
      <c r="E91" s="7"/>
      <c r="F91" s="7"/>
      <c r="G91" s="7"/>
      <c r="Z91" s="7"/>
      <c r="AA91" s="7"/>
      <c r="AB91" s="7"/>
    </row>
    <row r="92">
      <c r="E92" s="7"/>
      <c r="F92" s="7"/>
      <c r="G92" s="7"/>
      <c r="Z92" s="7"/>
      <c r="AA92" s="7"/>
      <c r="AB92" s="7"/>
    </row>
    <row r="93">
      <c r="E93" s="7"/>
      <c r="F93" s="7"/>
      <c r="G93" s="7"/>
      <c r="Z93" s="7"/>
      <c r="AA93" s="7"/>
      <c r="AB93" s="7"/>
    </row>
    <row r="94">
      <c r="E94" s="7"/>
      <c r="F94" s="7"/>
      <c r="G94" s="7"/>
      <c r="Z94" s="7"/>
      <c r="AA94" s="7"/>
      <c r="AB94" s="7"/>
    </row>
    <row r="95">
      <c r="E95" s="7"/>
      <c r="F95" s="7"/>
      <c r="G95" s="7"/>
      <c r="Z95" s="7"/>
      <c r="AA95" s="7"/>
      <c r="AB95" s="7"/>
    </row>
    <row r="96">
      <c r="E96" s="7"/>
      <c r="F96" s="7"/>
      <c r="G96" s="7"/>
      <c r="Z96" s="7"/>
      <c r="AA96" s="7"/>
      <c r="AB96" s="7"/>
    </row>
    <row r="97">
      <c r="E97" s="7"/>
      <c r="F97" s="7"/>
      <c r="G97" s="7"/>
      <c r="Z97" s="7"/>
      <c r="AA97" s="7"/>
      <c r="AB97" s="7"/>
    </row>
    <row r="98">
      <c r="E98" s="7"/>
      <c r="F98" s="7"/>
      <c r="G98" s="7"/>
      <c r="Z98" s="7"/>
      <c r="AA98" s="7"/>
      <c r="AB98" s="7"/>
    </row>
    <row r="99">
      <c r="E99" s="7"/>
      <c r="F99" s="7"/>
      <c r="G99" s="7"/>
      <c r="Z99" s="7"/>
      <c r="AA99" s="7"/>
      <c r="AB99" s="7"/>
    </row>
    <row r="100">
      <c r="Z100" s="7"/>
      <c r="AA100" s="7"/>
      <c r="AB100" s="7"/>
    </row>
    <row r="101">
      <c r="Z101" s="7"/>
      <c r="AA101" s="7"/>
      <c r="AB101" s="7"/>
    </row>
    <row r="102">
      <c r="Z102" s="7"/>
      <c r="AA102" s="7"/>
      <c r="AB102" s="7"/>
    </row>
    <row r="103">
      <c r="Z103" s="7"/>
      <c r="AA103" s="7"/>
      <c r="AB103" s="7"/>
    </row>
    <row r="104">
      <c r="Z104" s="7"/>
      <c r="AA104" s="7"/>
      <c r="AB104" s="7"/>
    </row>
    <row r="105">
      <c r="Z105" s="7"/>
      <c r="AA105" s="7"/>
      <c r="AB105" s="7"/>
    </row>
    <row r="106">
      <c r="Z106" s="7"/>
      <c r="AA106" s="7"/>
      <c r="AB106" s="7"/>
    </row>
    <row r="107">
      <c r="Z107" s="7"/>
      <c r="AA107" s="7"/>
      <c r="AB107" s="7"/>
    </row>
    <row r="108">
      <c r="Z108" s="7"/>
      <c r="AA108" s="7"/>
      <c r="AB108" s="7"/>
    </row>
    <row r="109">
      <c r="Z109" s="7"/>
      <c r="AA109" s="7"/>
      <c r="AB109" s="7"/>
    </row>
    <row r="110">
      <c r="Z110" s="7"/>
      <c r="AA110" s="7"/>
      <c r="AB110" s="7"/>
    </row>
    <row r="111">
      <c r="Z111" s="7"/>
      <c r="AA111" s="7"/>
      <c r="AB111" s="7"/>
    </row>
    <row r="112">
      <c r="Z112" s="7"/>
      <c r="AA112" s="7"/>
      <c r="AB112" s="7"/>
    </row>
    <row r="113">
      <c r="Z113" s="7"/>
      <c r="AA113" s="7"/>
      <c r="AB113" s="7"/>
    </row>
    <row r="114">
      <c r="Z114" s="7"/>
      <c r="AA114" s="7"/>
      <c r="AB114" s="7"/>
    </row>
    <row r="115">
      <c r="Z115" s="7"/>
      <c r="AA115" s="7"/>
      <c r="AB115" s="7"/>
    </row>
    <row r="116">
      <c r="Z116" s="7"/>
      <c r="AA116" s="7"/>
      <c r="AB116" s="7"/>
    </row>
    <row r="117">
      <c r="Z117" s="7"/>
      <c r="AA117" s="7"/>
      <c r="AB117" s="7"/>
    </row>
    <row r="118">
      <c r="Z118" s="7"/>
      <c r="AA118" s="7"/>
      <c r="AB118" s="7"/>
    </row>
    <row r="119">
      <c r="Z119" s="7"/>
      <c r="AA119" s="7"/>
      <c r="AB119" s="7"/>
    </row>
    <row r="120">
      <c r="Z120" s="7"/>
      <c r="AA120" s="7"/>
      <c r="AB120" s="7"/>
    </row>
    <row r="121">
      <c r="Z121" s="7"/>
      <c r="AA121" s="7"/>
      <c r="AB121" s="7"/>
    </row>
  </sheetData>
  <conditionalFormatting sqref="B4:B136">
    <cfRule type="cellIs" dxfId="1" priority="1" operator="equal">
      <formula>"Pago"</formula>
    </cfRule>
  </conditionalFormatting>
  <conditionalFormatting sqref="G1:G65 I2 E4:F65">
    <cfRule type="cellIs" dxfId="1" priority="2" operator="equal">
      <formula>"Si"</formula>
    </cfRule>
  </conditionalFormatting>
  <conditionalFormatting sqref="AB4:AB66">
    <cfRule type="cellIs" dxfId="3" priority="3" operator="equal">
      <formula>"OK"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5.13"/>
    <col customWidth="1" min="3" max="3" width="13.75"/>
    <col customWidth="1" min="4" max="4" width="14.13"/>
    <col customWidth="1" min="5" max="5" width="4.63"/>
    <col customWidth="1" hidden="1" min="6" max="6" width="11.63"/>
    <col customWidth="1" hidden="1" min="7" max="7" width="4.63"/>
    <col customWidth="1" hidden="1" min="8" max="8" width="18.0"/>
    <col customWidth="1" hidden="1" min="9" max="9" width="23.38"/>
    <col customWidth="1" hidden="1" min="10" max="10" width="20.25"/>
    <col customWidth="1" min="11" max="11" width="8.5"/>
    <col customWidth="1" min="12" max="12" width="6.5"/>
    <col customWidth="1" min="13" max="13" width="22.25"/>
    <col customWidth="1" min="14" max="14" width="21.0"/>
    <col customWidth="1" min="15" max="15" width="6.75"/>
    <col customWidth="1" min="16" max="16" width="7.5"/>
    <col customWidth="1" hidden="1" min="17" max="17" width="14.38"/>
    <col customWidth="1" hidden="1" min="18" max="18" width="10.88"/>
    <col customWidth="1" hidden="1" min="19" max="19" width="11.13"/>
    <col customWidth="1" hidden="1" min="20" max="20" width="12.25"/>
    <col customWidth="1" hidden="1" min="21" max="22" width="9.75"/>
    <col customWidth="1" hidden="1" min="23" max="23" width="10.38"/>
    <col customWidth="1" hidden="1" min="24" max="24" width="9.75"/>
    <col customWidth="1" min="25" max="25" width="7.13"/>
    <col customWidth="1" hidden="1" min="26" max="26" width="11.25"/>
    <col customWidth="1" min="27" max="27" width="10.5"/>
    <col customWidth="1" hidden="1" min="28" max="28" width="11.63"/>
    <col customWidth="1" hidden="1" min="29" max="29" width="10.38"/>
    <col customWidth="1" hidden="1" min="30" max="30" width="10.5"/>
    <col customWidth="1" min="31" max="31" width="11.63"/>
    <col customWidth="1" min="32" max="32" width="9.75"/>
    <col customWidth="1" hidden="1" min="33" max="33" width="10.88"/>
  </cols>
  <sheetData>
    <row r="1" ht="75.0" customHeight="1">
      <c r="A1" s="1"/>
      <c r="B1" s="2" t="s">
        <v>0</v>
      </c>
      <c r="N1" s="3" t="str">
        <f>"Inscriptos: "&amp;COUNTA(A5:A1195)</f>
        <v>Inscriptos: 486</v>
      </c>
      <c r="O1" s="4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5"/>
      <c r="AC1" s="5"/>
      <c r="AD1" s="7"/>
      <c r="AE1" s="7"/>
    </row>
    <row r="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10" t="s">
        <v>32</v>
      </c>
    </row>
    <row r="3" hidden="1">
      <c r="A3" s="11">
        <f>IFERROR(__xludf.DUMMYFUNCTION("importrange(""https://docs.google.com/spreadsheets/d/17JC4a6mmJJepEIYsjpPEn5KMKxP1zSwbmbb0DJ9GEfo/edit?usp=sharing"",""Rtas!a2:Af600"")"),45513.793288263885)</f>
        <v>45513.79329</v>
      </c>
      <c r="B3" s="12" t="str">
        <f>IFERROR(__xludf.DUMMYFUNCTION("""COMPUTED_VALUE"""),"Rodrigo ")</f>
        <v>Rodrigo </v>
      </c>
      <c r="C3" s="12" t="str">
        <f>IFERROR(__xludf.DUMMYFUNCTION("""COMPUTED_VALUE"""),"Magnano")</f>
        <v>Magnano</v>
      </c>
      <c r="D3" s="12" t="str">
        <f>IFERROR(__xludf.DUMMYFUNCTION("""COMPUTED_VALUE"""),"CABA")</f>
        <v>CABA</v>
      </c>
      <c r="E3" s="13" t="str">
        <f>IFERROR(__xludf.DUMMYFUNCTION("""COMPUTED_VALUE"""),"ARG")</f>
        <v>ARG</v>
      </c>
      <c r="F3" s="13">
        <f>IFERROR(__xludf.DUMMYFUNCTION("""COMPUTED_VALUE"""),4.0238928E7)</f>
        <v>40238928</v>
      </c>
      <c r="G3" s="14">
        <f>IFERROR(__xludf.DUMMYFUNCTION("""COMPUTED_VALUE"""),35513.0)</f>
        <v>35513</v>
      </c>
      <c r="H3" s="15">
        <f>IFERROR(__xludf.DUMMYFUNCTION("""COMPUTED_VALUE"""),1.169150321E9)</f>
        <v>1169150321</v>
      </c>
      <c r="I3" s="15"/>
      <c r="J3" s="12" t="str">
        <f>IFERROR(__xludf.DUMMYFUNCTION("""COMPUTED_VALUE"""),"rodrigomagnano@hotmail.com")</f>
        <v>rodrigomagnano@hotmail.com</v>
      </c>
      <c r="K3" s="12" t="str">
        <f>IFERROR(__xludf.DUMMYFUNCTION("""COMPUTED_VALUE"""),"Masculino")</f>
        <v>Masculino</v>
      </c>
      <c r="L3" s="16" t="str">
        <f>IFERROR(__xludf.DUMMYFUNCTION("""COMPUTED_VALUE"""),"YCO")</f>
        <v>YCO</v>
      </c>
      <c r="M3" s="12" t="str">
        <f>IFERROR(__xludf.DUMMYFUNCTION("""COMPUTED_VALUE"""),"Ilca")</f>
        <v>Ilca</v>
      </c>
      <c r="N3" s="13" t="str">
        <f>IFERROR(__xludf.DUMMYFUNCTION("""COMPUTED_VALUE"""),"ILCA 7")</f>
        <v>ILCA 7</v>
      </c>
      <c r="O3" s="13"/>
      <c r="P3" s="13">
        <f>IFERROR(__xludf.DUMMYFUNCTION("""COMPUTED_VALUE"""),164124.0)</f>
        <v>164124</v>
      </c>
      <c r="Q3" s="12" t="str">
        <f>IFERROR(__xludf.DUMMYFUNCTION("""COMPUTED_VALUE"""),"Playboy")</f>
        <v>Playboy</v>
      </c>
      <c r="R3" s="12"/>
      <c r="S3" s="12"/>
      <c r="T3" s="12"/>
      <c r="U3" s="12"/>
      <c r="V3" s="12"/>
      <c r="W3" s="12"/>
      <c r="X3" s="17" t="str">
        <f>IFERROR(__xludf.DUMMYFUNCTION("""COMPUTED_VALUE"""),"HI")</f>
        <v>HI</v>
      </c>
      <c r="Y3" s="17" t="str">
        <f>IFERROR(__xludf.DUMMYFUNCTION("""COMPUTED_VALUE"""),"Si")</f>
        <v>Si</v>
      </c>
      <c r="Z3" s="13" t="str">
        <f>IFERROR(__xludf.DUMMYFUNCTION("""COMPUTED_VALUE"""),"Acepto")</f>
        <v>Acepto</v>
      </c>
      <c r="AA3" s="18"/>
      <c r="AB3" s="18"/>
      <c r="AC3" s="7"/>
      <c r="AD3" s="7"/>
      <c r="AE3" s="7"/>
      <c r="AF3" s="13"/>
      <c r="AG3" s="16"/>
    </row>
    <row r="4" hidden="1">
      <c r="A4" s="19">
        <f>IFERROR(__xludf.DUMMYFUNCTION("""COMPUTED_VALUE"""),45514.6858619213)</f>
        <v>45514.68586</v>
      </c>
      <c r="B4" s="20" t="str">
        <f>IFERROR(__xludf.DUMMYFUNCTION("""COMPUTED_VALUE"""),"Monica")</f>
        <v>Monica</v>
      </c>
      <c r="C4" s="20" t="str">
        <f>IFERROR(__xludf.DUMMYFUNCTION("""COMPUTED_VALUE"""),"Schort")</f>
        <v>Schort</v>
      </c>
      <c r="D4" s="20" t="str">
        <f>IFERROR(__xludf.DUMMYFUNCTION("""COMPUTED_VALUE"""),"MG")</f>
        <v>MG</v>
      </c>
      <c r="E4" s="21" t="str">
        <f>IFERROR(__xludf.DUMMYFUNCTION("""COMPUTED_VALUE"""),"ARG")</f>
        <v>ARG</v>
      </c>
      <c r="F4" s="21">
        <f>IFERROR(__xludf.DUMMYFUNCTION("""COMPUTED_VALUE"""),2.0755839E7)</f>
        <v>20755839</v>
      </c>
      <c r="G4" s="22">
        <f>IFERROR(__xludf.DUMMYFUNCTION("""COMPUTED_VALUE"""),25323.0)</f>
        <v>25323</v>
      </c>
      <c r="H4" s="21">
        <f>IFERROR(__xludf.DUMMYFUNCTION("""COMPUTED_VALUE"""),1.1504942E9)</f>
        <v>1150494200</v>
      </c>
      <c r="I4" s="21">
        <f>IFERROR(__xludf.DUMMYFUNCTION("""COMPUTED_VALUE"""),1.15692747E9)</f>
        <v>1156927470</v>
      </c>
      <c r="J4" s="21" t="str">
        <f>IFERROR(__xludf.DUMMYFUNCTION("""COMPUTED_VALUE"""),"monicaschort@gmail.com")</f>
        <v>monicaschort@gmail.com</v>
      </c>
      <c r="K4" s="21" t="str">
        <f>IFERROR(__xludf.DUMMYFUNCTION("""COMPUTED_VALUE"""),"Femenino")</f>
        <v>Femenino</v>
      </c>
      <c r="L4" s="23" t="str">
        <f>IFERROR(__xludf.DUMMYFUNCTION("""COMPUTED_VALUE"""),"YCO")</f>
        <v>YCO</v>
      </c>
      <c r="M4" s="20" t="str">
        <f>IFERROR(__xludf.DUMMYFUNCTION("""COMPUTED_VALUE"""),"Femenino, Interior (Optimist), Master (ILCA)")</f>
        <v>Femenino, Interior (Optimist), Master (ILCA)</v>
      </c>
      <c r="N4" s="21" t="str">
        <f>IFERROR(__xludf.DUMMYFUNCTION("""COMPUTED_VALUE"""),"ILCA 6, SNIPE, GRUMETE")</f>
        <v>ILCA 6, SNIPE, GRUMETE</v>
      </c>
      <c r="O4" s="21"/>
      <c r="P4" s="21">
        <f>IFERROR(__xludf.DUMMYFUNCTION("""COMPUTED_VALUE"""),400.0)</f>
        <v>400</v>
      </c>
      <c r="Q4" s="20" t="str">
        <f>IFERROR(__xludf.DUMMYFUNCTION("""COMPUTED_VALUE"""),"NIRVANA")</f>
        <v>NIRVANA</v>
      </c>
      <c r="R4" s="20" t="str">
        <f>IFERROR(__xludf.DUMMYFUNCTION("""COMPUTED_VALUE"""),"MATIAS ARENA")</f>
        <v>MATIAS ARENA</v>
      </c>
      <c r="S4" s="20">
        <f>IFERROR(__xludf.DUMMYFUNCTION("""COMPUTED_VALUE"""),2.0)</f>
        <v>2</v>
      </c>
      <c r="T4" s="20">
        <f>IFERROR(__xludf.DUMMYFUNCTION("""COMPUTED_VALUE"""),3.0)</f>
        <v>3</v>
      </c>
      <c r="U4" s="20">
        <f>IFERROR(__xludf.DUMMYFUNCTION("""COMPUTED_VALUE"""),4.0)</f>
        <v>4</v>
      </c>
      <c r="V4" s="20">
        <f>IFERROR(__xludf.DUMMYFUNCTION("""COMPUTED_VALUE"""),5.0)</f>
        <v>5</v>
      </c>
      <c r="W4" s="20">
        <f>IFERROR(__xludf.DUMMYFUNCTION("""COMPUTED_VALUE"""),6.0)</f>
        <v>6</v>
      </c>
      <c r="X4" s="24">
        <f>IFERROR(__xludf.DUMMYFUNCTION("""COMPUTED_VALUE"""),2.0755839E9)</f>
        <v>2075583900</v>
      </c>
      <c r="Y4" s="21" t="str">
        <f>IFERROR(__xludf.DUMMYFUNCTION("""COMPUTED_VALUE"""),"Si")</f>
        <v>Si</v>
      </c>
      <c r="Z4" s="21" t="str">
        <f>IFERROR(__xludf.DUMMYFUNCTION("""COMPUTED_VALUE"""),"Acepto")</f>
        <v>Acepto</v>
      </c>
      <c r="AA4" s="25"/>
      <c r="AB4" s="25"/>
      <c r="AC4" s="7"/>
      <c r="AD4" s="7"/>
      <c r="AE4" s="7"/>
      <c r="AF4" s="21"/>
      <c r="AG4" s="23"/>
    </row>
    <row r="5">
      <c r="A5" s="26">
        <f>IFERROR(__xludf.DUMMYFUNCTION("""COMPUTED_VALUE"""),45539.808260034726)</f>
        <v>45539.80826</v>
      </c>
      <c r="B5" s="27" t="str">
        <f>IFERROR(__xludf.DUMMYFUNCTION("""COMPUTED_VALUE"""),"Andres")</f>
        <v>Andres</v>
      </c>
      <c r="C5" s="27" t="str">
        <f>IFERROR(__xludf.DUMMYFUNCTION("""COMPUTED_VALUE"""),"Marcone")</f>
        <v>Marcone</v>
      </c>
      <c r="D5" s="12" t="str">
        <f>IFERROR(__xludf.DUMMYFUNCTION("""COMPUTED_VALUE"""),"CABA")</f>
        <v>CABA</v>
      </c>
      <c r="E5" s="13" t="str">
        <f>IFERROR(__xludf.DUMMYFUNCTION("""COMPUTED_VALUE"""),"ARG")</f>
        <v>ARG</v>
      </c>
      <c r="F5" s="13">
        <f>IFERROR(__xludf.DUMMYFUNCTION("""COMPUTED_VALUE"""),2.6938199E7)</f>
        <v>26938199</v>
      </c>
      <c r="G5" s="14">
        <f>IFERROR(__xludf.DUMMYFUNCTION("""COMPUTED_VALUE"""),28816.0)</f>
        <v>28816</v>
      </c>
      <c r="H5" s="12">
        <f>IFERROR(__xludf.DUMMYFUNCTION("""COMPUTED_VALUE"""),5.0974625E7)</f>
        <v>50974625</v>
      </c>
      <c r="I5" s="12">
        <f>IFERROR(__xludf.DUMMYFUNCTION("""COMPUTED_VALUE"""),2.4621595E7)</f>
        <v>24621595</v>
      </c>
      <c r="J5" s="12" t="str">
        <f>IFERROR(__xludf.DUMMYFUNCTION("""COMPUTED_VALUE"""),"marconeandres@hotmail.com")</f>
        <v>marconeandres@hotmail.com</v>
      </c>
      <c r="K5" s="12" t="str">
        <f>IFERROR(__xludf.DUMMYFUNCTION("""COMPUTED_VALUE"""),"Masculino")</f>
        <v>Masculino</v>
      </c>
      <c r="L5" s="16" t="str">
        <f>IFERROR(__xludf.DUMMYFUNCTION("""COMPUTED_VALUE"""),"YCA-CNO")</f>
        <v>YCA-CNO</v>
      </c>
      <c r="M5" s="12" t="str">
        <f>IFERROR(__xludf.DUMMYFUNCTION("""COMPUTED_VALUE"""),"Snipe")</f>
        <v>Snipe</v>
      </c>
      <c r="N5" s="13" t="str">
        <f>IFERROR(__xludf.DUMMYFUNCTION("""COMPUTED_VALUE"""),"SNIPE")</f>
        <v>SNIPE</v>
      </c>
      <c r="O5" s="13"/>
      <c r="P5" s="13">
        <f>IFERROR(__xludf.DUMMYFUNCTION("""COMPUTED_VALUE"""),31421.0)</f>
        <v>31421</v>
      </c>
      <c r="Q5" s="12"/>
      <c r="R5" s="12" t="str">
        <f>IFERROR(__xludf.DUMMYFUNCTION("""COMPUTED_VALUE"""),"Lucas Luzzi")</f>
        <v>Lucas Luzzi</v>
      </c>
      <c r="S5" s="12"/>
      <c r="T5" s="12"/>
      <c r="U5" s="12"/>
      <c r="V5" s="12"/>
      <c r="W5" s="12"/>
      <c r="X5" s="17"/>
      <c r="Y5" s="13" t="str">
        <f>IFERROR(__xludf.DUMMYFUNCTION("""COMPUTED_VALUE"""),"No")</f>
        <v>No</v>
      </c>
      <c r="Z5" s="13" t="str">
        <f>IFERROR(__xludf.DUMMYFUNCTION("""COMPUTED_VALUE"""),"Acepto")</f>
        <v>Acepto</v>
      </c>
      <c r="AA5" s="28" t="str">
        <f>IFERROR(__xludf.DUMMYFUNCTION("""COMPUTED_VALUE"""),"Terminado")</f>
        <v>Terminado</v>
      </c>
      <c r="AB5" s="28">
        <f>IFERROR(__xludf.DUMMYFUNCTION("""COMPUTED_VALUE"""),60000.0)</f>
        <v>60000</v>
      </c>
      <c r="AC5" s="13">
        <f>IFERROR(__xludf.DUMMYFUNCTION("""COMPUTED_VALUE"""),205445.0)</f>
        <v>205445</v>
      </c>
      <c r="AD5" s="13" t="str">
        <f>IFERROR(__xludf.DUMMYFUNCTION("""COMPUTED_VALUE"""),"TRF 04-09")</f>
        <v>TRF 04-09</v>
      </c>
      <c r="AE5" s="13" t="str">
        <f>IFERROR(__xludf.DUMMYFUNCTION("""COMPUTED_VALUE"""),"No Corresp")</f>
        <v>No Corresp</v>
      </c>
      <c r="AF5" s="21"/>
      <c r="AG5" s="23"/>
    </row>
    <row r="6">
      <c r="A6" s="19">
        <f>IFERROR(__xludf.DUMMYFUNCTION("""COMPUTED_VALUE"""),45536.84498538195)</f>
        <v>45536.84499</v>
      </c>
      <c r="B6" s="20" t="str">
        <f>IFERROR(__xludf.DUMMYFUNCTION("""COMPUTED_VALUE"""),"Alejo")</f>
        <v>Alejo</v>
      </c>
      <c r="C6" s="20" t="str">
        <f>IFERROR(__xludf.DUMMYFUNCTION("""COMPUTED_VALUE"""),"Acosta")</f>
        <v>Acosta</v>
      </c>
      <c r="D6" s="20" t="str">
        <f>IFERROR(__xludf.DUMMYFUNCTION("""COMPUTED_VALUE"""),"San Isidro")</f>
        <v>San Isidro</v>
      </c>
      <c r="E6" s="21" t="str">
        <f>IFERROR(__xludf.DUMMYFUNCTION("""COMPUTED_VALUE"""),"ARG")</f>
        <v>ARG</v>
      </c>
      <c r="F6" s="21">
        <f>IFERROR(__xludf.DUMMYFUNCTION("""COMPUTED_VALUE"""),2.4237005E7)</f>
        <v>24237005</v>
      </c>
      <c r="G6" s="22">
        <f>IFERROR(__xludf.DUMMYFUNCTION("""COMPUTED_VALUE"""),27307.0)</f>
        <v>27307</v>
      </c>
      <c r="H6" s="21">
        <f>IFERROR(__xludf.DUMMYFUNCTION("""COMPUTED_VALUE"""),1.154676316E9)</f>
        <v>1154676316</v>
      </c>
      <c r="I6" s="21"/>
      <c r="J6" s="29" t="str">
        <f>IFERROR(__xludf.DUMMYFUNCTION("""COMPUTED_VALUE"""),"alejoacos@gmail.com")</f>
        <v>alejoacos@gmail.com</v>
      </c>
      <c r="K6" s="21" t="str">
        <f>IFERROR(__xludf.DUMMYFUNCTION("""COMPUTED_VALUE"""),"Masculino")</f>
        <v>Masculino</v>
      </c>
      <c r="L6" s="23" t="str">
        <f>IFERROR(__xludf.DUMMYFUNCTION("""COMPUTED_VALUE"""),"YCO")</f>
        <v>YCO</v>
      </c>
      <c r="M6" s="20" t="str">
        <f>IFERROR(__xludf.DUMMYFUNCTION("""COMPUTED_VALUE"""),"Master (ILCA)")</f>
        <v>Master (ILCA)</v>
      </c>
      <c r="N6" s="21" t="str">
        <f>IFERROR(__xludf.DUMMYFUNCTION("""COMPUTED_VALUE"""),"ILCA 7")</f>
        <v>ILCA 7</v>
      </c>
      <c r="O6" s="21"/>
      <c r="P6" s="21">
        <f>IFERROR(__xludf.DUMMYFUNCTION("""COMPUTED_VALUE"""),3.0)</f>
        <v>3</v>
      </c>
      <c r="Q6" s="20"/>
      <c r="R6" s="20"/>
      <c r="S6" s="20"/>
      <c r="T6" s="20"/>
      <c r="U6" s="20"/>
      <c r="V6" s="20"/>
      <c r="W6" s="20"/>
      <c r="X6" s="24"/>
      <c r="Y6" s="21" t="str">
        <f>IFERROR(__xludf.DUMMYFUNCTION("""COMPUTED_VALUE"""),"Si")</f>
        <v>Si</v>
      </c>
      <c r="Z6" s="21" t="str">
        <f>IFERROR(__xludf.DUMMYFUNCTION("""COMPUTED_VALUE"""),"Acepto")</f>
        <v>Acepto</v>
      </c>
      <c r="AA6" s="18" t="str">
        <f>IFERROR(__xludf.DUMMYFUNCTION("""COMPUTED_VALUE"""),"Terminado")</f>
        <v>Terminado</v>
      </c>
      <c r="AB6" s="18">
        <f>IFERROR(__xludf.DUMMYFUNCTION("""COMPUTED_VALUE"""),45000.0)</f>
        <v>45000</v>
      </c>
      <c r="AC6" s="30"/>
      <c r="AD6" s="30" t="str">
        <f>IFERROR(__xludf.DUMMYFUNCTION("""COMPUTED_VALUE"""),"AF")</f>
        <v>AF</v>
      </c>
      <c r="AE6" s="21" t="str">
        <f>IFERROR(__xludf.DUMMYFUNCTION("""COMPUTED_VALUE"""),"No Corresp")</f>
        <v>No Corresp</v>
      </c>
      <c r="AF6" s="21"/>
      <c r="AG6" s="23"/>
    </row>
    <row r="7">
      <c r="A7" s="31">
        <f>IFERROR(__xludf.DUMMYFUNCTION("""COMPUTED_VALUE"""),45538.89053210648)</f>
        <v>45538.89053</v>
      </c>
      <c r="B7" s="27" t="str">
        <f>IFERROR(__xludf.DUMMYFUNCTION("""COMPUTED_VALUE"""),"Ines ")</f>
        <v>Ines </v>
      </c>
      <c r="C7" s="12" t="str">
        <f>IFERROR(__xludf.DUMMYFUNCTION("""COMPUTED_VALUE"""),"Adlercreutz ")</f>
        <v>Adlercreutz </v>
      </c>
      <c r="D7" s="12" t="str">
        <f>IFERROR(__xludf.DUMMYFUNCTION("""COMPUTED_VALUE"""),"CABA")</f>
        <v>CABA</v>
      </c>
      <c r="E7" s="13" t="str">
        <f>IFERROR(__xludf.DUMMYFUNCTION("""COMPUTED_VALUE"""),"ARG")</f>
        <v>ARG</v>
      </c>
      <c r="F7" s="13">
        <f>IFERROR(__xludf.DUMMYFUNCTION("""COMPUTED_VALUE"""),5.2454232E7)</f>
        <v>52454232</v>
      </c>
      <c r="G7" s="14">
        <f>IFERROR(__xludf.DUMMYFUNCTION("""COMPUTED_VALUE"""),41059.0)</f>
        <v>41059</v>
      </c>
      <c r="H7" s="15">
        <f>IFERROR(__xludf.DUMMYFUNCTION("""COMPUTED_VALUE"""),1.13005445E9)</f>
        <v>1130054450</v>
      </c>
      <c r="I7" s="15">
        <f>IFERROR(__xludf.DUMMYFUNCTION("""COMPUTED_VALUE"""),1.144078857E9)</f>
        <v>1144078857</v>
      </c>
      <c r="J7" s="12" t="str">
        <f>IFERROR(__xludf.DUMMYFUNCTION("""COMPUTED_VALUE"""),"martin@adlercreutz.org")</f>
        <v>martin@adlercreutz.org</v>
      </c>
      <c r="K7" s="12" t="str">
        <f>IFERROR(__xludf.DUMMYFUNCTION("""COMPUTED_VALUE"""),"Femenino")</f>
        <v>Femenino</v>
      </c>
      <c r="L7" s="16" t="str">
        <f>IFERROR(__xludf.DUMMYFUNCTION("""COMPUTED_VALUE"""),"CUBA")</f>
        <v>CUBA</v>
      </c>
      <c r="M7" s="12" t="str">
        <f>IFERROR(__xludf.DUMMYFUNCTION("""COMPUTED_VALUE"""),"Femenino, Sub12")</f>
        <v>Femenino, Sub12</v>
      </c>
      <c r="N7" s="13" t="str">
        <f>IFERROR(__xludf.DUMMYFUNCTION("""COMPUTED_VALUE"""),"OPTIMIST TIMONELES")</f>
        <v>OPTIMIST TIMONELES</v>
      </c>
      <c r="O7" s="13"/>
      <c r="P7" s="13">
        <f>IFERROR(__xludf.DUMMYFUNCTION("""COMPUTED_VALUE"""),3736.0)</f>
        <v>3736</v>
      </c>
      <c r="Q7" s="12"/>
      <c r="R7" s="12"/>
      <c r="S7" s="12"/>
      <c r="T7" s="12"/>
      <c r="U7" s="12"/>
      <c r="V7" s="12"/>
      <c r="W7" s="12"/>
      <c r="X7" s="17" t="str">
        <f>IFERROR(__xludf.DUMMYFUNCTION("""COMPUTED_VALUE"""),"Swiss Medical ")</f>
        <v>Swiss Medical </v>
      </c>
      <c r="Y7" s="13" t="str">
        <f>IFERROR(__xludf.DUMMYFUNCTION("""COMPUTED_VALUE"""),"No")</f>
        <v>No</v>
      </c>
      <c r="Z7" s="13" t="str">
        <f>IFERROR(__xludf.DUMMYFUNCTION("""COMPUTED_VALUE"""),"Acepto")</f>
        <v>Acepto</v>
      </c>
      <c r="AA7" s="18" t="str">
        <f>IFERROR(__xludf.DUMMYFUNCTION("""COMPUTED_VALUE"""),"Terminado")</f>
        <v>Terminado</v>
      </c>
      <c r="AB7" s="18">
        <f>IFERROR(__xludf.DUMMYFUNCTION("""COMPUTED_VALUE"""),50000.0)</f>
        <v>50000</v>
      </c>
      <c r="AC7" s="32">
        <f>IFERROR(__xludf.DUMMYFUNCTION("""COMPUTED_VALUE"""),205620.0)</f>
        <v>205620</v>
      </c>
      <c r="AD7" s="32" t="str">
        <f>IFERROR(__xludf.DUMMYFUNCTION("""COMPUTED_VALUE"""),"TRF 09-09")</f>
        <v>TRF 09-09</v>
      </c>
      <c r="AE7" s="13" t="str">
        <f>IFERROR(__xludf.DUMMYFUNCTION("""COMPUTED_VALUE"""),"OK")</f>
        <v>OK</v>
      </c>
      <c r="AF7" s="13"/>
      <c r="AG7" s="16"/>
    </row>
    <row r="8">
      <c r="A8" s="31">
        <f>IFERROR(__xludf.DUMMYFUNCTION("""COMPUTED_VALUE"""),45530.504084687505)</f>
        <v>45530.50408</v>
      </c>
      <c r="B8" s="12" t="str">
        <f>IFERROR(__xludf.DUMMYFUNCTION("""COMPUTED_VALUE"""),"Benjamín")</f>
        <v>Benjamín</v>
      </c>
      <c r="C8" s="12" t="str">
        <f>IFERROR(__xludf.DUMMYFUNCTION("""COMPUTED_VALUE"""),"Albornoz")</f>
        <v>Albornoz</v>
      </c>
      <c r="D8" s="12" t="str">
        <f>IFERROR(__xludf.DUMMYFUNCTION("""COMPUTED_VALUE"""),"CABA")</f>
        <v>CABA</v>
      </c>
      <c r="E8" s="13" t="str">
        <f>IFERROR(__xludf.DUMMYFUNCTION("""COMPUTED_VALUE"""),"ARG")</f>
        <v>ARG</v>
      </c>
      <c r="F8" s="13">
        <f>IFERROR(__xludf.DUMMYFUNCTION("""COMPUTED_VALUE"""),5.418456E7)</f>
        <v>54184560</v>
      </c>
      <c r="G8" s="33">
        <f>IFERROR(__xludf.DUMMYFUNCTION("""COMPUTED_VALUE"""),41851.0)</f>
        <v>41851</v>
      </c>
      <c r="H8" s="13">
        <f>IFERROR(__xludf.DUMMYFUNCTION("""COMPUTED_VALUE"""),1.167518925E9)</f>
        <v>1167518925</v>
      </c>
      <c r="I8" s="13">
        <f>IFERROR(__xludf.DUMMYFUNCTION("""COMPUTED_VALUE"""),1.167518925E9)</f>
        <v>1167518925</v>
      </c>
      <c r="J8" s="13" t="str">
        <f>IFERROR(__xludf.DUMMYFUNCTION("""COMPUTED_VALUE"""),"jalbornoz@derecho.uba.ar")</f>
        <v>jalbornoz@derecho.uba.ar</v>
      </c>
      <c r="K8" s="13" t="str">
        <f>IFERROR(__xludf.DUMMYFUNCTION("""COMPUTED_VALUE"""),"Masculino")</f>
        <v>Masculino</v>
      </c>
      <c r="L8" s="16" t="str">
        <f>IFERROR(__xludf.DUMMYFUNCTION("""COMPUTED_VALUE"""),"CGLNM")</f>
        <v>CGLNM</v>
      </c>
      <c r="M8" s="12" t="str">
        <f>IFERROR(__xludf.DUMMYFUNCTION("""COMPUTED_VALUE"""),"SUB 12")</f>
        <v>SUB 12</v>
      </c>
      <c r="N8" s="13" t="str">
        <f>IFERROR(__xludf.DUMMYFUNCTION("""COMPUTED_VALUE"""),"OPTIMIST PRINCIPIANTES")</f>
        <v>OPTIMIST PRINCIPIANTES</v>
      </c>
      <c r="O8" s="13"/>
      <c r="P8" s="13">
        <f>IFERROR(__xludf.DUMMYFUNCTION("""COMPUTED_VALUE"""),3657.0)</f>
        <v>3657</v>
      </c>
      <c r="Q8" s="13" t="str">
        <f>IFERROR(__xludf.DUMMYFUNCTION("""COMPUTED_VALUE"""),"Popeye")</f>
        <v>Popeye</v>
      </c>
      <c r="R8" s="34"/>
      <c r="S8" s="13"/>
      <c r="T8" s="13"/>
      <c r="U8" s="13"/>
      <c r="V8" s="12"/>
      <c r="W8" s="12"/>
      <c r="X8" s="17" t="str">
        <f>IFERROR(__xludf.DUMMYFUNCTION("""COMPUTED_VALUE"""),"Poder Judicial 46400/21")</f>
        <v>Poder Judicial 46400/21</v>
      </c>
      <c r="Y8" s="13" t="str">
        <f>IFERROR(__xludf.DUMMYFUNCTION("""COMPUTED_VALUE"""),"No")</f>
        <v>No</v>
      </c>
      <c r="Z8" s="13" t="str">
        <f>IFERROR(__xludf.DUMMYFUNCTION("""COMPUTED_VALUE"""),"Acepto")</f>
        <v>Acepto</v>
      </c>
      <c r="AA8" s="25" t="str">
        <f>IFERROR(__xludf.DUMMYFUNCTION("""COMPUTED_VALUE"""),"Terminado")</f>
        <v>Terminado</v>
      </c>
      <c r="AB8" s="25">
        <f>IFERROR(__xludf.DUMMYFUNCTION("""COMPUTED_VALUE"""),60000.0)</f>
        <v>60000</v>
      </c>
      <c r="AC8" s="32">
        <f>IFERROR(__xludf.DUMMYFUNCTION("""COMPUTED_VALUE"""),205077.0)</f>
        <v>205077</v>
      </c>
      <c r="AD8" s="32" t="str">
        <f>IFERROR(__xludf.DUMMYFUNCTION("""COMPUTED_VALUE"""),"TRF29-08")</f>
        <v>TRF29-08</v>
      </c>
      <c r="AE8" s="35" t="str">
        <f>IFERROR(__xludf.DUMMYFUNCTION("""COMPUTED_VALUE"""),"OK")</f>
        <v>OK</v>
      </c>
      <c r="AF8" s="13"/>
      <c r="AG8" s="16"/>
    </row>
    <row r="9">
      <c r="A9" s="36">
        <f>IFERROR(__xludf.DUMMYFUNCTION("""COMPUTED_VALUE"""),45533.76859545139)</f>
        <v>45533.7686</v>
      </c>
      <c r="B9" s="20" t="str">
        <f>IFERROR(__xludf.DUMMYFUNCTION("""COMPUTED_VALUE"""),"Felicitas ")</f>
        <v>Felicitas </v>
      </c>
      <c r="C9" s="20" t="str">
        <f>IFERROR(__xludf.DUMMYFUNCTION("""COMPUTED_VALUE"""),"Alcantara")</f>
        <v>Alcantara</v>
      </c>
      <c r="D9" s="20" t="str">
        <f>IFERROR(__xludf.DUMMYFUNCTION("""COMPUTED_VALUE"""),"Benavidez")</f>
        <v>Benavidez</v>
      </c>
      <c r="E9" s="21" t="str">
        <f>IFERROR(__xludf.DUMMYFUNCTION("""COMPUTED_VALUE"""),"ARG")</f>
        <v>ARG</v>
      </c>
      <c r="F9" s="21">
        <f>IFERROR(__xludf.DUMMYFUNCTION("""COMPUTED_VALUE"""),5.3894761E7)</f>
        <v>53894761</v>
      </c>
      <c r="G9" s="22">
        <f>IFERROR(__xludf.DUMMYFUNCTION("""COMPUTED_VALUE"""),41744.0)</f>
        <v>41744</v>
      </c>
      <c r="H9" s="21">
        <f>IFERROR(__xludf.DUMMYFUNCTION("""COMPUTED_VALUE"""),1.167660999E9)</f>
        <v>1167660999</v>
      </c>
      <c r="I9" s="21">
        <f>IFERROR(__xludf.DUMMYFUNCTION("""COMPUTED_VALUE"""),1.167660999E9)</f>
        <v>1167660999</v>
      </c>
      <c r="J9" s="29" t="str">
        <f>IFERROR(__xludf.DUMMYFUNCTION("""COMPUTED_VALUE"""),"Lucil4@hotmail.com")</f>
        <v>Lucil4@hotmail.com</v>
      </c>
      <c r="K9" s="21" t="str">
        <f>IFERROR(__xludf.DUMMYFUNCTION("""COMPUTED_VALUE"""),"Femenino")</f>
        <v>Femenino</v>
      </c>
      <c r="L9" s="23" t="str">
        <f>IFERROR(__xludf.DUMMYFUNCTION("""COMPUTED_VALUE"""),"YCA")</f>
        <v>YCA</v>
      </c>
      <c r="M9" s="20" t="str">
        <f>IFERROR(__xludf.DUMMYFUNCTION("""COMPUTED_VALUE"""),"Femenino")</f>
        <v>Femenino</v>
      </c>
      <c r="N9" s="21" t="str">
        <f>IFERROR(__xludf.DUMMYFUNCTION("""COMPUTED_VALUE"""),"OPTIMIST PRINCIPIANTES")</f>
        <v>OPTIMIST PRINCIPIANTES</v>
      </c>
      <c r="O9" s="21"/>
      <c r="P9" s="21">
        <f>IFERROR(__xludf.DUMMYFUNCTION("""COMPUTED_VALUE"""),3553.0)</f>
        <v>3553</v>
      </c>
      <c r="Q9" s="20"/>
      <c r="R9" s="20"/>
      <c r="S9" s="20"/>
      <c r="T9" s="20"/>
      <c r="U9" s="20"/>
      <c r="V9" s="20"/>
      <c r="W9" s="20"/>
      <c r="X9" s="24" t="str">
        <f>IFERROR(__xludf.DUMMYFUNCTION("""COMPUTED_VALUE"""),"OSDE")</f>
        <v>OSDE</v>
      </c>
      <c r="Y9" s="21" t="str">
        <f>IFERROR(__xludf.DUMMYFUNCTION("""COMPUTED_VALUE"""),"No")</f>
        <v>No</v>
      </c>
      <c r="Z9" s="21" t="str">
        <f>IFERROR(__xludf.DUMMYFUNCTION("""COMPUTED_VALUE"""),"Acepto")</f>
        <v>Acepto</v>
      </c>
      <c r="AA9" s="18" t="str">
        <f>IFERROR(__xludf.DUMMYFUNCTION("""COMPUTED_VALUE"""),"Terminado")</f>
        <v>Terminado</v>
      </c>
      <c r="AB9" s="18">
        <f>IFERROR(__xludf.DUMMYFUNCTION("""COMPUTED_VALUE"""),50000.0)</f>
        <v>50000</v>
      </c>
      <c r="AC9" s="30">
        <f>IFERROR(__xludf.DUMMYFUNCTION("""COMPUTED_VALUE"""),205697.0)</f>
        <v>205697</v>
      </c>
      <c r="AD9" s="30" t="str">
        <f>IFERROR(__xludf.DUMMYFUNCTION("""COMPUTED_VALUE"""),"TRF 11-09")</f>
        <v>TRF 11-09</v>
      </c>
      <c r="AE9" s="21" t="str">
        <f>IFERROR(__xludf.DUMMYFUNCTION("""COMPUTED_VALUE"""),"Pendiente")</f>
        <v>Pendiente</v>
      </c>
      <c r="AF9" s="21"/>
      <c r="AG9" s="23"/>
    </row>
    <row r="10">
      <c r="A10" s="19">
        <f>IFERROR(__xludf.DUMMYFUNCTION("""COMPUTED_VALUE"""),45531.68972618056)</f>
        <v>45531.68973</v>
      </c>
      <c r="B10" s="20" t="str">
        <f>IFERROR(__xludf.DUMMYFUNCTION("""COMPUTED_VALUE"""),"Miguel Ignacio")</f>
        <v>Miguel Ignacio</v>
      </c>
      <c r="C10" s="20" t="str">
        <f>IFERROR(__xludf.DUMMYFUNCTION("""COMPUTED_VALUE"""),"Aldatz")</f>
        <v>Aldatz</v>
      </c>
      <c r="D10" s="20" t="str">
        <f>IFERROR(__xludf.DUMMYFUNCTION("""COMPUTED_VALUE"""),"Avellaneda")</f>
        <v>Avellaneda</v>
      </c>
      <c r="E10" s="21" t="str">
        <f>IFERROR(__xludf.DUMMYFUNCTION("""COMPUTED_VALUE"""),"ARG")</f>
        <v>ARG</v>
      </c>
      <c r="F10" s="21">
        <f>IFERROR(__xludf.DUMMYFUNCTION("""COMPUTED_VALUE"""),5.4187126E7)</f>
        <v>54187126</v>
      </c>
      <c r="G10" s="22">
        <f>IFERROR(__xludf.DUMMYFUNCTION("""COMPUTED_VALUE"""),41876.0)</f>
        <v>41876</v>
      </c>
      <c r="H10" s="21">
        <f>IFERROR(__xludf.DUMMYFUNCTION("""COMPUTED_VALUE"""),1.15001805E9)</f>
        <v>1150018050</v>
      </c>
      <c r="I10" s="21">
        <f>IFERROR(__xludf.DUMMYFUNCTION("""COMPUTED_VALUE"""),1.15001805E9)</f>
        <v>1150018050</v>
      </c>
      <c r="J10" s="21" t="str">
        <f>IFERROR(__xludf.DUMMYFUNCTION("""COMPUTED_VALUE"""),"adribarbera@gmail.com")</f>
        <v>adribarbera@gmail.com</v>
      </c>
      <c r="K10" s="21" t="str">
        <f>IFERROR(__xludf.DUMMYFUNCTION("""COMPUTED_VALUE"""),"Masculino")</f>
        <v>Masculino</v>
      </c>
      <c r="L10" s="23" t="str">
        <f>IFERROR(__xludf.DUMMYFUNCTION("""COMPUTED_VALUE"""),"CGLNM")</f>
        <v>CGLNM</v>
      </c>
      <c r="M10" s="20" t="str">
        <f>IFERROR(__xludf.DUMMYFUNCTION("""COMPUTED_VALUE"""),"Sub 12")</f>
        <v>Sub 12</v>
      </c>
      <c r="N10" s="21" t="str">
        <f>IFERROR(__xludf.DUMMYFUNCTION("""COMPUTED_VALUE"""),"OPTIMIST PRINCIPIANTES")</f>
        <v>OPTIMIST PRINCIPIANTES</v>
      </c>
      <c r="O10" s="21"/>
      <c r="P10" s="21">
        <f>IFERROR(__xludf.DUMMYFUNCTION("""COMPUTED_VALUE"""),3468.0)</f>
        <v>3468</v>
      </c>
      <c r="Q10" s="20" t="str">
        <f>IFERROR(__xludf.DUMMYFUNCTION("""COMPUTED_VALUE"""),"Kiki jr")</f>
        <v>Kiki jr</v>
      </c>
      <c r="R10" s="20"/>
      <c r="S10" s="20"/>
      <c r="T10" s="20"/>
      <c r="U10" s="20"/>
      <c r="V10" s="20"/>
      <c r="W10" s="20"/>
      <c r="X10" s="24" t="str">
        <f>IFERROR(__xludf.DUMMYFUNCTION("""COMPUTED_VALUE"""),"OSDE")</f>
        <v>OSDE</v>
      </c>
      <c r="Y10" s="21" t="str">
        <f>IFERROR(__xludf.DUMMYFUNCTION("""COMPUTED_VALUE"""),"Si")</f>
        <v>Si</v>
      </c>
      <c r="Z10" s="21" t="str">
        <f>IFERROR(__xludf.DUMMYFUNCTION("""COMPUTED_VALUE"""),"Acepto")</f>
        <v>Acepto</v>
      </c>
      <c r="AA10" s="25" t="str">
        <f>IFERROR(__xludf.DUMMYFUNCTION("""COMPUTED_VALUE"""),"Terminado")</f>
        <v>Terminado</v>
      </c>
      <c r="AB10" s="25">
        <f>IFERROR(__xludf.DUMMYFUNCTION("""COMPUTED_VALUE"""),50000.0)</f>
        <v>50000</v>
      </c>
      <c r="AC10" s="30">
        <f>IFERROR(__xludf.DUMMYFUNCTION("""COMPUTED_VALUE"""),205349.0)</f>
        <v>205349</v>
      </c>
      <c r="AD10" s="30" t="str">
        <f>IFERROR(__xludf.DUMMYFUNCTION("""COMPUTED_VALUE"""),"Tarj 01-09")</f>
        <v>Tarj 01-09</v>
      </c>
      <c r="AE10" s="21" t="str">
        <f>IFERROR(__xludf.DUMMYFUNCTION("""COMPUTED_VALUE"""),"OK")</f>
        <v>OK</v>
      </c>
      <c r="AF10" s="21"/>
      <c r="AG10" s="23"/>
    </row>
    <row r="11">
      <c r="A11" s="31">
        <f>IFERROR(__xludf.DUMMYFUNCTION("""COMPUTED_VALUE"""),45531.83550277777)</f>
        <v>45531.8355</v>
      </c>
      <c r="B11" s="12" t="str">
        <f>IFERROR(__xludf.DUMMYFUNCTION("""COMPUTED_VALUE"""),"Gonzalo")</f>
        <v>Gonzalo</v>
      </c>
      <c r="C11" s="12" t="str">
        <f>IFERROR(__xludf.DUMMYFUNCTION("""COMPUTED_VALUE"""),"Aldaya")</f>
        <v>Aldaya</v>
      </c>
      <c r="D11" s="12" t="str">
        <f>IFERROR(__xludf.DUMMYFUNCTION("""COMPUTED_VALUE"""),"Parque Leloir")</f>
        <v>Parque Leloir</v>
      </c>
      <c r="E11" s="13" t="str">
        <f>IFERROR(__xludf.DUMMYFUNCTION("""COMPUTED_VALUE"""),"ARG")</f>
        <v>ARG</v>
      </c>
      <c r="F11" s="13">
        <f>IFERROR(__xludf.DUMMYFUNCTION("""COMPUTED_VALUE"""),5.0703202E7)</f>
        <v>50703202</v>
      </c>
      <c r="G11" s="33">
        <f>IFERROR(__xludf.DUMMYFUNCTION("""COMPUTED_VALUE"""),40486.0)</f>
        <v>40486</v>
      </c>
      <c r="H11" s="13">
        <f>IFERROR(__xludf.DUMMYFUNCTION("""COMPUTED_VALUE"""),1.150478199E9)</f>
        <v>1150478199</v>
      </c>
      <c r="I11" s="13">
        <f>IFERROR(__xludf.DUMMYFUNCTION("""COMPUTED_VALUE"""),1.144191617E9)</f>
        <v>1144191617</v>
      </c>
      <c r="J11" s="34" t="str">
        <f>IFERROR(__xludf.DUMMYFUNCTION("""COMPUTED_VALUE"""),"gealdaya@gmail.com")</f>
        <v>gealdaya@gmail.com</v>
      </c>
      <c r="K11" s="13" t="str">
        <f>IFERROR(__xludf.DUMMYFUNCTION("""COMPUTED_VALUE"""),"Masculino")</f>
        <v>Masculino</v>
      </c>
      <c r="L11" s="16" t="str">
        <f>IFERROR(__xludf.DUMMYFUNCTION("""COMPUTED_VALUE"""),"YCO")</f>
        <v>YCO</v>
      </c>
      <c r="M11" s="12"/>
      <c r="N11" s="13" t="str">
        <f>IFERROR(__xludf.DUMMYFUNCTION("""COMPUTED_VALUE"""),"OPTIMIST TIMONELES")</f>
        <v>OPTIMIST TIMONELES</v>
      </c>
      <c r="O11" s="13"/>
      <c r="P11" s="13">
        <f>IFERROR(__xludf.DUMMYFUNCTION("""COMPUTED_VALUE"""),3808.0)</f>
        <v>3808</v>
      </c>
      <c r="Q11" s="13"/>
      <c r="R11" s="13"/>
      <c r="S11" s="13"/>
      <c r="T11" s="13"/>
      <c r="U11" s="13"/>
      <c r="V11" s="12"/>
      <c r="W11" s="12"/>
      <c r="X11" s="17" t="str">
        <f>IFERROR(__xludf.DUMMYFUNCTION("""COMPUTED_VALUE"""),"SwissMedical")</f>
        <v>SwissMedical</v>
      </c>
      <c r="Y11" s="13" t="str">
        <f>IFERROR(__xludf.DUMMYFUNCTION("""COMPUTED_VALUE"""),"Si")</f>
        <v>Si</v>
      </c>
      <c r="Z11" s="13" t="str">
        <f>IFERROR(__xludf.DUMMYFUNCTION("""COMPUTED_VALUE"""),"Acepto")</f>
        <v>Acepto</v>
      </c>
      <c r="AA11" s="25" t="str">
        <f>IFERROR(__xludf.DUMMYFUNCTION("""COMPUTED_VALUE"""),"Terminado")</f>
        <v>Terminado</v>
      </c>
      <c r="AB11" s="25">
        <f>IFERROR(__xludf.DUMMYFUNCTION("""COMPUTED_VALUE"""),50000.0)</f>
        <v>50000</v>
      </c>
      <c r="AC11" s="32">
        <f>IFERROR(__xludf.DUMMYFUNCTION("""COMPUTED_VALUE"""),205063.0)</f>
        <v>205063</v>
      </c>
      <c r="AD11" s="32" t="str">
        <f>IFERROR(__xludf.DUMMYFUNCTION("""COMPUTED_VALUE"""),"TRF 27-08")</f>
        <v>TRF 27-08</v>
      </c>
      <c r="AE11" s="13" t="str">
        <f>IFERROR(__xludf.DUMMYFUNCTION("""COMPUTED_VALUE"""),"OK")</f>
        <v>OK</v>
      </c>
      <c r="AF11" s="13"/>
      <c r="AG11" s="16"/>
    </row>
    <row r="12">
      <c r="A12" s="19">
        <f>IFERROR(__xludf.DUMMYFUNCTION("""COMPUTED_VALUE"""),45525.659996608796)</f>
        <v>45525.66</v>
      </c>
      <c r="B12" s="20" t="str">
        <f>IFERROR(__xludf.DUMMYFUNCTION("""COMPUTED_VALUE"""),"Lisandro ")</f>
        <v>Lisandro </v>
      </c>
      <c r="C12" s="20" t="str">
        <f>IFERROR(__xludf.DUMMYFUNCTION("""COMPUTED_VALUE"""),"Alfonsín ")</f>
        <v>Alfonsín </v>
      </c>
      <c r="D12" s="20" t="str">
        <f>IFERROR(__xludf.DUMMYFUNCTION("""COMPUTED_VALUE"""),"Chascomús ")</f>
        <v>Chascomús </v>
      </c>
      <c r="E12" s="21" t="str">
        <f>IFERROR(__xludf.DUMMYFUNCTION("""COMPUTED_VALUE"""),"ARG")</f>
        <v>ARG</v>
      </c>
      <c r="F12" s="21">
        <f>IFERROR(__xludf.DUMMYFUNCTION("""COMPUTED_VALUE"""),2.3005546E7)</f>
        <v>23005546</v>
      </c>
      <c r="G12" s="22">
        <f>IFERROR(__xludf.DUMMYFUNCTION("""COMPUTED_VALUE"""),26794.0)</f>
        <v>26794</v>
      </c>
      <c r="H12" s="21">
        <f>IFERROR(__xludf.DUMMYFUNCTION("""COMPUTED_VALUE"""),2.24160359E9)</f>
        <v>2241603590</v>
      </c>
      <c r="I12" s="21"/>
      <c r="J12" s="29" t="str">
        <f>IFERROR(__xludf.DUMMYFUNCTION("""COMPUTED_VALUE"""),"leealfonsin@gmail.com")</f>
        <v>leealfonsin@gmail.com</v>
      </c>
      <c r="K12" s="21" t="str">
        <f>IFERROR(__xludf.DUMMYFUNCTION("""COMPUTED_VALUE"""),"Masculino")</f>
        <v>Masculino</v>
      </c>
      <c r="L12" s="23" t="str">
        <f>IFERROR(__xludf.DUMMYFUNCTION("""COMPUTED_VALUE"""),"CRCh")</f>
        <v>CRCh</v>
      </c>
      <c r="M12" s="20"/>
      <c r="N12" s="21" t="str">
        <f>IFERROR(__xludf.DUMMYFUNCTION("""COMPUTED_VALUE"""),"PAMPERO")</f>
        <v>PAMPERO</v>
      </c>
      <c r="O12" s="21">
        <f>IFERROR(__xludf.DUMMYFUNCTION("""COMPUTED_VALUE"""),8.0)</f>
        <v>8</v>
      </c>
      <c r="P12" s="21">
        <f>IFERROR(__xludf.DUMMYFUNCTION("""COMPUTED_VALUE"""),8.0)</f>
        <v>8</v>
      </c>
      <c r="Q12" s="20" t="str">
        <f>IFERROR(__xludf.DUMMYFUNCTION("""COMPUTED_VALUE"""),"Chopper ")</f>
        <v>Chopper </v>
      </c>
      <c r="R12" s="20" t="str">
        <f>IFERROR(__xludf.DUMMYFUNCTION("""COMPUTED_VALUE"""),"Catalina Alfonsín ")</f>
        <v>Catalina Alfonsín </v>
      </c>
      <c r="S12" s="20"/>
      <c r="T12" s="20"/>
      <c r="U12" s="20"/>
      <c r="V12" s="20"/>
      <c r="W12" s="20"/>
      <c r="X12" s="24"/>
      <c r="Y12" s="21" t="str">
        <f>IFERROR(__xludf.DUMMYFUNCTION("""COMPUTED_VALUE"""),"Si")</f>
        <v>Si</v>
      </c>
      <c r="Z12" s="21" t="str">
        <f>IFERROR(__xludf.DUMMYFUNCTION("""COMPUTED_VALUE"""),"Acepto")</f>
        <v>Acepto</v>
      </c>
      <c r="AA12" s="18" t="str">
        <f>IFERROR(__xludf.DUMMYFUNCTION("""COMPUTED_VALUE"""),"Terminado")</f>
        <v>Terminado</v>
      </c>
      <c r="AB12" s="18">
        <f>IFERROR(__xludf.DUMMYFUNCTION("""COMPUTED_VALUE"""),60000.0)</f>
        <v>60000</v>
      </c>
      <c r="AC12" s="30">
        <f>IFERROR(__xludf.DUMMYFUNCTION("""COMPUTED_VALUE"""),205022.0)</f>
        <v>205022</v>
      </c>
      <c r="AD12" s="30" t="str">
        <f>IFERROR(__xludf.DUMMYFUNCTION("""COMPUTED_VALUE"""),"TRF 21-08")</f>
        <v>TRF 21-08</v>
      </c>
      <c r="AE12" s="21" t="str">
        <f>IFERROR(__xludf.DUMMYFUNCTION("""COMPUTED_VALUE"""),"No Corresp")</f>
        <v>No Corresp</v>
      </c>
      <c r="AF12" s="21"/>
      <c r="AG12" s="23"/>
    </row>
    <row r="13">
      <c r="A13" s="31">
        <f>IFERROR(__xludf.DUMMYFUNCTION("""COMPUTED_VALUE"""),45535.51102115741)</f>
        <v>45535.51102</v>
      </c>
      <c r="B13" s="12" t="str">
        <f>IFERROR(__xludf.DUMMYFUNCTION("""COMPUTED_VALUE"""),"Julio")</f>
        <v>Julio</v>
      </c>
      <c r="C13" s="12" t="str">
        <f>IFERROR(__xludf.DUMMYFUNCTION("""COMPUTED_VALUE"""),"Alsogaray")</f>
        <v>Alsogaray</v>
      </c>
      <c r="D13" s="12" t="str">
        <f>IFERROR(__xludf.DUMMYFUNCTION("""COMPUTED_VALUE"""),"San pedro")</f>
        <v>San pedro</v>
      </c>
      <c r="E13" s="13" t="str">
        <f>IFERROR(__xludf.DUMMYFUNCTION("""COMPUTED_VALUE"""),"ARG")</f>
        <v>ARG</v>
      </c>
      <c r="F13" s="13">
        <f>IFERROR(__xludf.DUMMYFUNCTION("""COMPUTED_VALUE"""),4.4365865E7)</f>
        <v>44365865</v>
      </c>
      <c r="G13" s="33">
        <f>IFERROR(__xludf.DUMMYFUNCTION("""COMPUTED_VALUE"""),29322.0)</f>
        <v>29322</v>
      </c>
      <c r="H13" s="13">
        <f>IFERROR(__xludf.DUMMYFUNCTION("""COMPUTED_VALUE"""),3.329547476E9)</f>
        <v>3329547476</v>
      </c>
      <c r="I13" s="37">
        <f>IFERROR(__xludf.DUMMYFUNCTION("""COMPUTED_VALUE"""),3.329547476E9)</f>
        <v>3329547476</v>
      </c>
      <c r="J13" s="34" t="str">
        <f>IFERROR(__xludf.DUMMYFUNCTION("""COMPUTED_VALUE"""),"malenasciarra@gmail.com")</f>
        <v>malenasciarra@gmail.com</v>
      </c>
      <c r="K13" s="13" t="str">
        <f>IFERROR(__xludf.DUMMYFUNCTION("""COMPUTED_VALUE"""),"Femenino")</f>
        <v>Femenino</v>
      </c>
      <c r="L13" s="16" t="str">
        <f>IFERROR(__xludf.DUMMYFUNCTION("""COMPUTED_VALUE"""),"CNSP")</f>
        <v>CNSP</v>
      </c>
      <c r="M13" s="12" t="str">
        <f>IFERROR(__xludf.DUMMYFUNCTION("""COMPUTED_VALUE"""),"Mixto")</f>
        <v>Mixto</v>
      </c>
      <c r="N13" s="13" t="str">
        <f>IFERROR(__xludf.DUMMYFUNCTION("""COMPUTED_VALUE"""),"SNIPE")</f>
        <v>SNIPE</v>
      </c>
      <c r="O13" s="13"/>
      <c r="P13" s="13">
        <f>IFERROR(__xludf.DUMMYFUNCTION("""COMPUTED_VALUE"""),31792.0)</f>
        <v>31792</v>
      </c>
      <c r="Q13" s="13" t="str">
        <f>IFERROR(__xludf.DUMMYFUNCTION("""COMPUTED_VALUE"""),"Pesadilla")</f>
        <v>Pesadilla</v>
      </c>
      <c r="R13" s="13" t="str">
        <f>IFERROR(__xludf.DUMMYFUNCTION("""COMPUTED_VALUE"""),"Malena Sciarra")</f>
        <v>Malena Sciarra</v>
      </c>
      <c r="S13" s="13"/>
      <c r="T13" s="13"/>
      <c r="U13" s="13"/>
      <c r="V13" s="12"/>
      <c r="W13" s="12"/>
      <c r="X13" s="17" t="str">
        <f>IFERROR(__xludf.DUMMYFUNCTION("""COMPUTED_VALUE"""),".")</f>
        <v>.</v>
      </c>
      <c r="Y13" s="13" t="str">
        <f>IFERROR(__xludf.DUMMYFUNCTION("""COMPUTED_VALUE"""),"Si")</f>
        <v>Si</v>
      </c>
      <c r="Z13" s="13" t="str">
        <f>IFERROR(__xludf.DUMMYFUNCTION("""COMPUTED_VALUE"""),"Acepto")</f>
        <v>Acepto</v>
      </c>
      <c r="AA13" s="25" t="str">
        <f>IFERROR(__xludf.DUMMYFUNCTION("""COMPUTED_VALUE"""),"Terminado")</f>
        <v>Terminado</v>
      </c>
      <c r="AB13" s="25">
        <f>IFERROR(__xludf.DUMMYFUNCTION("""COMPUTED_VALUE"""),51000.0)</f>
        <v>51000</v>
      </c>
      <c r="AC13" s="32">
        <f>IFERROR(__xludf.DUMMYFUNCTION("""COMPUTED_VALUE"""),205160.0)</f>
        <v>205160</v>
      </c>
      <c r="AD13" s="32" t="str">
        <f>IFERROR(__xludf.DUMMYFUNCTION("""COMPUTED_VALUE"""),"Tarj 31-08")</f>
        <v>Tarj 31-08</v>
      </c>
      <c r="AE13" s="13" t="str">
        <f>IFERROR(__xludf.DUMMYFUNCTION("""COMPUTED_VALUE"""),"No Corresp")</f>
        <v>No Corresp</v>
      </c>
      <c r="AF13" s="13"/>
      <c r="AG13" s="16"/>
    </row>
    <row r="14">
      <c r="A14" s="19">
        <f>IFERROR(__xludf.DUMMYFUNCTION("""COMPUTED_VALUE"""),45533.97594243055)</f>
        <v>45533.97594</v>
      </c>
      <c r="B14" s="20" t="str">
        <f>IFERROR(__xludf.DUMMYFUNCTION("""COMPUTED_VALUE"""),"Pedro")</f>
        <v>Pedro</v>
      </c>
      <c r="C14" s="20" t="str">
        <f>IFERROR(__xludf.DUMMYFUNCTION("""COMPUTED_VALUE"""),"Álvarez Gallesio ")</f>
        <v>Álvarez Gallesio </v>
      </c>
      <c r="D14" s="20" t="str">
        <f>IFERROR(__xludf.DUMMYFUNCTION("""COMPUTED_VALUE"""),"Buenos Aires ")</f>
        <v>Buenos Aires </v>
      </c>
      <c r="E14" s="21" t="str">
        <f>IFERROR(__xludf.DUMMYFUNCTION("""COMPUTED_VALUE"""),"ARG")</f>
        <v>ARG</v>
      </c>
      <c r="F14" s="21">
        <f>IFERROR(__xludf.DUMMYFUNCTION("""COMPUTED_VALUE"""),4.3243582E7)</f>
        <v>43243582</v>
      </c>
      <c r="G14" s="38">
        <f>IFERROR(__xludf.DUMMYFUNCTION("""COMPUTED_VALUE"""),36959.0)</f>
        <v>36959</v>
      </c>
      <c r="H14" s="39">
        <f>IFERROR(__xludf.DUMMYFUNCTION("""COMPUTED_VALUE"""),1.562549151E9)</f>
        <v>1562549151</v>
      </c>
      <c r="I14" s="20">
        <f>IFERROR(__xludf.DUMMYFUNCTION("""COMPUTED_VALUE"""),1.556391617E9)</f>
        <v>1556391617</v>
      </c>
      <c r="J14" s="20" t="str">
        <f>IFERROR(__xludf.DUMMYFUNCTION("""COMPUTED_VALUE"""),"pepiag2922@gmail.com")</f>
        <v>pepiag2922@gmail.com</v>
      </c>
      <c r="K14" s="20" t="str">
        <f>IFERROR(__xludf.DUMMYFUNCTION("""COMPUTED_VALUE"""),"Masculino")</f>
        <v>Masculino</v>
      </c>
      <c r="L14" s="23" t="str">
        <f>IFERROR(__xludf.DUMMYFUNCTION("""COMPUTED_VALUE"""),"YCA")</f>
        <v>YCA</v>
      </c>
      <c r="M14" s="20"/>
      <c r="N14" s="21" t="str">
        <f>IFERROR(__xludf.DUMMYFUNCTION("""COMPUTED_VALUE"""),"ILCA 6")</f>
        <v>ILCA 6</v>
      </c>
      <c r="O14" s="21"/>
      <c r="P14" s="21">
        <f>IFERROR(__xludf.DUMMYFUNCTION("""COMPUTED_VALUE"""),182710.0)</f>
        <v>182710</v>
      </c>
      <c r="Q14" s="20"/>
      <c r="R14" s="40"/>
      <c r="S14" s="20"/>
      <c r="T14" s="20"/>
      <c r="U14" s="20"/>
      <c r="V14" s="20"/>
      <c r="W14" s="20"/>
      <c r="X14" s="24"/>
      <c r="Y14" s="21" t="str">
        <f>IFERROR(__xludf.DUMMYFUNCTION("""COMPUTED_VALUE"""),"No")</f>
        <v>No</v>
      </c>
      <c r="Z14" s="21" t="str">
        <f>IFERROR(__xludf.DUMMYFUNCTION("""COMPUTED_VALUE"""),"Acepto")</f>
        <v>Acepto</v>
      </c>
      <c r="AA14" s="18" t="str">
        <f>IFERROR(__xludf.DUMMYFUNCTION("""COMPUTED_VALUE"""),"Pendiente")</f>
        <v>Pendiente</v>
      </c>
      <c r="AB14" s="18"/>
      <c r="AC14" s="30"/>
      <c r="AD14" s="30"/>
      <c r="AE14" s="21" t="str">
        <f>IFERROR(__xludf.DUMMYFUNCTION("""COMPUTED_VALUE"""),"No Corresp")</f>
        <v>No Corresp</v>
      </c>
      <c r="AF14" s="21"/>
      <c r="AG14" s="23"/>
    </row>
    <row r="15">
      <c r="A15" s="19">
        <f>IFERROR(__xludf.DUMMYFUNCTION("""COMPUTED_VALUE"""),45532.73874869213)</f>
        <v>45532.73875</v>
      </c>
      <c r="B15" s="20" t="str">
        <f>IFERROR(__xludf.DUMMYFUNCTION("""COMPUTED_VALUE"""),"Gianni")</f>
        <v>Gianni</v>
      </c>
      <c r="C15" s="20" t="str">
        <f>IFERROR(__xludf.DUMMYFUNCTION("""COMPUTED_VALUE"""),"Andrés ")</f>
        <v>Andrés </v>
      </c>
      <c r="D15" s="20" t="str">
        <f>IFERROR(__xludf.DUMMYFUNCTION("""COMPUTED_VALUE"""),"Rosario")</f>
        <v>Rosario</v>
      </c>
      <c r="E15" s="21" t="str">
        <f>IFERROR(__xludf.DUMMYFUNCTION("""COMPUTED_VALUE"""),"ARG")</f>
        <v>ARG</v>
      </c>
      <c r="F15" s="21">
        <f>IFERROR(__xludf.DUMMYFUNCTION("""COMPUTED_VALUE"""),5.3623848E7)</f>
        <v>53623848</v>
      </c>
      <c r="G15" s="38">
        <f>IFERROR(__xludf.DUMMYFUNCTION("""COMPUTED_VALUE"""),41590.0)</f>
        <v>41590</v>
      </c>
      <c r="H15" s="20">
        <f>IFERROR(__xludf.DUMMYFUNCTION("""COMPUTED_VALUE"""),3.413819921E9)</f>
        <v>3413819921</v>
      </c>
      <c r="I15" s="20">
        <f>IFERROR(__xludf.DUMMYFUNCTION("""COMPUTED_VALUE"""),3.413819921E9)</f>
        <v>3413819921</v>
      </c>
      <c r="J15" s="20" t="str">
        <f>IFERROR(__xludf.DUMMYFUNCTION("""COMPUTED_VALUE"""),"Ventas2096@gmail.com")</f>
        <v>Ventas2096@gmail.com</v>
      </c>
      <c r="K15" s="20" t="str">
        <f>IFERROR(__xludf.DUMMYFUNCTION("""COMPUTED_VALUE"""),"Masculino")</f>
        <v>Masculino</v>
      </c>
      <c r="L15" s="23" t="str">
        <f>IFERROR(__xludf.DUMMYFUNCTION("""COMPUTED_VALUE"""),"CVR")</f>
        <v>CVR</v>
      </c>
      <c r="M15" s="20" t="str">
        <f>IFERROR(__xludf.DUMMYFUNCTION("""COMPUTED_VALUE"""),"Interior (Optimist)")</f>
        <v>Interior (Optimist)</v>
      </c>
      <c r="N15" s="21" t="str">
        <f>IFERROR(__xludf.DUMMYFUNCTION("""COMPUTED_VALUE"""),"OPTIMIST PRINCIPIANTES")</f>
        <v>OPTIMIST PRINCIPIANTES</v>
      </c>
      <c r="O15" s="21"/>
      <c r="P15" s="21">
        <f>IFERROR(__xludf.DUMMYFUNCTION("""COMPUTED_VALUE"""),3558.0)</f>
        <v>3558</v>
      </c>
      <c r="Q15" s="20" t="str">
        <f>IFERROR(__xludf.DUMMYFUNCTION("""COMPUTED_VALUE"""),"Merlin")</f>
        <v>Merlin</v>
      </c>
      <c r="R15" s="20"/>
      <c r="S15" s="20"/>
      <c r="T15" s="20"/>
      <c r="U15" s="20"/>
      <c r="V15" s="20"/>
      <c r="W15" s="20"/>
      <c r="X15" s="24" t="str">
        <f>IFERROR(__xludf.DUMMYFUNCTION("""COMPUTED_VALUE"""),"Medifé/3-06645444-01/000")</f>
        <v>Medifé/3-06645444-01/000</v>
      </c>
      <c r="Y15" s="21" t="str">
        <f>IFERROR(__xludf.DUMMYFUNCTION("""COMPUTED_VALUE"""),"No")</f>
        <v>No</v>
      </c>
      <c r="Z15" s="21" t="str">
        <f>IFERROR(__xludf.DUMMYFUNCTION("""COMPUTED_VALUE"""),"Acepto")</f>
        <v>Acepto</v>
      </c>
      <c r="AA15" s="18" t="str">
        <f>IFERROR(__xludf.DUMMYFUNCTION("""COMPUTED_VALUE"""),"Terminado")</f>
        <v>Terminado</v>
      </c>
      <c r="AB15" s="18">
        <f>IFERROR(__xludf.DUMMYFUNCTION("""COMPUTED_VALUE"""),60000.0)</f>
        <v>60000</v>
      </c>
      <c r="AC15" s="30">
        <f>IFERROR(__xludf.DUMMYFUNCTION("""COMPUTED_VALUE"""),205461.0)</f>
        <v>205461</v>
      </c>
      <c r="AD15" s="30" t="str">
        <f>IFERROR(__xludf.DUMMYFUNCTION("""COMPUTED_VALUE"""),"TRF 28-08")</f>
        <v>TRF 28-08</v>
      </c>
      <c r="AE15" s="21" t="str">
        <f>IFERROR(__xludf.DUMMYFUNCTION("""COMPUTED_VALUE"""),"OK")</f>
        <v>OK</v>
      </c>
      <c r="AF15" s="21"/>
      <c r="AG15" s="23"/>
    </row>
    <row r="16">
      <c r="A16" s="31">
        <f>IFERROR(__xludf.DUMMYFUNCTION("""COMPUTED_VALUE"""),45535.52478324074)</f>
        <v>45535.52478</v>
      </c>
      <c r="B16" s="12" t="str">
        <f>IFERROR(__xludf.DUMMYFUNCTION("""COMPUTED_VALUE"""),"Manuel ")</f>
        <v>Manuel </v>
      </c>
      <c r="C16" s="12" t="str">
        <f>IFERROR(__xludf.DUMMYFUNCTION("""COMPUTED_VALUE"""),"Antoni")</f>
        <v>Antoni</v>
      </c>
      <c r="D16" s="12" t="str">
        <f>IFERROR(__xludf.DUMMYFUNCTION("""COMPUTED_VALUE"""),"San isidro")</f>
        <v>San isidro</v>
      </c>
      <c r="E16" s="13" t="str">
        <f>IFERROR(__xludf.DUMMYFUNCTION("""COMPUTED_VALUE"""),"ARG")</f>
        <v>ARG</v>
      </c>
      <c r="F16" s="13">
        <f>IFERROR(__xludf.DUMMYFUNCTION("""COMPUTED_VALUE"""),5.3761156E7)</f>
        <v>53761156</v>
      </c>
      <c r="G16" s="33">
        <f>IFERROR(__xludf.DUMMYFUNCTION("""COMPUTED_VALUE"""),41661.0)</f>
        <v>41661</v>
      </c>
      <c r="H16" s="13">
        <f>IFERROR(__xludf.DUMMYFUNCTION("""COMPUTED_VALUE"""),1.144921544E9)</f>
        <v>1144921544</v>
      </c>
      <c r="I16" s="13">
        <f>IFERROR(__xludf.DUMMYFUNCTION("""COMPUTED_VALUE"""),1.144921544E9)</f>
        <v>1144921544</v>
      </c>
      <c r="J16" s="13" t="str">
        <f>IFERROR(__xludf.DUMMYFUNCTION("""COMPUTED_VALUE"""),"noelvaca@gmail.com")</f>
        <v>noelvaca@gmail.com</v>
      </c>
      <c r="K16" s="13" t="str">
        <f>IFERROR(__xludf.DUMMYFUNCTION("""COMPUTED_VALUE"""),"Masculino")</f>
        <v>Masculino</v>
      </c>
      <c r="L16" s="16" t="str">
        <f>IFERROR(__xludf.DUMMYFUNCTION("""COMPUTED_VALUE"""),"CUBA")</f>
        <v>CUBA</v>
      </c>
      <c r="M16" s="12"/>
      <c r="N16" s="13" t="str">
        <f>IFERROR(__xludf.DUMMYFUNCTION("""COMPUTED_VALUE"""),"OPTIMIST PRINCIPIANTES")</f>
        <v>OPTIMIST PRINCIPIANTES</v>
      </c>
      <c r="O16" s="13"/>
      <c r="P16" s="13">
        <f>IFERROR(__xludf.DUMMYFUNCTION("""COMPUTED_VALUE"""),3868.0)</f>
        <v>3868</v>
      </c>
      <c r="Q16" s="13"/>
      <c r="R16" s="34"/>
      <c r="S16" s="13"/>
      <c r="T16" s="13"/>
      <c r="U16" s="13"/>
      <c r="V16" s="12"/>
      <c r="W16" s="12"/>
      <c r="X16" s="17" t="str">
        <f>IFERROR(__xludf.DUMMYFUNCTION("""COMPUTED_VALUE"""),"OSDE 61352163205")</f>
        <v>OSDE 61352163205</v>
      </c>
      <c r="Y16" s="13" t="str">
        <f>IFERROR(__xludf.DUMMYFUNCTION("""COMPUTED_VALUE"""),"No")</f>
        <v>No</v>
      </c>
      <c r="Z16" s="13" t="str">
        <f>IFERROR(__xludf.DUMMYFUNCTION("""COMPUTED_VALUE"""),"Acepto")</f>
        <v>Acepto</v>
      </c>
      <c r="AA16" s="25" t="str">
        <f>IFERROR(__xludf.DUMMYFUNCTION("""COMPUTED_VALUE"""),"Terminado")</f>
        <v>Terminado</v>
      </c>
      <c r="AB16" s="25">
        <f>IFERROR(__xludf.DUMMYFUNCTION("""COMPUTED_VALUE"""),60000.0)</f>
        <v>60000</v>
      </c>
      <c r="AC16" s="32">
        <f>IFERROR(__xludf.DUMMYFUNCTION("""COMPUTED_VALUE"""),205150.0)</f>
        <v>205150</v>
      </c>
      <c r="AD16" s="32" t="str">
        <f>IFERROR(__xludf.DUMMYFUNCTION("""COMPUTED_VALUE"""),"TRF 31-08")</f>
        <v>TRF 31-08</v>
      </c>
      <c r="AE16" s="13" t="str">
        <f>IFERROR(__xludf.DUMMYFUNCTION("""COMPUTED_VALUE"""),"OK")</f>
        <v>OK</v>
      </c>
      <c r="AF16" s="13"/>
      <c r="AG16" s="16"/>
    </row>
    <row r="17">
      <c r="A17" s="31">
        <f>IFERROR(__xludf.DUMMYFUNCTION("""COMPUTED_VALUE"""),45526.79626313657)</f>
        <v>45526.79626</v>
      </c>
      <c r="B17" s="12" t="str">
        <f>IFERROR(__xludf.DUMMYFUNCTION("""COMPUTED_VALUE"""),"Mariano ")</f>
        <v>Mariano </v>
      </c>
      <c r="C17" s="12" t="str">
        <f>IFERROR(__xludf.DUMMYFUNCTION("""COMPUTED_VALUE"""),"Antonini ")</f>
        <v>Antonini </v>
      </c>
      <c r="D17" s="12" t="str">
        <f>IFERROR(__xludf.DUMMYFUNCTION("""COMPUTED_VALUE"""),"Buenos Aires")</f>
        <v>Buenos Aires</v>
      </c>
      <c r="E17" s="13" t="str">
        <f>IFERROR(__xludf.DUMMYFUNCTION("""COMPUTED_VALUE"""),"ARG")</f>
        <v>ARG</v>
      </c>
      <c r="F17" s="13">
        <f>IFERROR(__xludf.DUMMYFUNCTION("""COMPUTED_VALUE"""),2.3941586E7)</f>
        <v>23941586</v>
      </c>
      <c r="G17" s="14">
        <f>IFERROR(__xludf.DUMMYFUNCTION("""COMPUTED_VALUE"""),27333.0)</f>
        <v>27333</v>
      </c>
      <c r="H17" s="15">
        <f>IFERROR(__xludf.DUMMYFUNCTION("""COMPUTED_VALUE"""),1.552591434E9)</f>
        <v>1552591434</v>
      </c>
      <c r="I17" s="41"/>
      <c r="J17" s="12" t="str">
        <f>IFERROR(__xludf.DUMMYFUNCTION("""COMPUTED_VALUE"""),"marianoantonini@hotmail.com")</f>
        <v>marianoantonini@hotmail.com</v>
      </c>
      <c r="K17" s="12" t="str">
        <f>IFERROR(__xludf.DUMMYFUNCTION("""COMPUTED_VALUE"""),"Masculino")</f>
        <v>Masculino</v>
      </c>
      <c r="L17" s="16" t="str">
        <f>IFERROR(__xludf.DUMMYFUNCTION("""COMPUTED_VALUE"""),"YCCN")</f>
        <v>YCCN</v>
      </c>
      <c r="M17" s="12" t="str">
        <f>IFERROR(__xludf.DUMMYFUNCTION("""COMPUTED_VALUE"""),"Master (pampero)")</f>
        <v>Master (pampero)</v>
      </c>
      <c r="N17" s="13" t="str">
        <f>IFERROR(__xludf.DUMMYFUNCTION("""COMPUTED_VALUE"""),"PAMPERO")</f>
        <v>PAMPERO</v>
      </c>
      <c r="O17" s="13"/>
      <c r="P17" s="13">
        <f>IFERROR(__xludf.DUMMYFUNCTION("""COMPUTED_VALUE"""),300.0)</f>
        <v>300</v>
      </c>
      <c r="Q17" s="12" t="str">
        <f>IFERROR(__xludf.DUMMYFUNCTION("""COMPUTED_VALUE"""),"OSKORRI")</f>
        <v>OSKORRI</v>
      </c>
      <c r="R17" s="12" t="str">
        <f>IFERROR(__xludf.DUMMYFUNCTION("""COMPUTED_VALUE"""),"Mariano Antonini ")</f>
        <v>Mariano Antonini </v>
      </c>
      <c r="S17" s="12" t="str">
        <f>IFERROR(__xludf.DUMMYFUNCTION("""COMPUTED_VALUE"""),"Alain Pasquier")</f>
        <v>Alain Pasquier</v>
      </c>
      <c r="T17" s="12"/>
      <c r="U17" s="12"/>
      <c r="V17" s="12"/>
      <c r="W17" s="12"/>
      <c r="X17" s="17" t="str">
        <f>IFERROR(__xludf.DUMMYFUNCTION("""COMPUTED_VALUE"""),"Swiss Medical")</f>
        <v>Swiss Medical</v>
      </c>
      <c r="Y17" s="13" t="str">
        <f>IFERROR(__xludf.DUMMYFUNCTION("""COMPUTED_VALUE"""),"No")</f>
        <v>No</v>
      </c>
      <c r="Z17" s="13" t="str">
        <f>IFERROR(__xludf.DUMMYFUNCTION("""COMPUTED_VALUE"""),"Acepto")</f>
        <v>Acepto</v>
      </c>
      <c r="AA17" s="18" t="str">
        <f>IFERROR(__xludf.DUMMYFUNCTION("""COMPUTED_VALUE"""),"Terminado")</f>
        <v>Terminado</v>
      </c>
      <c r="AB17" s="18">
        <f>IFERROR(__xludf.DUMMYFUNCTION("""COMPUTED_VALUE"""),60000.0)</f>
        <v>60000</v>
      </c>
      <c r="AC17" s="32">
        <f>IFERROR(__xludf.DUMMYFUNCTION("""COMPUTED_VALUE"""),205042.0)</f>
        <v>205042</v>
      </c>
      <c r="AD17" s="32" t="str">
        <f>IFERROR(__xludf.DUMMYFUNCTION("""COMPUTED_VALUE"""),"TRF 22-08")</f>
        <v>TRF 22-08</v>
      </c>
      <c r="AE17" s="13" t="str">
        <f>IFERROR(__xludf.DUMMYFUNCTION("""COMPUTED_VALUE"""),"No Corresp")</f>
        <v>No Corresp</v>
      </c>
      <c r="AF17" s="13" t="str">
        <f>IFERROR(__xludf.DUMMYFUNCTION("""COMPUTED_VALUE"""),"SI")</f>
        <v>SI</v>
      </c>
      <c r="AG17" s="16"/>
    </row>
    <row r="18">
      <c r="A18" s="31">
        <f>IFERROR(__xludf.DUMMYFUNCTION("""COMPUTED_VALUE"""),45539.73666873843)</f>
        <v>45539.73667</v>
      </c>
      <c r="B18" s="12" t="str">
        <f>IFERROR(__xludf.DUMMYFUNCTION("""COMPUTED_VALUE"""),"NOMBRE")</f>
        <v>NOMBRE</v>
      </c>
      <c r="C18" s="12" t="str">
        <f>IFERROR(__xludf.DUMMYFUNCTION("""COMPUTED_VALUE"""),"APELLIDO")</f>
        <v>APELLIDO</v>
      </c>
      <c r="D18" s="12" t="str">
        <f>IFERROR(__xludf.DUMMYFUNCTION("""COMPUTED_VALUE"""),"OLIVOS")</f>
        <v>OLIVOS</v>
      </c>
      <c r="E18" s="13" t="str">
        <f>IFERROR(__xludf.DUMMYFUNCTION("""COMPUTED_VALUE"""),"ARG")</f>
        <v>ARG</v>
      </c>
      <c r="F18" s="13">
        <f>IFERROR(__xludf.DUMMYFUNCTION("""COMPUTED_VALUE"""),1.1111111E7)</f>
        <v>11111111</v>
      </c>
      <c r="G18" s="33">
        <f>IFERROR(__xludf.DUMMYFUNCTION("""COMPUTED_VALUE"""),25323.0)</f>
        <v>25323</v>
      </c>
      <c r="H18" s="13">
        <f>IFERROR(__xludf.DUMMYFUNCTION("""COMPUTED_VALUE"""),1.122226666E9)</f>
        <v>1122226666</v>
      </c>
      <c r="I18" s="37">
        <f>IFERROR(__xludf.DUMMYFUNCTION("""COMPUTED_VALUE"""),1.166668888E9)</f>
        <v>1166668888</v>
      </c>
      <c r="J18" s="34" t="str">
        <f>IFERROR(__xludf.DUMMYFUNCTION("""COMPUTED_VALUE"""),"MAIL@OTRO.COM")</f>
        <v>MAIL@OTRO.COM</v>
      </c>
      <c r="K18" s="13" t="str">
        <f>IFERROR(__xludf.DUMMYFUNCTION("""COMPUTED_VALUE"""),"Femenino")</f>
        <v>Femenino</v>
      </c>
      <c r="L18" s="16" t="str">
        <f>IFERROR(__xludf.DUMMYFUNCTION("""COMPUTED_VALUE"""),"YCO")</f>
        <v>YCO</v>
      </c>
      <c r="M18" s="12" t="str">
        <f>IFERROR(__xludf.DUMMYFUNCTION("""COMPUTED_VALUE"""),"PRUEBA CATE")</f>
        <v>PRUEBA CATE</v>
      </c>
      <c r="N18" s="13">
        <f>IFERROR(__xludf.DUMMYFUNCTION("""COMPUTED_VALUE"""),420.0)</f>
        <v>420</v>
      </c>
      <c r="O18" s="13">
        <f>IFERROR(__xludf.DUMMYFUNCTION("""COMPUTED_VALUE"""),6.0)</f>
        <v>6</v>
      </c>
      <c r="P18" s="13">
        <f>IFERROR(__xludf.DUMMYFUNCTION("""COMPUTED_VALUE"""),1111.0)</f>
        <v>1111</v>
      </c>
      <c r="Q18" s="13" t="str">
        <f>IFERROR(__xludf.DUMMYFUNCTION("""COMPUTED_VALUE"""),"UNO")</f>
        <v>UNO</v>
      </c>
      <c r="R18" s="13" t="str">
        <f>IFERROR(__xludf.DUMMYFUNCTION("""COMPUTED_VALUE"""),"UNO")</f>
        <v>UNO</v>
      </c>
      <c r="S18" s="13" t="str">
        <f>IFERROR(__xludf.DUMMYFUNCTION("""COMPUTED_VALUE"""),"DOS")</f>
        <v>DOS</v>
      </c>
      <c r="T18" s="13" t="str">
        <f>IFERROR(__xludf.DUMMYFUNCTION("""COMPUTED_VALUE"""),"TRTES")</f>
        <v>TRTES</v>
      </c>
      <c r="U18" s="13" t="str">
        <f>IFERROR(__xludf.DUMMYFUNCTION("""COMPUTED_VALUE"""),"CUATO")</f>
        <v>CUATO</v>
      </c>
      <c r="V18" s="12" t="str">
        <f>IFERROR(__xludf.DUMMYFUNCTION("""COMPUTED_VALUE"""),"FIVE")</f>
        <v>FIVE</v>
      </c>
      <c r="W18" s="12" t="str">
        <f>IFERROR(__xludf.DUMMYFUNCTION("""COMPUTED_VALUE"""),"SIX")</f>
        <v>SIX</v>
      </c>
      <c r="X18" s="17">
        <f>IFERROR(__xludf.DUMMYFUNCTION("""COMPUTED_VALUE"""),22.0)</f>
        <v>22</v>
      </c>
      <c r="Y18" s="13" t="str">
        <f>IFERROR(__xludf.DUMMYFUNCTION("""COMPUTED_VALUE"""),"Si")</f>
        <v>Si</v>
      </c>
      <c r="Z18" s="13" t="str">
        <f>IFERROR(__xludf.DUMMYFUNCTION("""COMPUTED_VALUE"""),"Acepto")</f>
        <v>Acepto</v>
      </c>
      <c r="AA18" s="25" t="str">
        <f>IFERROR(__xludf.DUMMYFUNCTION("""COMPUTED_VALUE"""),"Repetido")</f>
        <v>Repetido</v>
      </c>
      <c r="AB18" s="25"/>
      <c r="AC18" s="32"/>
      <c r="AD18" s="32"/>
      <c r="AE18" s="13" t="str">
        <f>IFERROR(__xludf.DUMMYFUNCTION("""COMPUTED_VALUE"""),"No Corresp")</f>
        <v>No Corresp</v>
      </c>
      <c r="AF18" s="13"/>
      <c r="AG18" s="16"/>
    </row>
    <row r="19">
      <c r="A19" s="42">
        <f>IFERROR(__xludf.DUMMYFUNCTION("""COMPUTED_VALUE"""),45539.7857500463)</f>
        <v>45539.78575</v>
      </c>
      <c r="B19" s="43" t="str">
        <f>IFERROR(__xludf.DUMMYFUNCTION("""COMPUTED_VALUE"""),"Allegra Juliana")</f>
        <v>Allegra Juliana</v>
      </c>
      <c r="C19" s="43" t="str">
        <f>IFERROR(__xludf.DUMMYFUNCTION("""COMPUTED_VALUE"""),"Aranda")</f>
        <v>Aranda</v>
      </c>
      <c r="D19" s="43" t="str">
        <f>IFERROR(__xludf.DUMMYFUNCTION("""COMPUTED_VALUE"""),"Parana")</f>
        <v>Parana</v>
      </c>
      <c r="E19" s="7" t="str">
        <f>IFERROR(__xludf.DUMMYFUNCTION("""COMPUTED_VALUE"""),"ARG")</f>
        <v>ARG</v>
      </c>
      <c r="F19" s="7">
        <f>IFERROR(__xludf.DUMMYFUNCTION("""COMPUTED_VALUE"""),5.347712E7)</f>
        <v>53477120</v>
      </c>
      <c r="G19" s="44">
        <f>IFERROR(__xludf.DUMMYFUNCTION("""COMPUTED_VALUE"""),41519.0)</f>
        <v>41519</v>
      </c>
      <c r="H19" s="45">
        <f>IFERROR(__xludf.DUMMYFUNCTION("""COMPUTED_VALUE"""),3.434468375E9)</f>
        <v>3434468375</v>
      </c>
      <c r="I19" s="46">
        <f>IFERROR(__xludf.DUMMYFUNCTION("""COMPUTED_VALUE"""),3.434468375E9)</f>
        <v>3434468375</v>
      </c>
      <c r="J19" s="45" t="str">
        <f>IFERROR(__xludf.DUMMYFUNCTION("""COMPUTED_VALUE"""),"Arandarodolfo090@gmail.com")</f>
        <v>Arandarodolfo090@gmail.com</v>
      </c>
      <c r="K19" s="45" t="str">
        <f>IFERROR(__xludf.DUMMYFUNCTION("""COMPUTED_VALUE"""),"Femenino")</f>
        <v>Femenino</v>
      </c>
      <c r="L19" s="43" t="str">
        <f>IFERROR(__xludf.DUMMYFUNCTION("""COMPUTED_VALUE"""),"CVR")</f>
        <v>CVR</v>
      </c>
      <c r="M19" s="45" t="str">
        <f>IFERROR(__xludf.DUMMYFUNCTION("""COMPUTED_VALUE"""),"Femenino, Interior (Optimist)")</f>
        <v>Femenino, Interior (Optimist)</v>
      </c>
      <c r="N19" s="7" t="str">
        <f>IFERROR(__xludf.DUMMYFUNCTION("""COMPUTED_VALUE"""),"OPTIMIST PRINCIPIANTES")</f>
        <v>OPTIMIST PRINCIPIANTES</v>
      </c>
      <c r="O19" s="7"/>
      <c r="P19" s="7">
        <f>IFERROR(__xludf.DUMMYFUNCTION("""COMPUTED_VALUE"""),4055.0)</f>
        <v>4055</v>
      </c>
      <c r="Q19" s="45"/>
      <c r="R19" s="45" t="str">
        <f>IFERROR(__xludf.DUMMYFUNCTION("""COMPUTED_VALUE"""),"Allegra Juliana Aranda")</f>
        <v>Allegra Juliana Aranda</v>
      </c>
      <c r="S19" s="45"/>
      <c r="T19" s="45"/>
      <c r="U19" s="45"/>
      <c r="V19" s="45"/>
      <c r="W19" s="45"/>
      <c r="X19" s="47">
        <f>IFERROR(__xludf.DUMMYFUNCTION("""COMPUTED_VALUE"""),67943.0)</f>
        <v>67943</v>
      </c>
      <c r="Y19" s="7" t="str">
        <f>IFERROR(__xludf.DUMMYFUNCTION("""COMPUTED_VALUE"""),"Si")</f>
        <v>Si</v>
      </c>
      <c r="Z19" s="7" t="str">
        <f>IFERROR(__xludf.DUMMYFUNCTION("""COMPUTED_VALUE"""),"Acepto")</f>
        <v>Acepto</v>
      </c>
      <c r="AA19" s="48" t="str">
        <f>IFERROR(__xludf.DUMMYFUNCTION("""COMPUTED_VALUE"""),"Terminado")</f>
        <v>Terminado</v>
      </c>
      <c r="AB19" s="48">
        <f>IFERROR(__xludf.DUMMYFUNCTION("""COMPUTED_VALUE"""),42500.0)</f>
        <v>42500</v>
      </c>
      <c r="AC19" s="49">
        <f>IFERROR(__xludf.DUMMYFUNCTION("""COMPUTED_VALUE"""),205487.0)</f>
        <v>205487</v>
      </c>
      <c r="AD19" s="49" t="str">
        <f>IFERROR(__xludf.DUMMYFUNCTION("""COMPUTED_VALUE"""),"TRF 05-09")</f>
        <v>TRF 05-09</v>
      </c>
      <c r="AE19" s="7" t="str">
        <f>IFERROR(__xludf.DUMMYFUNCTION("""COMPUTED_VALUE"""),"OK")</f>
        <v>OK</v>
      </c>
      <c r="AF19" s="7"/>
      <c r="AG19" s="43"/>
    </row>
    <row r="20">
      <c r="A20" s="31">
        <f>IFERROR(__xludf.DUMMYFUNCTION("""COMPUTED_VALUE"""),45525.85326153935)</f>
        <v>45525.85326</v>
      </c>
      <c r="B20" s="12" t="str">
        <f>IFERROR(__xludf.DUMMYFUNCTION("""COMPUTED_VALUE"""),"Mónica Pilar ")</f>
        <v>Mónica Pilar </v>
      </c>
      <c r="C20" s="12" t="str">
        <f>IFERROR(__xludf.DUMMYFUNCTION("""COMPUTED_VALUE"""),"Arjona ")</f>
        <v>Arjona </v>
      </c>
      <c r="D20" s="12" t="str">
        <f>IFERROR(__xludf.DUMMYFUNCTION("""COMPUTED_VALUE"""),"Viedma- Rio Negro")</f>
        <v>Viedma- Rio Negro</v>
      </c>
      <c r="E20" s="13" t="str">
        <f>IFERROR(__xludf.DUMMYFUNCTION("""COMPUTED_VALUE"""),"ARG")</f>
        <v>ARG</v>
      </c>
      <c r="F20" s="13">
        <f>IFERROR(__xludf.DUMMYFUNCTION("""COMPUTED_VALUE"""),2.4080951E7)</f>
        <v>24080951</v>
      </c>
      <c r="G20" s="14">
        <f>IFERROR(__xludf.DUMMYFUNCTION("""COMPUTED_VALUE"""),27308.0)</f>
        <v>27308</v>
      </c>
      <c r="H20" s="15">
        <f>IFERROR(__xludf.DUMMYFUNCTION("""COMPUTED_VALUE"""),2.920366704E9)</f>
        <v>2920366704</v>
      </c>
      <c r="I20" s="15">
        <f>IFERROR(__xludf.DUMMYFUNCTION("""COMPUTED_VALUE"""),2.920568254E9)</f>
        <v>2920568254</v>
      </c>
      <c r="J20" s="12" t="str">
        <f>IFERROR(__xludf.DUMMYFUNCTION("""COMPUTED_VALUE"""),"monicapilar1@hotmail.com")</f>
        <v>monicapilar1@hotmail.com</v>
      </c>
      <c r="K20" s="12" t="str">
        <f>IFERROR(__xludf.DUMMYFUNCTION("""COMPUTED_VALUE"""),"Femenino")</f>
        <v>Femenino</v>
      </c>
      <c r="L20" s="16" t="str">
        <f>IFERROR(__xludf.DUMMYFUNCTION("""COMPUTED_VALUE"""),"Club Náutico la Ribera ")</f>
        <v>Club Náutico la Ribera </v>
      </c>
      <c r="M20" s="12"/>
      <c r="N20" s="13" t="str">
        <f>IFERROR(__xludf.DUMMYFUNCTION("""COMPUTED_VALUE"""),"PAMPERO")</f>
        <v>PAMPERO</v>
      </c>
      <c r="O20" s="13"/>
      <c r="P20" s="13" t="str">
        <f>IFERROR(__xludf.DUMMYFUNCTION("""COMPUTED_VALUE"""),"000")</f>
        <v>000</v>
      </c>
      <c r="Q20" s="12" t="str">
        <f>IFERROR(__xludf.DUMMYFUNCTION("""COMPUTED_VALUE"""),"Piqui")</f>
        <v>Piqui</v>
      </c>
      <c r="R20" s="12" t="str">
        <f>IFERROR(__xludf.DUMMYFUNCTION("""COMPUTED_VALUE"""),"××××××")</f>
        <v>××××××</v>
      </c>
      <c r="S20" s="12"/>
      <c r="T20" s="12"/>
      <c r="U20" s="12"/>
      <c r="V20" s="12"/>
      <c r="W20" s="12"/>
      <c r="X20" s="17" t="str">
        <f>IFERROR(__xludf.DUMMYFUNCTION("""COMPUTED_VALUE"""),"MU.BA.SE.VI (MUTUAL BANCARIA)")</f>
        <v>MU.BA.SE.VI (MUTUAL BANCARIA)</v>
      </c>
      <c r="Y20" s="13" t="str">
        <f>IFERROR(__xludf.DUMMYFUNCTION("""COMPUTED_VALUE"""),"Si")</f>
        <v>Si</v>
      </c>
      <c r="Z20" s="13" t="str">
        <f>IFERROR(__xludf.DUMMYFUNCTION("""COMPUTED_VALUE"""),"Acepto")</f>
        <v>Acepto</v>
      </c>
      <c r="AA20" s="18" t="str">
        <f>IFERROR(__xludf.DUMMYFUNCTION("""COMPUTED_VALUE"""),"Terminado")</f>
        <v>Terminado</v>
      </c>
      <c r="AB20" s="18">
        <f>IFERROR(__xludf.DUMMYFUNCTION("""COMPUTED_VALUE"""),60000.0)</f>
        <v>60000</v>
      </c>
      <c r="AC20" s="32">
        <f>IFERROR(__xludf.DUMMYFUNCTION("""COMPUTED_VALUE"""),205036.0)</f>
        <v>205036</v>
      </c>
      <c r="AD20" s="32" t="str">
        <f>IFERROR(__xludf.DUMMYFUNCTION("""COMPUTED_VALUE"""),"TRF 21-08")</f>
        <v>TRF 21-08</v>
      </c>
      <c r="AE20" s="13" t="str">
        <f>IFERROR(__xludf.DUMMYFUNCTION("""COMPUTED_VALUE"""),"No Corresp")</f>
        <v>No Corresp</v>
      </c>
      <c r="AF20" s="13" t="str">
        <f>IFERROR(__xludf.DUMMYFUNCTION("""COMPUTED_VALUE"""),"Si")</f>
        <v>Si</v>
      </c>
      <c r="AG20" s="16"/>
    </row>
    <row r="21">
      <c r="A21" s="19">
        <f>IFERROR(__xludf.DUMMYFUNCTION("""COMPUTED_VALUE"""),45537.49758135417)</f>
        <v>45537.49758</v>
      </c>
      <c r="B21" s="20" t="str">
        <f>IFERROR(__xludf.DUMMYFUNCTION("""COMPUTED_VALUE"""),"Joaco")</f>
        <v>Joaco</v>
      </c>
      <c r="C21" s="20" t="str">
        <f>IFERROR(__xludf.DUMMYFUNCTION("""COMPUTED_VALUE"""),"Arocena")</f>
        <v>Arocena</v>
      </c>
      <c r="D21" s="20" t="str">
        <f>IFERROR(__xludf.DUMMYFUNCTION("""COMPUTED_VALUE"""),"San Fernando")</f>
        <v>San Fernando</v>
      </c>
      <c r="E21" s="21" t="str">
        <f>IFERROR(__xludf.DUMMYFUNCTION("""COMPUTED_VALUE"""),"ARG")</f>
        <v>ARG</v>
      </c>
      <c r="F21" s="21">
        <f>IFERROR(__xludf.DUMMYFUNCTION("""COMPUTED_VALUE"""),5.106639E7)</f>
        <v>51066390</v>
      </c>
      <c r="G21" s="38">
        <f>IFERROR(__xludf.DUMMYFUNCTION("""COMPUTED_VALUE"""),40625.0)</f>
        <v>40625</v>
      </c>
      <c r="H21" s="39">
        <f>IFERROR(__xludf.DUMMYFUNCTION("""COMPUTED_VALUE"""),1.164825593E9)</f>
        <v>1164825593</v>
      </c>
      <c r="I21" s="20">
        <f>IFERROR(__xludf.DUMMYFUNCTION("""COMPUTED_VALUE"""),1.165518797E9)</f>
        <v>1165518797</v>
      </c>
      <c r="J21" s="20" t="str">
        <f>IFERROR(__xludf.DUMMYFUNCTION("""COMPUTED_VALUE"""),"luchoarocena@gmail.com")</f>
        <v>luchoarocena@gmail.com</v>
      </c>
      <c r="K21" s="20" t="str">
        <f>IFERROR(__xludf.DUMMYFUNCTION("""COMPUTED_VALUE"""),"Masculino")</f>
        <v>Masculino</v>
      </c>
      <c r="L21" s="23" t="str">
        <f>IFERROR(__xludf.DUMMYFUNCTION("""COMPUTED_VALUE"""),"CNSI")</f>
        <v>CNSI</v>
      </c>
      <c r="M21" s="20"/>
      <c r="N21" s="21" t="str">
        <f>IFERROR(__xludf.DUMMYFUNCTION("""COMPUTED_VALUE"""),"OPTIMIST TIMONELES")</f>
        <v>OPTIMIST TIMONELES</v>
      </c>
      <c r="O21" s="21"/>
      <c r="P21" s="21">
        <f>IFERROR(__xludf.DUMMYFUNCTION("""COMPUTED_VALUE"""),3563.0)</f>
        <v>3563</v>
      </c>
      <c r="Q21" s="20" t="str">
        <f>IFERROR(__xludf.DUMMYFUNCTION("""COMPUTED_VALUE"""),"Racha")</f>
        <v>Racha</v>
      </c>
      <c r="R21" s="20"/>
      <c r="S21" s="20"/>
      <c r="T21" s="20"/>
      <c r="U21" s="20"/>
      <c r="V21" s="20"/>
      <c r="W21" s="20"/>
      <c r="X21" s="24" t="str">
        <f>IFERROR(__xludf.DUMMYFUNCTION("""COMPUTED_VALUE"""),"OSPJN / 88946-21")</f>
        <v>OSPJN / 88946-21</v>
      </c>
      <c r="Y21" s="21" t="str">
        <f>IFERROR(__xludf.DUMMYFUNCTION("""COMPUTED_VALUE"""),"No")</f>
        <v>No</v>
      </c>
      <c r="Z21" s="21" t="str">
        <f>IFERROR(__xludf.DUMMYFUNCTION("""COMPUTED_VALUE"""),"Acepto")</f>
        <v>Acepto</v>
      </c>
      <c r="AA21" s="18" t="str">
        <f>IFERROR(__xludf.DUMMYFUNCTION("""COMPUTED_VALUE"""),"Terminado")</f>
        <v>Terminado</v>
      </c>
      <c r="AB21" s="18">
        <f>IFERROR(__xludf.DUMMYFUNCTION("""COMPUTED_VALUE"""),50000.0)</f>
        <v>50000</v>
      </c>
      <c r="AC21" s="30">
        <f>IFERROR(__xludf.DUMMYFUNCTION("""COMPUTED_VALUE"""),205403.0)</f>
        <v>205403</v>
      </c>
      <c r="AD21" s="30" t="str">
        <f>IFERROR(__xludf.DUMMYFUNCTION("""COMPUTED_VALUE"""),"TRF 02-09")</f>
        <v>TRF 02-09</v>
      </c>
      <c r="AE21" s="21" t="str">
        <f>IFERROR(__xludf.DUMMYFUNCTION("""COMPUTED_VALUE"""),"OK")</f>
        <v>OK</v>
      </c>
      <c r="AF21" s="21"/>
      <c r="AG21" s="23"/>
    </row>
    <row r="22">
      <c r="A22" s="42">
        <f>IFERROR(__xludf.DUMMYFUNCTION("""COMPUTED_VALUE"""),45538.929198530095)</f>
        <v>45538.9292</v>
      </c>
      <c r="B22" s="43" t="str">
        <f>IFERROR(__xludf.DUMMYFUNCTION("""COMPUTED_VALUE"""),"Jose Alberto")</f>
        <v>Jose Alberto</v>
      </c>
      <c r="C22" s="43" t="str">
        <f>IFERROR(__xludf.DUMMYFUNCTION("""COMPUTED_VALUE"""),"Asad")</f>
        <v>Asad</v>
      </c>
      <c r="D22" s="43" t="str">
        <f>IFERROR(__xludf.DUMMYFUNCTION("""COMPUTED_VALUE"""),"San Fernando, Pcia de Buenos Aires")</f>
        <v>San Fernando, Pcia de Buenos Aires</v>
      </c>
      <c r="E22" s="7" t="str">
        <f>IFERROR(__xludf.DUMMYFUNCTION("""COMPUTED_VALUE"""),"ARG")</f>
        <v>ARG</v>
      </c>
      <c r="F22" s="7">
        <f>IFERROR(__xludf.DUMMYFUNCTION("""COMPUTED_VALUE"""),1.15433E7)</f>
        <v>11543300</v>
      </c>
      <c r="G22" s="44">
        <f>IFERROR(__xludf.DUMMYFUNCTION("""COMPUTED_VALUE"""),20172.0)</f>
        <v>20172</v>
      </c>
      <c r="H22" s="45">
        <f>IFERROR(__xludf.DUMMYFUNCTION("""COMPUTED_VALUE"""),1.150077917E9)</f>
        <v>1150077917</v>
      </c>
      <c r="I22" s="45"/>
      <c r="J22" s="45" t="str">
        <f>IFERROR(__xludf.DUMMYFUNCTION("""COMPUTED_VALUE"""),"joseasad5@gmail.com")</f>
        <v>joseasad5@gmail.com</v>
      </c>
      <c r="K22" s="45" t="str">
        <f>IFERROR(__xludf.DUMMYFUNCTION("""COMPUTED_VALUE"""),"Masculino")</f>
        <v>Masculino</v>
      </c>
      <c r="L22" s="43" t="str">
        <f>IFERROR(__xludf.DUMMYFUNCTION("""COMPUTED_VALUE"""),"YCO")</f>
        <v>YCO</v>
      </c>
      <c r="M22" s="45" t="str">
        <f>IFERROR(__xludf.DUMMYFUNCTION("""COMPUTED_VALUE"""),"Master (ILCA)")</f>
        <v>Master (ILCA)</v>
      </c>
      <c r="N22" s="7" t="str">
        <f>IFERROR(__xludf.DUMMYFUNCTION("""COMPUTED_VALUE"""),"ILCA 7")</f>
        <v>ILCA 7</v>
      </c>
      <c r="O22" s="7"/>
      <c r="P22" s="7">
        <f>IFERROR(__xludf.DUMMYFUNCTION("""COMPUTED_VALUE"""),207306.0)</f>
        <v>207306</v>
      </c>
      <c r="Q22" s="45" t="str">
        <f>IFERROR(__xludf.DUMMYFUNCTION("""COMPUTED_VALUE"""),"NO TIENE")</f>
        <v>NO TIENE</v>
      </c>
      <c r="R22" s="45"/>
      <c r="S22" s="45"/>
      <c r="T22" s="45"/>
      <c r="U22" s="45"/>
      <c r="V22" s="45"/>
      <c r="W22" s="45"/>
      <c r="X22" s="47" t="str">
        <f>IFERROR(__xludf.DUMMYFUNCTION("""COMPUTED_VALUE"""),"HOMINIS")</f>
        <v>HOMINIS</v>
      </c>
      <c r="Y22" s="7" t="str">
        <f>IFERROR(__xludf.DUMMYFUNCTION("""COMPUTED_VALUE"""),"Si")</f>
        <v>Si</v>
      </c>
      <c r="Z22" s="7" t="str">
        <f>IFERROR(__xludf.DUMMYFUNCTION("""COMPUTED_VALUE"""),"Acepto")</f>
        <v>Acepto</v>
      </c>
      <c r="AA22" s="48" t="str">
        <f>IFERROR(__xludf.DUMMYFUNCTION("""COMPUTED_VALUE"""),"Terminado")</f>
        <v>Terminado</v>
      </c>
      <c r="AB22" s="48">
        <f>IFERROR(__xludf.DUMMYFUNCTION("""COMPUTED_VALUE"""),45000.0)</f>
        <v>45000</v>
      </c>
      <c r="AC22" s="7">
        <f>IFERROR(__xludf.DUMMYFUNCTION("""COMPUTED_VALUE"""),205431.0)</f>
        <v>205431</v>
      </c>
      <c r="AD22" s="7" t="str">
        <f>IFERROR(__xludf.DUMMYFUNCTION("""COMPUTED_VALUE"""),"TRF 03-09")</f>
        <v>TRF 03-09</v>
      </c>
      <c r="AE22" s="7" t="str">
        <f>IFERROR(__xludf.DUMMYFUNCTION("""COMPUTED_VALUE"""),"No Corresp")</f>
        <v>No Corresp</v>
      </c>
      <c r="AF22" s="7"/>
      <c r="AG22" s="43"/>
    </row>
    <row r="23">
      <c r="A23" s="42">
        <f>IFERROR(__xludf.DUMMYFUNCTION("""COMPUTED_VALUE"""),45535.86400452546)</f>
        <v>45535.864</v>
      </c>
      <c r="B23" s="43" t="str">
        <f>IFERROR(__xludf.DUMMYFUNCTION("""COMPUTED_VALUE"""),"Milo")</f>
        <v>Milo</v>
      </c>
      <c r="C23" s="43" t="str">
        <f>IFERROR(__xludf.DUMMYFUNCTION("""COMPUTED_VALUE"""),"Azzaretti ")</f>
        <v>Azzaretti </v>
      </c>
      <c r="D23" s="43" t="str">
        <f>IFERROR(__xludf.DUMMYFUNCTION("""COMPUTED_VALUE"""),"San Pedro ")</f>
        <v>San Pedro </v>
      </c>
      <c r="E23" s="7" t="str">
        <f>IFERROR(__xludf.DUMMYFUNCTION("""COMPUTED_VALUE"""),"ARG")</f>
        <v>ARG</v>
      </c>
      <c r="F23" s="7">
        <f>IFERROR(__xludf.DUMMYFUNCTION("""COMPUTED_VALUE"""),5.3820853E7)</f>
        <v>53820853</v>
      </c>
      <c r="G23" s="44">
        <f>IFERROR(__xludf.DUMMYFUNCTION("""COMPUTED_VALUE"""),41746.0)</f>
        <v>41746</v>
      </c>
      <c r="H23" s="45">
        <f>IFERROR(__xludf.DUMMYFUNCTION("""COMPUTED_VALUE"""),3.32947839E9)</f>
        <v>3329478390</v>
      </c>
      <c r="I23" s="45">
        <f>IFERROR(__xludf.DUMMYFUNCTION("""COMPUTED_VALUE"""),3.329507042E9)</f>
        <v>3329507042</v>
      </c>
      <c r="J23" s="45" t="str">
        <f>IFERROR(__xludf.DUMMYFUNCTION("""COMPUTED_VALUE"""),"mazzaretti1@gmail.com")</f>
        <v>mazzaretti1@gmail.com</v>
      </c>
      <c r="K23" s="45" t="str">
        <f>IFERROR(__xludf.DUMMYFUNCTION("""COMPUTED_VALUE"""),"Masculino")</f>
        <v>Masculino</v>
      </c>
      <c r="L23" s="43" t="str">
        <f>IFERROR(__xludf.DUMMYFUNCTION("""COMPUTED_VALUE"""),"CNSP")</f>
        <v>CNSP</v>
      </c>
      <c r="M23" s="45" t="str">
        <f>IFERROR(__xludf.DUMMYFUNCTION("""COMPUTED_VALUE"""),"Interior (Optimist)")</f>
        <v>Interior (Optimist)</v>
      </c>
      <c r="N23" s="7" t="str">
        <f>IFERROR(__xludf.DUMMYFUNCTION("""COMPUTED_VALUE"""),"OPTIMIST TIMONELES")</f>
        <v>OPTIMIST TIMONELES</v>
      </c>
      <c r="O23" s="7"/>
      <c r="P23" s="7">
        <f>IFERROR(__xludf.DUMMYFUNCTION("""COMPUTED_VALUE"""),3462.0)</f>
        <v>3462</v>
      </c>
      <c r="Q23" s="45">
        <f>IFERROR(__xludf.DUMMYFUNCTION("""COMPUTED_VALUE"""),3462.0)</f>
        <v>3462</v>
      </c>
      <c r="R23" s="45"/>
      <c r="S23" s="45"/>
      <c r="T23" s="45"/>
      <c r="U23" s="45"/>
      <c r="V23" s="45"/>
      <c r="W23" s="45"/>
      <c r="X23" s="47" t="str">
        <f>IFERROR(__xludf.DUMMYFUNCTION("""COMPUTED_VALUE"""),"IOMA")</f>
        <v>IOMA</v>
      </c>
      <c r="Y23" s="7" t="str">
        <f>IFERROR(__xludf.DUMMYFUNCTION("""COMPUTED_VALUE"""),"Si")</f>
        <v>Si</v>
      </c>
      <c r="Z23" s="7" t="str">
        <f>IFERROR(__xludf.DUMMYFUNCTION("""COMPUTED_VALUE"""),"Acepto")</f>
        <v>Acepto</v>
      </c>
      <c r="AA23" s="48" t="str">
        <f>IFERROR(__xludf.DUMMYFUNCTION("""COMPUTED_VALUE"""),"Terminado")</f>
        <v>Terminado</v>
      </c>
      <c r="AB23" s="48">
        <f>IFERROR(__xludf.DUMMYFUNCTION("""COMPUTED_VALUE"""),42500.0)</f>
        <v>42500</v>
      </c>
      <c r="AC23" s="7">
        <f>IFERROR(__xludf.DUMMYFUNCTION("""COMPUTED_VALUE"""),205344.0)</f>
        <v>205344</v>
      </c>
      <c r="AD23" s="7" t="str">
        <f>IFERROR(__xludf.DUMMYFUNCTION("""COMPUTED_VALUE"""),"TRF 31-08")</f>
        <v>TRF 31-08</v>
      </c>
      <c r="AE23" s="7" t="str">
        <f>IFERROR(__xludf.DUMMYFUNCTION("""COMPUTED_VALUE"""),"OK")</f>
        <v>OK</v>
      </c>
      <c r="AF23" s="7"/>
      <c r="AG23" s="43"/>
    </row>
    <row r="24">
      <c r="A24" s="42">
        <f>IFERROR(__xludf.DUMMYFUNCTION("""COMPUTED_VALUE"""),45534.622192905095)</f>
        <v>45534.62219</v>
      </c>
      <c r="B24" s="43" t="str">
        <f>IFERROR(__xludf.DUMMYFUNCTION("""COMPUTED_VALUE"""),"Mateo")</f>
        <v>Mateo</v>
      </c>
      <c r="C24" s="43" t="str">
        <f>IFERROR(__xludf.DUMMYFUNCTION("""COMPUTED_VALUE"""),"Badorrey ")</f>
        <v>Badorrey </v>
      </c>
      <c r="D24" s="43" t="str">
        <f>IFERROR(__xludf.DUMMYFUNCTION("""COMPUTED_VALUE"""),"La Plata ")</f>
        <v>La Plata </v>
      </c>
      <c r="E24" s="7" t="str">
        <f>IFERROR(__xludf.DUMMYFUNCTION("""COMPUTED_VALUE"""),"ARG")</f>
        <v>ARG</v>
      </c>
      <c r="F24" s="7">
        <f>IFERROR(__xludf.DUMMYFUNCTION("""COMPUTED_VALUE"""),4.9426277E7)</f>
        <v>49426277</v>
      </c>
      <c r="G24" s="44">
        <f>IFERROR(__xludf.DUMMYFUNCTION("""COMPUTED_VALUE"""),39937.0)</f>
        <v>39937</v>
      </c>
      <c r="H24" s="45">
        <f>IFERROR(__xludf.DUMMYFUNCTION("""COMPUTED_VALUE"""),2.214372462E9)</f>
        <v>2214372462</v>
      </c>
      <c r="I24" s="46">
        <f>IFERROR(__xludf.DUMMYFUNCTION("""COMPUTED_VALUE"""),2.215066655E9)</f>
        <v>2215066655</v>
      </c>
      <c r="J24" s="45" t="str">
        <f>IFERROR(__xludf.DUMMYFUNCTION("""COMPUTED_VALUE"""),"marcelojbadorrey@gmail.com")</f>
        <v>marcelojbadorrey@gmail.com</v>
      </c>
      <c r="K24" s="45" t="str">
        <f>IFERROR(__xludf.DUMMYFUNCTION("""COMPUTED_VALUE"""),"Masculino")</f>
        <v>Masculino</v>
      </c>
      <c r="L24" s="43" t="str">
        <f>IFERROR(__xludf.DUMMYFUNCTION("""COMPUTED_VALUE"""),"CRLP")</f>
        <v>CRLP</v>
      </c>
      <c r="M24" s="45" t="str">
        <f>IFERROR(__xludf.DUMMYFUNCTION("""COMPUTED_VALUE"""),"Optimist Timoneles")</f>
        <v>Optimist Timoneles</v>
      </c>
      <c r="N24" s="7" t="str">
        <f>IFERROR(__xludf.DUMMYFUNCTION("""COMPUTED_VALUE"""),"OPTIMIST TIMONELES")</f>
        <v>OPTIMIST TIMONELES</v>
      </c>
      <c r="O24" s="7"/>
      <c r="P24" s="7" t="str">
        <f>IFERROR(__xludf.DUMMYFUNCTION("""COMPUTED_VALUE"""),"ARG 4043")</f>
        <v>ARG 4043</v>
      </c>
      <c r="Q24" s="45" t="str">
        <f>IFERROR(__xludf.DUMMYFUNCTION("""COMPUTED_VALUE"""),"Milocura ")</f>
        <v>Milocura </v>
      </c>
      <c r="R24" s="45"/>
      <c r="S24" s="45"/>
      <c r="T24" s="45"/>
      <c r="U24" s="45"/>
      <c r="V24" s="45"/>
      <c r="W24" s="45"/>
      <c r="X24" s="47" t="str">
        <f>IFERROR(__xludf.DUMMYFUNCTION("""COMPUTED_VALUE"""),"OSPe A604")</f>
        <v>OSPe A604</v>
      </c>
      <c r="Y24" s="7" t="str">
        <f>IFERROR(__xludf.DUMMYFUNCTION("""COMPUTED_VALUE"""),"Si")</f>
        <v>Si</v>
      </c>
      <c r="Z24" s="7" t="str">
        <f>IFERROR(__xludf.DUMMYFUNCTION("""COMPUTED_VALUE"""),"Acepto")</f>
        <v>Acepto</v>
      </c>
      <c r="AA24" s="48" t="str">
        <f>IFERROR(__xludf.DUMMYFUNCTION("""COMPUTED_VALUE"""),"Terminado")</f>
        <v>Terminado</v>
      </c>
      <c r="AB24" s="48">
        <f>IFERROR(__xludf.DUMMYFUNCTION("""COMPUTED_VALUE"""),50000.0)</f>
        <v>50000</v>
      </c>
      <c r="AC24" s="7">
        <f>IFERROR(__xludf.DUMMYFUNCTION("""COMPUTED_VALUE"""),205105.0)</f>
        <v>205105</v>
      </c>
      <c r="AD24" s="7" t="str">
        <f>IFERROR(__xludf.DUMMYFUNCTION("""COMPUTED_VALUE"""),"TRF 30-08")</f>
        <v>TRF 30-08</v>
      </c>
      <c r="AE24" s="7" t="str">
        <f>IFERROR(__xludf.DUMMYFUNCTION("""COMPUTED_VALUE"""),"OK")</f>
        <v>OK</v>
      </c>
      <c r="AF24" s="7"/>
      <c r="AG24" s="43"/>
    </row>
    <row r="25">
      <c r="A25" s="42">
        <f>IFERROR(__xludf.DUMMYFUNCTION("""COMPUTED_VALUE"""),45537.38054569444)</f>
        <v>45537.38055</v>
      </c>
      <c r="B25" s="43" t="str">
        <f>IFERROR(__xludf.DUMMYFUNCTION("""COMPUTED_VALUE"""),"Alfredo Enrique ")</f>
        <v>Alfredo Enrique </v>
      </c>
      <c r="C25" s="43" t="str">
        <f>IFERROR(__xludf.DUMMYFUNCTION("""COMPUTED_VALUE"""),"Bafico Trench ")</f>
        <v>Bafico Trench </v>
      </c>
      <c r="D25" s="43" t="str">
        <f>IFERROR(__xludf.DUMMYFUNCTION("""COMPUTED_VALUE"""),"CABA")</f>
        <v>CABA</v>
      </c>
      <c r="E25" s="7" t="str">
        <f>IFERROR(__xludf.DUMMYFUNCTION("""COMPUTED_VALUE"""),"ARG")</f>
        <v>ARG</v>
      </c>
      <c r="F25" s="7">
        <f>IFERROR(__xludf.DUMMYFUNCTION("""COMPUTED_VALUE"""),2.8997106E7)</f>
        <v>28997106</v>
      </c>
      <c r="G25" s="44">
        <f>IFERROR(__xludf.DUMMYFUNCTION("""COMPUTED_VALUE"""),29842.0)</f>
        <v>29842</v>
      </c>
      <c r="H25" s="45">
        <f>IFERROR(__xludf.DUMMYFUNCTION("""COMPUTED_VALUE"""),1.162788414E9)</f>
        <v>1162788414</v>
      </c>
      <c r="I25" s="45">
        <f>IFERROR(__xludf.DUMMYFUNCTION("""COMPUTED_VALUE"""),1.150047649E9)</f>
        <v>1150047649</v>
      </c>
      <c r="J25" s="45" t="str">
        <f>IFERROR(__xludf.DUMMYFUNCTION("""COMPUTED_VALUE"""),"abaficotrench@gmail.com")</f>
        <v>abaficotrench@gmail.com</v>
      </c>
      <c r="K25" s="45" t="str">
        <f>IFERROR(__xludf.DUMMYFUNCTION("""COMPUTED_VALUE"""),"Masculino")</f>
        <v>Masculino</v>
      </c>
      <c r="L25" s="43" t="str">
        <f>IFERROR(__xludf.DUMMYFUNCTION("""COMPUTED_VALUE"""),"CNGSM")</f>
        <v>CNGSM</v>
      </c>
      <c r="M25" s="45" t="str">
        <f>IFERROR(__xludf.DUMMYFUNCTION("""COMPUTED_VALUE"""),"Optimist Timoneles instructor ")</f>
        <v>Optimist Timoneles instructor </v>
      </c>
      <c r="N25" s="7" t="str">
        <f>IFERROR(__xludf.DUMMYFUNCTION("""COMPUTED_VALUE"""),"OPTIMIST TIMONELES")</f>
        <v>OPTIMIST TIMONELES</v>
      </c>
      <c r="O25" s="7"/>
      <c r="P25" s="7">
        <f>IFERROR(__xludf.DUMMYFUNCTION("""COMPUTED_VALUE"""),1.0)</f>
        <v>1</v>
      </c>
      <c r="Q25" s="45">
        <f>IFERROR(__xludf.DUMMYFUNCTION("""COMPUTED_VALUE"""),1.0)</f>
        <v>1</v>
      </c>
      <c r="R25" s="46"/>
      <c r="S25" s="45"/>
      <c r="T25" s="45"/>
      <c r="U25" s="45"/>
      <c r="V25" s="45"/>
      <c r="W25" s="45"/>
      <c r="X25" s="47"/>
      <c r="Y25" s="7" t="str">
        <f>IFERROR(__xludf.DUMMYFUNCTION("""COMPUTED_VALUE"""),"No")</f>
        <v>No</v>
      </c>
      <c r="Z25" s="7" t="str">
        <f>IFERROR(__xludf.DUMMYFUNCTION("""COMPUTED_VALUE"""),"Acepto")</f>
        <v>Acepto</v>
      </c>
      <c r="AA25" s="48" t="str">
        <f>IFERROR(__xludf.DUMMYFUNCTION("""COMPUTED_VALUE"""),"Pendiente")</f>
        <v>Pendiente</v>
      </c>
      <c r="AB25" s="48"/>
      <c r="AC25" s="7"/>
      <c r="AD25" s="7"/>
      <c r="AE25" s="7" t="str">
        <f>IFERROR(__xludf.DUMMYFUNCTION("""COMPUTED_VALUE"""),"No Corresp")</f>
        <v>No Corresp</v>
      </c>
      <c r="AF25" s="7"/>
      <c r="AG25" s="43"/>
    </row>
    <row r="26">
      <c r="A26" s="19">
        <f>IFERROR(__xludf.DUMMYFUNCTION("""COMPUTED_VALUE"""),45519.81226892361)</f>
        <v>45519.81227</v>
      </c>
      <c r="B26" s="20" t="str">
        <f>IFERROR(__xludf.DUMMYFUNCTION("""COMPUTED_VALUE"""),"Exequiel ")</f>
        <v>Exequiel </v>
      </c>
      <c r="C26" s="20" t="str">
        <f>IFERROR(__xludf.DUMMYFUNCTION("""COMPUTED_VALUE"""),"Balbarrey ")</f>
        <v>Balbarrey </v>
      </c>
      <c r="D26" s="20" t="str">
        <f>IFERROR(__xludf.DUMMYFUNCTION("""COMPUTED_VALUE"""),"Santa fe ")</f>
        <v>Santa fe </v>
      </c>
      <c r="E26" s="21" t="str">
        <f>IFERROR(__xludf.DUMMYFUNCTION("""COMPUTED_VALUE"""),"ARG")</f>
        <v>ARG</v>
      </c>
      <c r="F26" s="21">
        <f>IFERROR(__xludf.DUMMYFUNCTION("""COMPUTED_VALUE"""),2.3160506E7)</f>
        <v>23160506</v>
      </c>
      <c r="G26" s="22">
        <f>IFERROR(__xludf.DUMMYFUNCTION("""COMPUTED_VALUE"""),26723.0)</f>
        <v>26723</v>
      </c>
      <c r="H26" s="21">
        <f>IFERROR(__xludf.DUMMYFUNCTION("""COMPUTED_VALUE"""),3.426306642E9)</f>
        <v>3426306642</v>
      </c>
      <c r="I26" s="21">
        <f>IFERROR(__xludf.DUMMYFUNCTION("""COMPUTED_VALUE"""),3.42057667E8)</f>
        <v>342057667</v>
      </c>
      <c r="J26" s="29" t="str">
        <f>IFERROR(__xludf.DUMMYFUNCTION("""COMPUTED_VALUE"""),"exequielbalbarrey@hotmail.com")</f>
        <v>exequielbalbarrey@hotmail.com</v>
      </c>
      <c r="K26" s="21" t="str">
        <f>IFERROR(__xludf.DUMMYFUNCTION("""COMPUTED_VALUE"""),"Masculino")</f>
        <v>Masculino</v>
      </c>
      <c r="L26" s="23" t="str">
        <f>IFERROR(__xludf.DUMMYFUNCTION("""COMPUTED_VALUE"""),"CNS")</f>
        <v>CNS</v>
      </c>
      <c r="M26" s="20"/>
      <c r="N26" s="21" t="str">
        <f>IFERROR(__xludf.DUMMYFUNCTION("""COMPUTED_VALUE"""),"WING FOIL")</f>
        <v>WING FOIL</v>
      </c>
      <c r="O26" s="21"/>
      <c r="P26" s="21">
        <f>IFERROR(__xludf.DUMMYFUNCTION("""COMPUTED_VALUE"""),10.0)</f>
        <v>10</v>
      </c>
      <c r="Q26" s="20"/>
      <c r="R26" s="20"/>
      <c r="S26" s="20"/>
      <c r="T26" s="20"/>
      <c r="U26" s="20"/>
      <c r="V26" s="20"/>
      <c r="W26" s="20"/>
      <c r="X26" s="24" t="str">
        <f>IFERROR(__xludf.DUMMYFUNCTION("""COMPUTED_VALUE"""),"Sanatorio santa fe ")</f>
        <v>Sanatorio santa fe </v>
      </c>
      <c r="Y26" s="21" t="str">
        <f>IFERROR(__xludf.DUMMYFUNCTION("""COMPUTED_VALUE"""),"Si")</f>
        <v>Si</v>
      </c>
      <c r="Z26" s="21" t="str">
        <f>IFERROR(__xludf.DUMMYFUNCTION("""COMPUTED_VALUE"""),"Acepto")</f>
        <v>Acepto</v>
      </c>
      <c r="AA26" s="18" t="str">
        <f>IFERROR(__xludf.DUMMYFUNCTION("""COMPUTED_VALUE"""),"Terminado")</f>
        <v>Terminado</v>
      </c>
      <c r="AB26" s="18">
        <f>IFERROR(__xludf.DUMMYFUNCTION("""COMPUTED_VALUE"""),10000.0)</f>
        <v>10000</v>
      </c>
      <c r="AC26" s="7">
        <f>IFERROR(__xludf.DUMMYFUNCTION("""COMPUTED_VALUE"""),205586.0)</f>
        <v>205586</v>
      </c>
      <c r="AD26" s="7" t="str">
        <f>IFERROR(__xludf.DUMMYFUNCTION("""COMPUTED_VALUE"""),"TRF 08-09")</f>
        <v>TRF 08-09</v>
      </c>
      <c r="AE26" s="7" t="str">
        <f>IFERROR(__xludf.DUMMYFUNCTION("""COMPUTED_VALUE"""),"No Corresp")</f>
        <v>No Corresp</v>
      </c>
      <c r="AF26" s="21"/>
      <c r="AG26" s="23"/>
    </row>
    <row r="27">
      <c r="A27" s="19">
        <f>IFERROR(__xludf.DUMMYFUNCTION("""COMPUTED_VALUE"""),45519.79750144676)</f>
        <v>45519.7975</v>
      </c>
      <c r="B27" s="20" t="str">
        <f>IFERROR(__xludf.DUMMYFUNCTION("""COMPUTED_VALUE"""),"Joaquin")</f>
        <v>Joaquin</v>
      </c>
      <c r="C27" s="20" t="str">
        <f>IFERROR(__xludf.DUMMYFUNCTION("""COMPUTED_VALUE"""),"Balbuena")</f>
        <v>Balbuena</v>
      </c>
      <c r="D27" s="20" t="str">
        <f>IFERROR(__xludf.DUMMYFUNCTION("""COMPUTED_VALUE"""),"Buenos aires")</f>
        <v>Buenos aires</v>
      </c>
      <c r="E27" s="21" t="str">
        <f>IFERROR(__xludf.DUMMYFUNCTION("""COMPUTED_VALUE"""),"ARG")</f>
        <v>ARG</v>
      </c>
      <c r="F27" s="21">
        <f>IFERROR(__xludf.DUMMYFUNCTION("""COMPUTED_VALUE"""),4.9835037E7)</f>
        <v>49835037</v>
      </c>
      <c r="G27" s="38">
        <f>IFERROR(__xludf.DUMMYFUNCTION("""COMPUTED_VALUE"""),40080.0)</f>
        <v>40080</v>
      </c>
      <c r="H27" s="39">
        <f>IFERROR(__xludf.DUMMYFUNCTION("""COMPUTED_VALUE"""),1.131963911E9)</f>
        <v>1131963911</v>
      </c>
      <c r="I27" s="20">
        <f>IFERROR(__xludf.DUMMYFUNCTION("""COMPUTED_VALUE"""),1.131963911E9)</f>
        <v>1131963911</v>
      </c>
      <c r="J27" s="20" t="str">
        <f>IFERROR(__xludf.DUMMYFUNCTION("""COMPUTED_VALUE"""),"Euge611@gmail.com")</f>
        <v>Euge611@gmail.com</v>
      </c>
      <c r="K27" s="20" t="str">
        <f>IFERROR(__xludf.DUMMYFUNCTION("""COMPUTED_VALUE"""),"Masculino")</f>
        <v>Masculino</v>
      </c>
      <c r="L27" s="23" t="str">
        <f>IFERROR(__xludf.DUMMYFUNCTION("""COMPUTED_VALUE"""),"BARRANCAS")</f>
        <v>BARRANCAS</v>
      </c>
      <c r="M27" s="20"/>
      <c r="N27" s="21" t="str">
        <f>IFERROR(__xludf.DUMMYFUNCTION("""COMPUTED_VALUE"""),"OPTIMIST TIMONELES")</f>
        <v>OPTIMIST TIMONELES</v>
      </c>
      <c r="O27" s="21"/>
      <c r="P27" s="21">
        <f>IFERROR(__xludf.DUMMYFUNCTION("""COMPUTED_VALUE"""),4032.0)</f>
        <v>4032</v>
      </c>
      <c r="Q27" s="20"/>
      <c r="R27" s="20"/>
      <c r="S27" s="20"/>
      <c r="T27" s="20"/>
      <c r="U27" s="20"/>
      <c r="V27" s="20"/>
      <c r="W27" s="20"/>
      <c r="X27" s="24" t="str">
        <f>IFERROR(__xludf.DUMMYFUNCTION("""COMPUTED_VALUE"""),"Swiss")</f>
        <v>Swiss</v>
      </c>
      <c r="Y27" s="21" t="str">
        <f>IFERROR(__xludf.DUMMYFUNCTION("""COMPUTED_VALUE"""),"Si")</f>
        <v>Si</v>
      </c>
      <c r="Z27" s="21" t="str">
        <f>IFERROR(__xludf.DUMMYFUNCTION("""COMPUTED_VALUE"""),"Acepto")</f>
        <v>Acepto</v>
      </c>
      <c r="AA27" s="18" t="str">
        <f>IFERROR(__xludf.DUMMYFUNCTION("""COMPUTED_VALUE"""),"Repetido")</f>
        <v>Repetido</v>
      </c>
      <c r="AB27" s="18"/>
      <c r="AC27" s="7"/>
      <c r="AD27" s="7"/>
      <c r="AE27" s="7" t="str">
        <f>IFERROR(__xludf.DUMMYFUNCTION("""COMPUTED_VALUE"""),"OK")</f>
        <v>OK</v>
      </c>
      <c r="AF27" s="21"/>
      <c r="AG27" s="23"/>
    </row>
    <row r="28">
      <c r="A28" s="31">
        <f>IFERROR(__xludf.DUMMYFUNCTION("""COMPUTED_VALUE"""),45519.79949523148)</f>
        <v>45519.7995</v>
      </c>
      <c r="B28" s="12" t="str">
        <f>IFERROR(__xludf.DUMMYFUNCTION("""COMPUTED_VALUE"""),"Fran")</f>
        <v>Fran</v>
      </c>
      <c r="C28" s="12" t="str">
        <f>IFERROR(__xludf.DUMMYFUNCTION("""COMPUTED_VALUE"""),"Balbuena")</f>
        <v>Balbuena</v>
      </c>
      <c r="D28" s="12" t="str">
        <f>IFERROR(__xludf.DUMMYFUNCTION("""COMPUTED_VALUE"""),"Buenos aires")</f>
        <v>Buenos aires</v>
      </c>
      <c r="E28" s="13" t="str">
        <f>IFERROR(__xludf.DUMMYFUNCTION("""COMPUTED_VALUE"""),"ARG")</f>
        <v>ARG</v>
      </c>
      <c r="F28" s="13">
        <f>IFERROR(__xludf.DUMMYFUNCTION("""COMPUTED_VALUE"""),5.2676878E7)</f>
        <v>52676878</v>
      </c>
      <c r="G28" s="33">
        <f>IFERROR(__xludf.DUMMYFUNCTION("""COMPUTED_VALUE"""),41122.0)</f>
        <v>41122</v>
      </c>
      <c r="H28" s="13">
        <f>IFERROR(__xludf.DUMMYFUNCTION("""COMPUTED_VALUE"""),1.131963911E9)</f>
        <v>1131963911</v>
      </c>
      <c r="I28" s="37">
        <f>IFERROR(__xludf.DUMMYFUNCTION("""COMPUTED_VALUE"""),1.131963911E9)</f>
        <v>1131963911</v>
      </c>
      <c r="J28" s="13" t="str">
        <f>IFERROR(__xludf.DUMMYFUNCTION("""COMPUTED_VALUE"""),"Euge611@gmail.com")</f>
        <v>Euge611@gmail.com</v>
      </c>
      <c r="K28" s="13" t="str">
        <f>IFERROR(__xludf.DUMMYFUNCTION("""COMPUTED_VALUE"""),"Masculino")</f>
        <v>Masculino</v>
      </c>
      <c r="L28" s="16" t="str">
        <f>IFERROR(__xludf.DUMMYFUNCTION("""COMPUTED_VALUE"""),"BARRANCAS")</f>
        <v>BARRANCAS</v>
      </c>
      <c r="M28" s="12"/>
      <c r="N28" s="13" t="str">
        <f>IFERROR(__xludf.DUMMYFUNCTION("""COMPUTED_VALUE"""),"OPTIMIST TIMONELES")</f>
        <v>OPTIMIST TIMONELES</v>
      </c>
      <c r="O28" s="13"/>
      <c r="P28" s="13">
        <f>IFERROR(__xludf.DUMMYFUNCTION("""COMPUTED_VALUE"""),4092.0)</f>
        <v>4092</v>
      </c>
      <c r="Q28" s="13"/>
      <c r="R28" s="13"/>
      <c r="S28" s="13"/>
      <c r="T28" s="13"/>
      <c r="U28" s="13"/>
      <c r="V28" s="12"/>
      <c r="W28" s="12"/>
      <c r="X28" s="17" t="str">
        <f>IFERROR(__xludf.DUMMYFUNCTION("""COMPUTED_VALUE"""),"Swiss")</f>
        <v>Swiss</v>
      </c>
      <c r="Y28" s="13" t="str">
        <f>IFERROR(__xludf.DUMMYFUNCTION("""COMPUTED_VALUE"""),"Si")</f>
        <v>Si</v>
      </c>
      <c r="Z28" s="13" t="str">
        <f>IFERROR(__xludf.DUMMYFUNCTION("""COMPUTED_VALUE"""),"Acepto")</f>
        <v>Acepto</v>
      </c>
      <c r="AA28" s="18" t="str">
        <f>IFERROR(__xludf.DUMMYFUNCTION("""COMPUTED_VALUE"""),"Repetido")</f>
        <v>Repetido</v>
      </c>
      <c r="AB28" s="18"/>
      <c r="AC28" s="7"/>
      <c r="AD28" s="7"/>
      <c r="AE28" s="7" t="str">
        <f>IFERROR(__xludf.DUMMYFUNCTION("""COMPUTED_VALUE"""),"OK")</f>
        <v>OK</v>
      </c>
      <c r="AF28" s="21"/>
      <c r="AG28" s="23"/>
    </row>
    <row r="29">
      <c r="A29" s="31">
        <f>IFERROR(__xludf.DUMMYFUNCTION("""COMPUTED_VALUE"""),45525.700451956014)</f>
        <v>45525.70045</v>
      </c>
      <c r="B29" s="12" t="str">
        <f>IFERROR(__xludf.DUMMYFUNCTION("""COMPUTED_VALUE"""),"Cayetana")</f>
        <v>Cayetana</v>
      </c>
      <c r="C29" s="12" t="str">
        <f>IFERROR(__xludf.DUMMYFUNCTION("""COMPUTED_VALUE"""),"Balbuena")</f>
        <v>Balbuena</v>
      </c>
      <c r="D29" s="12" t="str">
        <f>IFERROR(__xludf.DUMMYFUNCTION("""COMPUTED_VALUE"""),"Bs As")</f>
        <v>Bs As</v>
      </c>
      <c r="E29" s="13" t="str">
        <f>IFERROR(__xludf.DUMMYFUNCTION("""COMPUTED_VALUE"""),"ARG")</f>
        <v>ARG</v>
      </c>
      <c r="F29" s="13">
        <f>IFERROR(__xludf.DUMMYFUNCTION("""COMPUTED_VALUE"""),5.0235461E7)</f>
        <v>50235461</v>
      </c>
      <c r="G29" s="33">
        <f>IFERROR(__xludf.DUMMYFUNCTION("""COMPUTED_VALUE"""),40310.0)</f>
        <v>40310</v>
      </c>
      <c r="H29" s="13">
        <f>IFERROR(__xludf.DUMMYFUNCTION("""COMPUTED_VALUE"""),5.4638567E7)</f>
        <v>54638567</v>
      </c>
      <c r="I29" s="37" t="str">
        <f>IFERROR(__xludf.DUMMYFUNCTION("""COMPUTED_VALUE"""),"40692753 54638567")</f>
        <v>40692753 54638567</v>
      </c>
      <c r="J29" s="13" t="str">
        <f>IFERROR(__xludf.DUMMYFUNCTION("""COMPUTED_VALUE"""),"sbalbuena@mcca.com.ar")</f>
        <v>sbalbuena@mcca.com.ar</v>
      </c>
      <c r="K29" s="13" t="str">
        <f>IFERROR(__xludf.DUMMYFUNCTION("""COMPUTED_VALUE"""),"Femenino")</f>
        <v>Femenino</v>
      </c>
      <c r="L29" s="16" t="str">
        <f>IFERROR(__xludf.DUMMYFUNCTION("""COMPUTED_VALUE"""),"CPNLB")</f>
        <v>CPNLB</v>
      </c>
      <c r="M29" s="12" t="str">
        <f>IFERROR(__xludf.DUMMYFUNCTION("""COMPUTED_VALUE"""),"Femenino")</f>
        <v>Femenino</v>
      </c>
      <c r="N29" s="13" t="str">
        <f>IFERROR(__xludf.DUMMYFUNCTION("""COMPUTED_VALUE"""),"OPTIMIST TIMONELES")</f>
        <v>OPTIMIST TIMONELES</v>
      </c>
      <c r="O29" s="13"/>
      <c r="P29" s="13" t="str">
        <f>IFERROR(__xludf.DUMMYFUNCTION("""COMPUTED_VALUE"""),"Arg 4061")</f>
        <v>Arg 4061</v>
      </c>
      <c r="Q29" s="13"/>
      <c r="R29" s="13"/>
      <c r="S29" s="13"/>
      <c r="T29" s="13"/>
      <c r="U29" s="13"/>
      <c r="V29" s="12"/>
      <c r="W29" s="12"/>
      <c r="X29" s="17" t="str">
        <f>IFERROR(__xludf.DUMMYFUNCTION("""COMPUTED_VALUE"""),"Osde")</f>
        <v>Osde</v>
      </c>
      <c r="Y29" s="13" t="str">
        <f>IFERROR(__xludf.DUMMYFUNCTION("""COMPUTED_VALUE"""),"Si")</f>
        <v>Si</v>
      </c>
      <c r="Z29" s="13" t="str">
        <f>IFERROR(__xludf.DUMMYFUNCTION("""COMPUTED_VALUE"""),"Acepto")</f>
        <v>Acepto</v>
      </c>
      <c r="AA29" s="18" t="str">
        <f>IFERROR(__xludf.DUMMYFUNCTION("""COMPUTED_VALUE"""),"Pendiente")</f>
        <v>Pendiente</v>
      </c>
      <c r="AB29" s="18"/>
      <c r="AC29" s="7"/>
      <c r="AD29" s="7"/>
      <c r="AE29" s="7" t="str">
        <f>IFERROR(__xludf.DUMMYFUNCTION("""COMPUTED_VALUE"""),"OK")</f>
        <v>OK</v>
      </c>
      <c r="AF29" s="21" t="str">
        <f>IFERROR(__xludf.DUMMYFUNCTION("""COMPUTED_VALUE"""),"SI")</f>
        <v>SI</v>
      </c>
      <c r="AG29" s="23"/>
    </row>
    <row r="30">
      <c r="A30" s="42">
        <f>IFERROR(__xludf.DUMMYFUNCTION("""COMPUTED_VALUE"""),45535.441129189814)</f>
        <v>45535.44113</v>
      </c>
      <c r="B30" s="43" t="str">
        <f>IFERROR(__xludf.DUMMYFUNCTION("""COMPUTED_VALUE"""),"Joaco")</f>
        <v>Joaco</v>
      </c>
      <c r="C30" s="43" t="str">
        <f>IFERROR(__xludf.DUMMYFUNCTION("""COMPUTED_VALUE"""),"Balbuena")</f>
        <v>Balbuena</v>
      </c>
      <c r="D30" s="43" t="str">
        <f>IFERROR(__xludf.DUMMYFUNCTION("""COMPUTED_VALUE"""),"Acassuso")</f>
        <v>Acassuso</v>
      </c>
      <c r="E30" s="7" t="str">
        <f>IFERROR(__xludf.DUMMYFUNCTION("""COMPUTED_VALUE"""),"ARG")</f>
        <v>ARG</v>
      </c>
      <c r="F30" s="7">
        <f>IFERROR(__xludf.DUMMYFUNCTION("""COMPUTED_VALUE"""),4.9835037E7)</f>
        <v>49835037</v>
      </c>
      <c r="G30" s="44">
        <f>IFERROR(__xludf.DUMMYFUNCTION("""COMPUTED_VALUE"""),40080.0)</f>
        <v>40080</v>
      </c>
      <c r="H30" s="45">
        <f>IFERROR(__xludf.DUMMYFUNCTION("""COMPUTED_VALUE"""),1.131963911E9)</f>
        <v>1131963911</v>
      </c>
      <c r="I30" s="46"/>
      <c r="J30" s="45" t="str">
        <f>IFERROR(__xludf.DUMMYFUNCTION("""COMPUTED_VALUE"""),"euge611@gmail.com")</f>
        <v>euge611@gmail.com</v>
      </c>
      <c r="K30" s="45" t="str">
        <f>IFERROR(__xludf.DUMMYFUNCTION("""COMPUTED_VALUE"""),"Masculino")</f>
        <v>Masculino</v>
      </c>
      <c r="L30" s="43" t="str">
        <f>IFERROR(__xludf.DUMMYFUNCTION("""COMPUTED_VALUE"""),"BARRANCAS")</f>
        <v>BARRANCAS</v>
      </c>
      <c r="M30" s="45"/>
      <c r="N30" s="7" t="str">
        <f>IFERROR(__xludf.DUMMYFUNCTION("""COMPUTED_VALUE"""),"OPTIMIST TIMONELES")</f>
        <v>OPTIMIST TIMONELES</v>
      </c>
      <c r="O30" s="7"/>
      <c r="P30" s="7">
        <f>IFERROR(__xludf.DUMMYFUNCTION("""COMPUTED_VALUE"""),4032.0)</f>
        <v>4032</v>
      </c>
      <c r="Q30" s="45"/>
      <c r="R30" s="45"/>
      <c r="S30" s="45"/>
      <c r="T30" s="45"/>
      <c r="U30" s="45"/>
      <c r="V30" s="45"/>
      <c r="W30" s="45"/>
      <c r="X30" s="47" t="str">
        <f>IFERROR(__xludf.DUMMYFUNCTION("""COMPUTED_VALUE"""),"Swiss medical")</f>
        <v>Swiss medical</v>
      </c>
      <c r="Y30" s="7" t="str">
        <f>IFERROR(__xludf.DUMMYFUNCTION("""COMPUTED_VALUE"""),"Si")</f>
        <v>Si</v>
      </c>
      <c r="Z30" s="7" t="str">
        <f>IFERROR(__xludf.DUMMYFUNCTION("""COMPUTED_VALUE"""),"Acepto")</f>
        <v>Acepto</v>
      </c>
      <c r="AA30" s="18" t="str">
        <f>IFERROR(__xludf.DUMMYFUNCTION("""COMPUTED_VALUE"""),"Terminado")</f>
        <v>Terminado</v>
      </c>
      <c r="AB30" s="18">
        <f>IFERROR(__xludf.DUMMYFUNCTION("""COMPUTED_VALUE"""),50000.0)</f>
        <v>50000</v>
      </c>
      <c r="AC30" s="7">
        <f>IFERROR(__xludf.DUMMYFUNCTION("""COMPUTED_VALUE"""),205115.0)</f>
        <v>205115</v>
      </c>
      <c r="AD30" s="7" t="str">
        <f>IFERROR(__xludf.DUMMYFUNCTION("""COMPUTED_VALUE"""),"Tarj 31-08")</f>
        <v>Tarj 31-08</v>
      </c>
      <c r="AE30" s="7" t="str">
        <f>IFERROR(__xludf.DUMMYFUNCTION("""COMPUTED_VALUE"""),"OK")</f>
        <v>OK</v>
      </c>
      <c r="AF30" s="21" t="str">
        <f>IFERROR(__xludf.DUMMYFUNCTION("""COMPUTED_VALUE"""),"SI")</f>
        <v>SI</v>
      </c>
      <c r="AG30" s="23"/>
    </row>
    <row r="31">
      <c r="A31" s="42">
        <f>IFERROR(__xludf.DUMMYFUNCTION("""COMPUTED_VALUE"""),45535.44225677083)</f>
        <v>45535.44226</v>
      </c>
      <c r="B31" s="43" t="str">
        <f>IFERROR(__xludf.DUMMYFUNCTION("""COMPUTED_VALUE"""),"Fran")</f>
        <v>Fran</v>
      </c>
      <c r="C31" s="43" t="str">
        <f>IFERROR(__xludf.DUMMYFUNCTION("""COMPUTED_VALUE"""),"Balbuena")</f>
        <v>Balbuena</v>
      </c>
      <c r="D31" s="43" t="str">
        <f>IFERROR(__xludf.DUMMYFUNCTION("""COMPUTED_VALUE"""),"Acassuso")</f>
        <v>Acassuso</v>
      </c>
      <c r="E31" s="7" t="str">
        <f>IFERROR(__xludf.DUMMYFUNCTION("""COMPUTED_VALUE"""),"ARG")</f>
        <v>ARG</v>
      </c>
      <c r="F31" s="7">
        <f>IFERROR(__xludf.DUMMYFUNCTION("""COMPUTED_VALUE"""),5.2676878E7)</f>
        <v>52676878</v>
      </c>
      <c r="G31" s="44">
        <f>IFERROR(__xludf.DUMMYFUNCTION("""COMPUTED_VALUE"""),41122.0)</f>
        <v>41122</v>
      </c>
      <c r="H31" s="45">
        <f>IFERROR(__xludf.DUMMYFUNCTION("""COMPUTED_VALUE"""),1.131963911E9)</f>
        <v>1131963911</v>
      </c>
      <c r="I31" s="45"/>
      <c r="J31" s="45" t="str">
        <f>IFERROR(__xludf.DUMMYFUNCTION("""COMPUTED_VALUE"""),"euge611@gmail.com")</f>
        <v>euge611@gmail.com</v>
      </c>
      <c r="K31" s="45" t="str">
        <f>IFERROR(__xludf.DUMMYFUNCTION("""COMPUTED_VALUE"""),"Masculino")</f>
        <v>Masculino</v>
      </c>
      <c r="L31" s="43" t="str">
        <f>IFERROR(__xludf.DUMMYFUNCTION("""COMPUTED_VALUE"""),"BARRANCAS")</f>
        <v>BARRANCAS</v>
      </c>
      <c r="M31" s="45"/>
      <c r="N31" s="7" t="str">
        <f>IFERROR(__xludf.DUMMYFUNCTION("""COMPUTED_VALUE"""),"OPTIMIST TIMONELES")</f>
        <v>OPTIMIST TIMONELES</v>
      </c>
      <c r="O31" s="7"/>
      <c r="P31" s="7">
        <f>IFERROR(__xludf.DUMMYFUNCTION("""COMPUTED_VALUE"""),4092.0)</f>
        <v>4092</v>
      </c>
      <c r="Q31" s="45"/>
      <c r="R31" s="45"/>
      <c r="S31" s="45"/>
      <c r="T31" s="45"/>
      <c r="U31" s="45"/>
      <c r="V31" s="45"/>
      <c r="W31" s="45"/>
      <c r="X31" s="47" t="str">
        <f>IFERROR(__xludf.DUMMYFUNCTION("""COMPUTED_VALUE"""),"Swiss medical")</f>
        <v>Swiss medical</v>
      </c>
      <c r="Y31" s="7" t="str">
        <f>IFERROR(__xludf.DUMMYFUNCTION("""COMPUTED_VALUE"""),"Si")</f>
        <v>Si</v>
      </c>
      <c r="Z31" s="7" t="str">
        <f>IFERROR(__xludf.DUMMYFUNCTION("""COMPUTED_VALUE"""),"Acepto")</f>
        <v>Acepto</v>
      </c>
      <c r="AA31" s="48" t="str">
        <f>IFERROR(__xludf.DUMMYFUNCTION("""COMPUTED_VALUE"""),"Terminado")</f>
        <v>Terminado</v>
      </c>
      <c r="AB31" s="48">
        <f>IFERROR(__xludf.DUMMYFUNCTION("""COMPUTED_VALUE"""),50000.0)</f>
        <v>50000</v>
      </c>
      <c r="AC31" s="7">
        <f>IFERROR(__xludf.DUMMYFUNCTION("""COMPUTED_VALUE"""),205115.0)</f>
        <v>205115</v>
      </c>
      <c r="AD31" s="7" t="str">
        <f>IFERROR(__xludf.DUMMYFUNCTION("""COMPUTED_VALUE"""),"Tarj 31-08")</f>
        <v>Tarj 31-08</v>
      </c>
      <c r="AE31" s="7" t="str">
        <f>IFERROR(__xludf.DUMMYFUNCTION("""COMPUTED_VALUE"""),"OK")</f>
        <v>OK</v>
      </c>
      <c r="AF31" s="7" t="str">
        <f>IFERROR(__xludf.DUMMYFUNCTION("""COMPUTED_VALUE"""),"SI")</f>
        <v>SI</v>
      </c>
      <c r="AG31" s="43"/>
    </row>
    <row r="32">
      <c r="A32" s="19">
        <f>IFERROR(__xludf.DUMMYFUNCTION("""COMPUTED_VALUE"""),45536.43948997685)</f>
        <v>45536.43949</v>
      </c>
      <c r="B32" s="20" t="str">
        <f>IFERROR(__xludf.DUMMYFUNCTION("""COMPUTED_VALUE"""),"Lola")</f>
        <v>Lola</v>
      </c>
      <c r="C32" s="20" t="str">
        <f>IFERROR(__xludf.DUMMYFUNCTION("""COMPUTED_VALUE"""),"Barceló")</f>
        <v>Barceló</v>
      </c>
      <c r="D32" s="20" t="str">
        <f>IFERROR(__xludf.DUMMYFUNCTION("""COMPUTED_VALUE"""),"San Pedro")</f>
        <v>San Pedro</v>
      </c>
      <c r="E32" s="21" t="str">
        <f>IFERROR(__xludf.DUMMYFUNCTION("""COMPUTED_VALUE"""),"ARG")</f>
        <v>ARG</v>
      </c>
      <c r="F32" s="21">
        <f>IFERROR(__xludf.DUMMYFUNCTION("""COMPUTED_VALUE"""),2.5096935E7)</f>
        <v>25096935</v>
      </c>
      <c r="G32" s="38">
        <f>IFERROR(__xludf.DUMMYFUNCTION("""COMPUTED_VALUE"""),41145.0)</f>
        <v>41145</v>
      </c>
      <c r="H32" s="39" t="str">
        <f>IFERROR(__xludf.DUMMYFUNCTION("""COMPUTED_VALUE"""),"11 5835 5770")</f>
        <v>11 5835 5770</v>
      </c>
      <c r="I32" s="20" t="str">
        <f>IFERROR(__xludf.DUMMYFUNCTION("""COMPUTED_VALUE"""),"11 5835 5770 ")</f>
        <v>11 5835 5770 </v>
      </c>
      <c r="J32" s="20" t="str">
        <f>IFERROR(__xludf.DUMMYFUNCTION("""COMPUTED_VALUE"""),"sole_mz@yahoo.com.ar")</f>
        <v>sole_mz@yahoo.com.ar</v>
      </c>
      <c r="K32" s="20" t="str">
        <f>IFERROR(__xludf.DUMMYFUNCTION("""COMPUTED_VALUE"""),"Femenino")</f>
        <v>Femenino</v>
      </c>
      <c r="L32" s="23" t="str">
        <f>IFERROR(__xludf.DUMMYFUNCTION("""COMPUTED_VALUE"""),"CNSP")</f>
        <v>CNSP</v>
      </c>
      <c r="M32" s="20" t="str">
        <f>IFERROR(__xludf.DUMMYFUNCTION("""COMPUTED_VALUE"""),"Femenino, Interior (Optimist)")</f>
        <v>Femenino, Interior (Optimist)</v>
      </c>
      <c r="N32" s="21" t="str">
        <f>IFERROR(__xludf.DUMMYFUNCTION("""COMPUTED_VALUE"""),"OPTIMIST TIMONELES")</f>
        <v>OPTIMIST TIMONELES</v>
      </c>
      <c r="O32" s="21"/>
      <c r="P32" s="21">
        <f>IFERROR(__xludf.DUMMYFUNCTION("""COMPUTED_VALUE"""),3908.0)</f>
        <v>3908</v>
      </c>
      <c r="Q32" s="20"/>
      <c r="R32" s="20"/>
      <c r="S32" s="20"/>
      <c r="T32" s="20"/>
      <c r="U32" s="20"/>
      <c r="V32" s="20"/>
      <c r="W32" s="20"/>
      <c r="X32" s="24" t="str">
        <f>IFERROR(__xludf.DUMMYFUNCTION("""COMPUTED_VALUE"""),"Swiss Medical")</f>
        <v>Swiss Medical</v>
      </c>
      <c r="Y32" s="21" t="str">
        <f>IFERROR(__xludf.DUMMYFUNCTION("""COMPUTED_VALUE"""),"Si")</f>
        <v>Si</v>
      </c>
      <c r="Z32" s="21" t="str">
        <f>IFERROR(__xludf.DUMMYFUNCTION("""COMPUTED_VALUE"""),"Acepto")</f>
        <v>Acepto</v>
      </c>
      <c r="AA32" s="18" t="str">
        <f>IFERROR(__xludf.DUMMYFUNCTION("""COMPUTED_VALUE"""),"Terminado")</f>
        <v>Terminado</v>
      </c>
      <c r="AB32" s="18">
        <f>IFERROR(__xludf.DUMMYFUNCTION("""COMPUTED_VALUE"""),42500.0)</f>
        <v>42500</v>
      </c>
      <c r="AC32" s="7">
        <f>IFERROR(__xludf.DUMMYFUNCTION("""COMPUTED_VALUE"""),205376.0)</f>
        <v>205376</v>
      </c>
      <c r="AD32" s="7" t="str">
        <f>IFERROR(__xludf.DUMMYFUNCTION("""COMPUTED_VALUE"""),"TRF 02-09")</f>
        <v>TRF 02-09</v>
      </c>
      <c r="AE32" s="7" t="str">
        <f>IFERROR(__xludf.DUMMYFUNCTION("""COMPUTED_VALUE"""),"OK")</f>
        <v>OK</v>
      </c>
      <c r="AF32" s="21"/>
      <c r="AG32" s="23"/>
    </row>
    <row r="33">
      <c r="A33" s="31">
        <f>IFERROR(__xludf.DUMMYFUNCTION("""COMPUTED_VALUE"""),45538.474097071754)</f>
        <v>45538.4741</v>
      </c>
      <c r="B33" s="12" t="str">
        <f>IFERROR(__xludf.DUMMYFUNCTION("""COMPUTED_VALUE"""),"Isaías")</f>
        <v>Isaías</v>
      </c>
      <c r="C33" s="12" t="str">
        <f>IFERROR(__xludf.DUMMYFUNCTION("""COMPUTED_VALUE"""),"Barrera")</f>
        <v>Barrera</v>
      </c>
      <c r="D33" s="12" t="str">
        <f>IFERROR(__xludf.DUMMYFUNCTION("""COMPUTED_VALUE"""),"San Isidro")</f>
        <v>San Isidro</v>
      </c>
      <c r="E33" s="13" t="str">
        <f>IFERROR(__xludf.DUMMYFUNCTION("""COMPUTED_VALUE"""),"ARG")</f>
        <v>ARG</v>
      </c>
      <c r="F33" s="13">
        <f>IFERROR(__xludf.DUMMYFUNCTION("""COMPUTED_VALUE"""),5.2593162E7)</f>
        <v>52593162</v>
      </c>
      <c r="G33" s="33">
        <f>IFERROR(__xludf.DUMMYFUNCTION("""COMPUTED_VALUE"""),41070.0)</f>
        <v>41070</v>
      </c>
      <c r="H33" s="13" t="str">
        <f>IFERROR(__xludf.DUMMYFUNCTION("""COMPUTED_VALUE"""),"+54 9 11 3394-3846")</f>
        <v>+54 9 11 3394-3846</v>
      </c>
      <c r="I33" s="13"/>
      <c r="J33" s="34" t="str">
        <f>IFERROR(__xludf.DUMMYFUNCTION("""COMPUTED_VALUE"""),"ignacio.varisco@gmail.com")</f>
        <v>ignacio.varisco@gmail.com</v>
      </c>
      <c r="K33" s="13" t="str">
        <f>IFERROR(__xludf.DUMMYFUNCTION("""COMPUTED_VALUE"""),"Masculino")</f>
        <v>Masculino</v>
      </c>
      <c r="L33" s="16" t="str">
        <f>IFERROR(__xludf.DUMMYFUNCTION("""COMPUTED_VALUE"""),"CPNLB- CBRIO")</f>
        <v>CPNLB- CBRIO</v>
      </c>
      <c r="M33" s="12"/>
      <c r="N33" s="13" t="str">
        <f>IFERROR(__xludf.DUMMYFUNCTION("""COMPUTED_VALUE"""),"OPTIMIST TIMONELES")</f>
        <v>OPTIMIST TIMONELES</v>
      </c>
      <c r="O33" s="13"/>
      <c r="P33" s="13" t="str">
        <f>IFERROR(__xludf.DUMMYFUNCTION("""COMPUTED_VALUE"""),"ARG 3828")</f>
        <v>ARG 3828</v>
      </c>
      <c r="Q33" s="13" t="str">
        <f>IFERROR(__xludf.DUMMYFUNCTION("""COMPUTED_VALUE"""),"Foiler")</f>
        <v>Foiler</v>
      </c>
      <c r="R33" s="13"/>
      <c r="S33" s="13"/>
      <c r="T33" s="13"/>
      <c r="U33" s="13"/>
      <c r="V33" s="12"/>
      <c r="W33" s="12"/>
      <c r="X33" s="17"/>
      <c r="Y33" s="13" t="str">
        <f>IFERROR(__xludf.DUMMYFUNCTION("""COMPUTED_VALUE"""),"Si")</f>
        <v>Si</v>
      </c>
      <c r="Z33" s="13" t="str">
        <f>IFERROR(__xludf.DUMMYFUNCTION("""COMPUTED_VALUE"""),"Acepto")</f>
        <v>Acepto</v>
      </c>
      <c r="AA33" s="25" t="str">
        <f>IFERROR(__xludf.DUMMYFUNCTION("""COMPUTED_VALUE"""),"Terminado")</f>
        <v>Terminado</v>
      </c>
      <c r="AB33" s="25"/>
      <c r="AC33" s="7"/>
      <c r="AD33" s="7" t="str">
        <f>IFERROR(__xludf.DUMMYFUNCTION("""COMPUTED_VALUE"""),"Beca CBrrio")</f>
        <v>Beca CBrrio</v>
      </c>
      <c r="AE33" s="7" t="str">
        <f>IFERROR(__xludf.DUMMYFUNCTION("""COMPUTED_VALUE"""),"OK")</f>
        <v>OK</v>
      </c>
      <c r="AF33" s="13" t="str">
        <f>IFERROR(__xludf.DUMMYFUNCTION("""COMPUTED_VALUE"""),"SI")</f>
        <v>SI</v>
      </c>
      <c r="AG33" s="16"/>
    </row>
    <row r="34">
      <c r="A34" s="31">
        <f>IFERROR(__xludf.DUMMYFUNCTION("""COMPUTED_VALUE"""),45535.83237344907)</f>
        <v>45535.83237</v>
      </c>
      <c r="B34" s="12" t="str">
        <f>IFERROR(__xludf.DUMMYFUNCTION("""COMPUTED_VALUE"""),"Delfina")</f>
        <v>Delfina</v>
      </c>
      <c r="C34" s="12" t="str">
        <f>IFERROR(__xludf.DUMMYFUNCTION("""COMPUTED_VALUE"""),"Becerra")</f>
        <v>Becerra</v>
      </c>
      <c r="D34" s="12" t="str">
        <f>IFERROR(__xludf.DUMMYFUNCTION("""COMPUTED_VALUE"""),"San Fernando")</f>
        <v>San Fernando</v>
      </c>
      <c r="E34" s="13" t="str">
        <f>IFERROR(__xludf.DUMMYFUNCTION("""COMPUTED_VALUE"""),"ARG")</f>
        <v>ARG</v>
      </c>
      <c r="F34" s="13">
        <f>IFERROR(__xludf.DUMMYFUNCTION("""COMPUTED_VALUE"""),5.1183098E7)</f>
        <v>51183098</v>
      </c>
      <c r="G34" s="33">
        <f>IFERROR(__xludf.DUMMYFUNCTION("""COMPUTED_VALUE"""),40733.0)</f>
        <v>40733</v>
      </c>
      <c r="H34" s="13">
        <f>IFERROR(__xludf.DUMMYFUNCTION("""COMPUTED_VALUE"""),1.154522861E9)</f>
        <v>1154522861</v>
      </c>
      <c r="I34" s="13">
        <f>IFERROR(__xludf.DUMMYFUNCTION("""COMPUTED_VALUE"""),1.154522871E9)</f>
        <v>1154522871</v>
      </c>
      <c r="J34" s="13" t="str">
        <f>IFERROR(__xludf.DUMMYFUNCTION("""COMPUTED_VALUE"""),"mechicanofrers@hotmail.com")</f>
        <v>mechicanofrers@hotmail.com</v>
      </c>
      <c r="K34" s="13" t="str">
        <f>IFERROR(__xludf.DUMMYFUNCTION("""COMPUTED_VALUE"""),"Femenino")</f>
        <v>Femenino</v>
      </c>
      <c r="L34" s="16" t="str">
        <f>IFERROR(__xludf.DUMMYFUNCTION("""COMPUTED_VALUE"""),"CNSI")</f>
        <v>CNSI</v>
      </c>
      <c r="M34" s="12" t="str">
        <f>IFERROR(__xludf.DUMMYFUNCTION("""COMPUTED_VALUE"""),"Femenino")</f>
        <v>Femenino</v>
      </c>
      <c r="N34" s="13" t="str">
        <f>IFERROR(__xludf.DUMMYFUNCTION("""COMPUTED_VALUE"""),"OPTIMIST TIMONELES")</f>
        <v>OPTIMIST TIMONELES</v>
      </c>
      <c r="O34" s="13"/>
      <c r="P34" s="13">
        <f>IFERROR(__xludf.DUMMYFUNCTION("""COMPUTED_VALUE"""),4.0)</f>
        <v>4</v>
      </c>
      <c r="Q34" s="13"/>
      <c r="R34" s="34"/>
      <c r="S34" s="13"/>
      <c r="T34" s="13"/>
      <c r="U34" s="13"/>
      <c r="V34" s="12"/>
      <c r="W34" s="12"/>
      <c r="X34" s="17">
        <f>IFERROR(__xludf.DUMMYFUNCTION("""COMPUTED_VALUE"""),6.0796880905E10)</f>
        <v>60796880905</v>
      </c>
      <c r="Y34" s="13" t="str">
        <f>IFERROR(__xludf.DUMMYFUNCTION("""COMPUTED_VALUE"""),"No")</f>
        <v>No</v>
      </c>
      <c r="Z34" s="13" t="str">
        <f>IFERROR(__xludf.DUMMYFUNCTION("""COMPUTED_VALUE"""),"Acepto")</f>
        <v>Acepto</v>
      </c>
      <c r="AA34" s="25" t="str">
        <f>IFERROR(__xludf.DUMMYFUNCTION("""COMPUTED_VALUE"""),"Terminado")</f>
        <v>Terminado</v>
      </c>
      <c r="AB34" s="25">
        <f>IFERROR(__xludf.DUMMYFUNCTION("""COMPUTED_VALUE"""),50000.0)</f>
        <v>50000</v>
      </c>
      <c r="AC34" s="7">
        <f>IFERROR(__xludf.DUMMYFUNCTION("""COMPUTED_VALUE"""),205346.0)</f>
        <v>205346</v>
      </c>
      <c r="AD34" s="7" t="str">
        <f>IFERROR(__xludf.DUMMYFUNCTION("""COMPUTED_VALUE"""),"TRF 31-08")</f>
        <v>TRF 31-08</v>
      </c>
      <c r="AE34" s="7" t="str">
        <f>IFERROR(__xludf.DUMMYFUNCTION("""COMPUTED_VALUE"""),"OK")</f>
        <v>OK</v>
      </c>
      <c r="AF34" s="13"/>
      <c r="AG34" s="16"/>
    </row>
    <row r="35">
      <c r="A35" s="31">
        <f>IFERROR(__xludf.DUMMYFUNCTION("""COMPUTED_VALUE"""),45540.629499097224)</f>
        <v>45540.6295</v>
      </c>
      <c r="B35" s="12" t="str">
        <f>IFERROR(__xludf.DUMMYFUNCTION("""COMPUTED_VALUE"""),"Jaime ")</f>
        <v>Jaime </v>
      </c>
      <c r="C35" s="12" t="str">
        <f>IFERROR(__xludf.DUMMYFUNCTION("""COMPUTED_VALUE"""),"Bejarano ")</f>
        <v>Bejarano </v>
      </c>
      <c r="D35" s="12" t="str">
        <f>IFERROR(__xludf.DUMMYFUNCTION("""COMPUTED_VALUE"""),"San Isidro ")</f>
        <v>San Isidro </v>
      </c>
      <c r="E35" s="13" t="str">
        <f>IFERROR(__xludf.DUMMYFUNCTION("""COMPUTED_VALUE"""),"ARG")</f>
        <v>ARG</v>
      </c>
      <c r="F35" s="13">
        <f>IFERROR(__xludf.DUMMYFUNCTION("""COMPUTED_VALUE"""),1.4455785E7)</f>
        <v>14455785</v>
      </c>
      <c r="G35" s="33">
        <f>IFERROR(__xludf.DUMMYFUNCTION("""COMPUTED_VALUE"""),45511.0)</f>
        <v>45511</v>
      </c>
      <c r="H35" s="13">
        <f>IFERROR(__xludf.DUMMYFUNCTION("""COMPUTED_VALUE"""),1.1447582E9)</f>
        <v>1144758200</v>
      </c>
      <c r="I35" s="37">
        <f>IFERROR(__xludf.DUMMYFUNCTION("""COMPUTED_VALUE"""),1.1447582E9)</f>
        <v>1144758200</v>
      </c>
      <c r="J35" s="34" t="str">
        <f>IFERROR(__xludf.DUMMYFUNCTION("""COMPUTED_VALUE"""),"bejarano33@gmail.com")</f>
        <v>bejarano33@gmail.com</v>
      </c>
      <c r="K35" s="13" t="str">
        <f>IFERROR(__xludf.DUMMYFUNCTION("""COMPUTED_VALUE"""),"Masculino")</f>
        <v>Masculino</v>
      </c>
      <c r="L35" s="16" t="str">
        <f>IFERROR(__xludf.DUMMYFUNCTION("""COMPUTED_VALUE"""),"Cpnlb")</f>
        <v>Cpnlb</v>
      </c>
      <c r="M35" s="12"/>
      <c r="N35" s="13" t="str">
        <f>IFERROR(__xludf.DUMMYFUNCTION("""COMPUTED_VALUE"""),"GRUMETE")</f>
        <v>GRUMETE</v>
      </c>
      <c r="O35" s="13"/>
      <c r="P35" s="13">
        <f>IFERROR(__xludf.DUMMYFUNCTION("""COMPUTED_VALUE"""),300.0)</f>
        <v>300</v>
      </c>
      <c r="Q35" s="13" t="str">
        <f>IFERROR(__xludf.DUMMYFUNCTION("""COMPUTED_VALUE"""),"Antares")</f>
        <v>Antares</v>
      </c>
      <c r="R35" s="13" t="str">
        <f>IFERROR(__xludf.DUMMYFUNCTION("""COMPUTED_VALUE"""),"Verena Zagni")</f>
        <v>Verena Zagni</v>
      </c>
      <c r="S35" s="13" t="str">
        <f>IFERROR(__xludf.DUMMYFUNCTION("""COMPUTED_VALUE"""),"Roberto Ricoveri ")</f>
        <v>Roberto Ricoveri </v>
      </c>
      <c r="T35" s="13"/>
      <c r="U35" s="13"/>
      <c r="V35" s="12"/>
      <c r="W35" s="12"/>
      <c r="X35" s="17"/>
      <c r="Y35" s="13" t="str">
        <f>IFERROR(__xludf.DUMMYFUNCTION("""COMPUTED_VALUE"""),"No")</f>
        <v>No</v>
      </c>
      <c r="Z35" s="13" t="str">
        <f>IFERROR(__xludf.DUMMYFUNCTION("""COMPUTED_VALUE"""),"Acepto")</f>
        <v>Acepto</v>
      </c>
      <c r="AA35" s="25" t="str">
        <f>IFERROR(__xludf.DUMMYFUNCTION("""COMPUTED_VALUE"""),"Repetido")</f>
        <v>Repetido</v>
      </c>
      <c r="AB35" s="25"/>
      <c r="AC35" s="7"/>
      <c r="AD35" s="7"/>
      <c r="AE35" s="7" t="str">
        <f>IFERROR(__xludf.DUMMYFUNCTION("""COMPUTED_VALUE"""),"No Corresp")</f>
        <v>No Corresp</v>
      </c>
      <c r="AF35" s="13"/>
      <c r="AG35" s="16"/>
    </row>
    <row r="36">
      <c r="A36" s="31">
        <f>IFERROR(__xludf.DUMMYFUNCTION("""COMPUTED_VALUE"""),45538.588682430556)</f>
        <v>45538.58868</v>
      </c>
      <c r="B36" s="12" t="str">
        <f>IFERROR(__xludf.DUMMYFUNCTION("""COMPUTED_VALUE"""),"AMELIA ")</f>
        <v>AMELIA </v>
      </c>
      <c r="C36" s="12" t="str">
        <f>IFERROR(__xludf.DUMMYFUNCTION("""COMPUTED_VALUE"""),"BELARDI DE LEON ")</f>
        <v>BELARDI DE LEON </v>
      </c>
      <c r="D36" s="12" t="str">
        <f>IFERROR(__xludf.DUMMYFUNCTION("""COMPUTED_VALUE"""),"Buenos Aires ")</f>
        <v>Buenos Aires </v>
      </c>
      <c r="E36" s="13" t="str">
        <f>IFERROR(__xludf.DUMMYFUNCTION("""COMPUTED_VALUE"""),"ARG")</f>
        <v>ARG</v>
      </c>
      <c r="F36" s="13">
        <f>IFERROR(__xludf.DUMMYFUNCTION("""COMPUTED_VALUE"""),5.1397535E7)</f>
        <v>51397535</v>
      </c>
      <c r="G36" s="33">
        <f>IFERROR(__xludf.DUMMYFUNCTION("""COMPUTED_VALUE"""),40806.0)</f>
        <v>40806</v>
      </c>
      <c r="H36" s="13">
        <f>IFERROR(__xludf.DUMMYFUNCTION("""COMPUTED_VALUE"""),1.534037248E9)</f>
        <v>1534037248</v>
      </c>
      <c r="I36" s="13">
        <f>IFERROR(__xludf.DUMMYFUNCTION("""COMPUTED_VALUE"""),1.534195571E9)</f>
        <v>1534195571</v>
      </c>
      <c r="J36" s="13" t="str">
        <f>IFERROR(__xludf.DUMMYFUNCTION("""COMPUTED_VALUE"""),"pikicernic@gmail.com")</f>
        <v>pikicernic@gmail.com</v>
      </c>
      <c r="K36" s="13" t="str">
        <f>IFERROR(__xludf.DUMMYFUNCTION("""COMPUTED_VALUE"""),"Femenino")</f>
        <v>Femenino</v>
      </c>
      <c r="L36" s="16" t="str">
        <f>IFERROR(__xludf.DUMMYFUNCTION("""COMPUTED_VALUE"""),"CNSI")</f>
        <v>CNSI</v>
      </c>
      <c r="M36" s="12"/>
      <c r="N36" s="13" t="str">
        <f>IFERROR(__xludf.DUMMYFUNCTION("""COMPUTED_VALUE"""),"OPTIMIST TIMONELES")</f>
        <v>OPTIMIST TIMONELES</v>
      </c>
      <c r="O36" s="13"/>
      <c r="P36" s="13" t="str">
        <f>IFERROR(__xludf.DUMMYFUNCTION("""COMPUTED_VALUE"""),"ARG 4096")</f>
        <v>ARG 4096</v>
      </c>
      <c r="Q36" s="13"/>
      <c r="R36" s="50"/>
      <c r="S36" s="13"/>
      <c r="T36" s="13"/>
      <c r="U36" s="13"/>
      <c r="V36" s="12"/>
      <c r="W36" s="12"/>
      <c r="X36" s="17" t="str">
        <f>IFERROR(__xludf.DUMMYFUNCTION("""COMPUTED_VALUE"""),"OSDE 60844562103")</f>
        <v>OSDE 60844562103</v>
      </c>
      <c r="Y36" s="13" t="str">
        <f>IFERROR(__xludf.DUMMYFUNCTION("""COMPUTED_VALUE"""),"No")</f>
        <v>No</v>
      </c>
      <c r="Z36" s="13" t="str">
        <f>IFERROR(__xludf.DUMMYFUNCTION("""COMPUTED_VALUE"""),"Acepto")</f>
        <v>Acepto</v>
      </c>
      <c r="AA36" s="25" t="str">
        <f>IFERROR(__xludf.DUMMYFUNCTION("""COMPUTED_VALUE"""),"Terminado")</f>
        <v>Terminado</v>
      </c>
      <c r="AB36" s="25">
        <f>IFERROR(__xludf.DUMMYFUNCTION("""COMPUTED_VALUE"""),50000.0)</f>
        <v>50000</v>
      </c>
      <c r="AC36" s="7">
        <f>IFERROR(__xludf.DUMMYFUNCTION("""COMPUTED_VALUE"""),205434.0)</f>
        <v>205434</v>
      </c>
      <c r="AD36" s="7" t="str">
        <f>IFERROR(__xludf.DUMMYFUNCTION("""COMPUTED_VALUE"""),"TRF 03-09")</f>
        <v>TRF 03-09</v>
      </c>
      <c r="AE36" s="7" t="str">
        <f>IFERROR(__xludf.DUMMYFUNCTION("""COMPUTED_VALUE"""),"OK")</f>
        <v>OK</v>
      </c>
      <c r="AF36" s="13"/>
      <c r="AG36" s="16"/>
    </row>
    <row r="37">
      <c r="A37" s="31">
        <f>IFERROR(__xludf.DUMMYFUNCTION("""COMPUTED_VALUE"""),45539.7072400926)</f>
        <v>45539.70724</v>
      </c>
      <c r="B37" s="12" t="str">
        <f>IFERROR(__xludf.DUMMYFUNCTION("""COMPUTED_VALUE"""),"Guillermo")</f>
        <v>Guillermo</v>
      </c>
      <c r="C37" s="12" t="str">
        <f>IFERROR(__xludf.DUMMYFUNCTION("""COMPUTED_VALUE"""),"Bellinotto")</f>
        <v>Bellinotto</v>
      </c>
      <c r="D37" s="12" t="str">
        <f>IFERROR(__xludf.DUMMYFUNCTION("""COMPUTED_VALUE"""),"caba")</f>
        <v>caba</v>
      </c>
      <c r="E37" s="13" t="str">
        <f>IFERROR(__xludf.DUMMYFUNCTION("""COMPUTED_VALUE"""),"ARG")</f>
        <v>ARG</v>
      </c>
      <c r="F37" s="13">
        <f>IFERROR(__xludf.DUMMYFUNCTION("""COMPUTED_VALUE"""),2.6435858E7)</f>
        <v>26435858</v>
      </c>
      <c r="G37" s="33">
        <f>IFERROR(__xludf.DUMMYFUNCTION("""COMPUTED_VALUE"""),28532.0)</f>
        <v>28532</v>
      </c>
      <c r="H37" s="13">
        <f>IFERROR(__xludf.DUMMYFUNCTION("""COMPUTED_VALUE"""),1.150237233E9)</f>
        <v>1150237233</v>
      </c>
      <c r="I37" s="13">
        <f>IFERROR(__xludf.DUMMYFUNCTION("""COMPUTED_VALUE"""),1.150237233E9)</f>
        <v>1150237233</v>
      </c>
      <c r="J37" s="13" t="str">
        <f>IFERROR(__xludf.DUMMYFUNCTION("""COMPUTED_VALUE"""),"guillebellinotto@hotmail.com")</f>
        <v>guillebellinotto@hotmail.com</v>
      </c>
      <c r="K37" s="13" t="str">
        <f>IFERROR(__xludf.DUMMYFUNCTION("""COMPUTED_VALUE"""),"Masculino")</f>
        <v>Masculino</v>
      </c>
      <c r="L37" s="16" t="str">
        <f>IFERROR(__xludf.DUMMYFUNCTION("""COMPUTED_VALUE"""),"CUBA / NCNE")</f>
        <v>CUBA / NCNE</v>
      </c>
      <c r="M37" s="12" t="str">
        <f>IFERROR(__xludf.DUMMYFUNCTION("""COMPUTED_VALUE"""),"j70")</f>
        <v>j70</v>
      </c>
      <c r="N37" s="13" t="str">
        <f>IFERROR(__xludf.DUMMYFUNCTION("""COMPUTED_VALUE"""),"J 70")</f>
        <v>J 70</v>
      </c>
      <c r="O37" s="13">
        <f>IFERROR(__xludf.DUMMYFUNCTION("""COMPUTED_VALUE"""),12.0)</f>
        <v>12</v>
      </c>
      <c r="P37" s="13">
        <f>IFERROR(__xludf.DUMMYFUNCTION("""COMPUTED_VALUE"""),1198.0)</f>
        <v>1198</v>
      </c>
      <c r="Q37" s="13"/>
      <c r="R37" s="13" t="str">
        <f>IFERROR(__xludf.DUMMYFUNCTION("""COMPUTED_VALUE"""),"Gringo Pueyrredon")</f>
        <v>Gringo Pueyrredon</v>
      </c>
      <c r="S37" s="13" t="str">
        <f>IFERROR(__xludf.DUMMYFUNCTION("""COMPUTED_VALUE"""),"Alfonso Campos")</f>
        <v>Alfonso Campos</v>
      </c>
      <c r="T37" s="13"/>
      <c r="U37" s="13" t="str">
        <f>IFERROR(__xludf.DUMMYFUNCTION("""COMPUTED_VALUE"""),"Nicolas cubria")</f>
        <v>Nicolas cubria</v>
      </c>
      <c r="V37" s="12"/>
      <c r="W37" s="12"/>
      <c r="X37" s="17" t="str">
        <f>IFERROR(__xludf.DUMMYFUNCTION("""COMPUTED_VALUE"""),"Swiss Medical")</f>
        <v>Swiss Medical</v>
      </c>
      <c r="Y37" s="13" t="str">
        <f>IFERROR(__xludf.DUMMYFUNCTION("""COMPUTED_VALUE"""),"No")</f>
        <v>No</v>
      </c>
      <c r="Z37" s="13" t="str">
        <f>IFERROR(__xludf.DUMMYFUNCTION("""COMPUTED_VALUE"""),"Acepto")</f>
        <v>Acepto</v>
      </c>
      <c r="AA37" s="18" t="str">
        <f>IFERROR(__xludf.DUMMYFUNCTION("""COMPUTED_VALUE"""),"Terminado")</f>
        <v>Terminado</v>
      </c>
      <c r="AB37" s="18">
        <f>IFERROR(__xludf.DUMMYFUNCTION("""COMPUTED_VALUE"""),80000.0)</f>
        <v>80000</v>
      </c>
      <c r="AC37" s="7">
        <f>IFERROR(__xludf.DUMMYFUNCTION("""COMPUTED_VALUE"""),205437.0)</f>
        <v>205437</v>
      </c>
      <c r="AD37" s="7" t="str">
        <f>IFERROR(__xludf.DUMMYFUNCTION("""COMPUTED_VALUE"""),"TRF 04-09")</f>
        <v>TRF 04-09</v>
      </c>
      <c r="AE37" s="7" t="str">
        <f>IFERROR(__xludf.DUMMYFUNCTION("""COMPUTED_VALUE"""),"No Corresp")</f>
        <v>No Corresp</v>
      </c>
      <c r="AF37" s="13"/>
      <c r="AG37" s="16"/>
    </row>
    <row r="38">
      <c r="A38" s="42">
        <f>IFERROR(__xludf.DUMMYFUNCTION("""COMPUTED_VALUE"""),45535.73779306713)</f>
        <v>45535.73779</v>
      </c>
      <c r="B38" s="43" t="str">
        <f>IFERROR(__xludf.DUMMYFUNCTION("""COMPUTED_VALUE"""),"Facundo")</f>
        <v>Facundo</v>
      </c>
      <c r="C38" s="43" t="str">
        <f>IFERROR(__xludf.DUMMYFUNCTION("""COMPUTED_VALUE"""),"Bellorini")</f>
        <v>Bellorini</v>
      </c>
      <c r="D38" s="43" t="str">
        <f>IFERROR(__xludf.DUMMYFUNCTION("""COMPUTED_VALUE"""),"CABA")</f>
        <v>CABA</v>
      </c>
      <c r="E38" s="7" t="str">
        <f>IFERROR(__xludf.DUMMYFUNCTION("""COMPUTED_VALUE"""),"ARG")</f>
        <v>ARG</v>
      </c>
      <c r="F38" s="7">
        <f>IFERROR(__xludf.DUMMYFUNCTION("""COMPUTED_VALUE"""),5.4454746E7)</f>
        <v>54454746</v>
      </c>
      <c r="G38" s="44">
        <f>IFERROR(__xludf.DUMMYFUNCTION("""COMPUTED_VALUE"""),41974.0)</f>
        <v>41974</v>
      </c>
      <c r="H38" s="45">
        <f>IFERROR(__xludf.DUMMYFUNCTION("""COMPUTED_VALUE"""),1.159374784E9)</f>
        <v>1159374784</v>
      </c>
      <c r="I38" s="45" t="str">
        <f>IFERROR(__xludf.DUMMYFUNCTION("""COMPUTED_VALUE"""),"1167212950 / 1159374784")</f>
        <v>1167212950 / 1159374784</v>
      </c>
      <c r="J38" s="45" t="str">
        <f>IFERROR(__xludf.DUMMYFUNCTION("""COMPUTED_VALUE"""),"Jabellorini@gmail.com")</f>
        <v>Jabellorini@gmail.com</v>
      </c>
      <c r="K38" s="45" t="str">
        <f>IFERROR(__xludf.DUMMYFUNCTION("""COMPUTED_VALUE"""),"Masculino")</f>
        <v>Masculino</v>
      </c>
      <c r="L38" s="43" t="str">
        <f>IFERROR(__xludf.DUMMYFUNCTION("""COMPUTED_VALUE"""),"CGLNM")</f>
        <v>CGLNM</v>
      </c>
      <c r="M38" s="45" t="str">
        <f>IFERROR(__xludf.DUMMYFUNCTION("""COMPUTED_VALUE"""),"Optimist Principiantes")</f>
        <v>Optimist Principiantes</v>
      </c>
      <c r="N38" s="7" t="str">
        <f>IFERROR(__xludf.DUMMYFUNCTION("""COMPUTED_VALUE"""),"OPTIMIST PRINCIPIANTES")</f>
        <v>OPTIMIST PRINCIPIANTES</v>
      </c>
      <c r="O38" s="7"/>
      <c r="P38" s="7">
        <f>IFERROR(__xludf.DUMMYFUNCTION("""COMPUTED_VALUE"""),3199.0)</f>
        <v>3199</v>
      </c>
      <c r="Q38" s="45" t="str">
        <f>IFERROR(__xludf.DUMMYFUNCTION("""COMPUTED_VALUE"""),"Kraken Patito")</f>
        <v>Kraken Patito</v>
      </c>
      <c r="R38" s="45"/>
      <c r="S38" s="45"/>
      <c r="T38" s="45"/>
      <c r="U38" s="45"/>
      <c r="V38" s="45"/>
      <c r="W38" s="45"/>
      <c r="X38" s="47" t="str">
        <f>IFERROR(__xludf.DUMMYFUNCTION("""COMPUTED_VALUE"""),"OSDE")</f>
        <v>OSDE</v>
      </c>
      <c r="Y38" s="7" t="str">
        <f>IFERROR(__xludf.DUMMYFUNCTION("""COMPUTED_VALUE"""),"No")</f>
        <v>No</v>
      </c>
      <c r="Z38" s="7" t="str">
        <f>IFERROR(__xludf.DUMMYFUNCTION("""COMPUTED_VALUE"""),"Acepto")</f>
        <v>Acepto</v>
      </c>
      <c r="AA38" s="48" t="str">
        <f>IFERROR(__xludf.DUMMYFUNCTION("""COMPUTED_VALUE"""),"Terminado")</f>
        <v>Terminado</v>
      </c>
      <c r="AB38" s="48">
        <f>IFERROR(__xludf.DUMMYFUNCTION("""COMPUTED_VALUE"""),50000.0)</f>
        <v>50000</v>
      </c>
      <c r="AC38" s="7">
        <f>IFERROR(__xludf.DUMMYFUNCTION("""COMPUTED_VALUE"""),205388.0)</f>
        <v>205388</v>
      </c>
      <c r="AD38" s="7" t="str">
        <f>IFERROR(__xludf.DUMMYFUNCTION("""COMPUTED_VALUE"""),"TRF 02-09")</f>
        <v>TRF 02-09</v>
      </c>
      <c r="AE38" s="7" t="str">
        <f>IFERROR(__xludf.DUMMYFUNCTION("""COMPUTED_VALUE"""),"OK")</f>
        <v>OK</v>
      </c>
      <c r="AF38" s="7"/>
      <c r="AG38" s="43"/>
    </row>
    <row r="39">
      <c r="A39" s="19">
        <f>IFERROR(__xludf.DUMMYFUNCTION("""COMPUTED_VALUE"""),45539.679393715276)</f>
        <v>45539.67939</v>
      </c>
      <c r="B39" s="20" t="str">
        <f>IFERROR(__xludf.DUMMYFUNCTION("""COMPUTED_VALUE"""),"Adolfo Héctor")</f>
        <v>Adolfo Héctor</v>
      </c>
      <c r="C39" s="20" t="str">
        <f>IFERROR(__xludf.DUMMYFUNCTION("""COMPUTED_VALUE"""),"Benavidez Ruiz")</f>
        <v>Benavidez Ruiz</v>
      </c>
      <c r="D39" s="20" t="str">
        <f>IFERROR(__xludf.DUMMYFUNCTION("""COMPUTED_VALUE"""),"Rosario")</f>
        <v>Rosario</v>
      </c>
      <c r="E39" s="21" t="str">
        <f>IFERROR(__xludf.DUMMYFUNCTION("""COMPUTED_VALUE"""),"ARG")</f>
        <v>ARG</v>
      </c>
      <c r="F39" s="21">
        <f>IFERROR(__xludf.DUMMYFUNCTION("""COMPUTED_VALUE"""),3.0339453E7)</f>
        <v>30339453</v>
      </c>
      <c r="G39" s="22">
        <f>IFERROR(__xludf.DUMMYFUNCTION("""COMPUTED_VALUE"""),30793.0)</f>
        <v>30793</v>
      </c>
      <c r="H39" s="21">
        <f>IFERROR(__xludf.DUMMYFUNCTION("""COMPUTED_VALUE"""),3.413193904E9)</f>
        <v>3413193904</v>
      </c>
      <c r="I39" s="51" t="str">
        <f>IFERROR(__xludf.DUMMYFUNCTION("""COMPUTED_VALUE"""),"+54 9 3413 08-3045")</f>
        <v>+54 9 3413 08-3045</v>
      </c>
      <c r="J39" s="29" t="str">
        <f>IFERROR(__xludf.DUMMYFUNCTION("""COMPUTED_VALUE"""),"adolbenavidez@gmail.com")</f>
        <v>adolbenavidez@gmail.com</v>
      </c>
      <c r="K39" s="21" t="str">
        <f>IFERROR(__xludf.DUMMYFUNCTION("""COMPUTED_VALUE"""),"Masculino")</f>
        <v>Masculino</v>
      </c>
      <c r="L39" s="23" t="str">
        <f>IFERROR(__xludf.DUMMYFUNCTION("""COMPUTED_VALUE"""),"CVR / YCR ")</f>
        <v>CVR / YCR </v>
      </c>
      <c r="M39" s="20"/>
      <c r="N39" s="21" t="str">
        <f>IFERROR(__xludf.DUMMYFUNCTION("""COMPUTED_VALUE"""),"J 70")</f>
        <v>J 70</v>
      </c>
      <c r="O39" s="21">
        <f>IFERROR(__xludf.DUMMYFUNCTION("""COMPUTED_VALUE"""),28.0)</f>
        <v>28</v>
      </c>
      <c r="P39" s="21">
        <f>IFERROR(__xludf.DUMMYFUNCTION("""COMPUTED_VALUE"""),1302.0)</f>
        <v>1302</v>
      </c>
      <c r="Q39" s="20" t="str">
        <f>IFERROR(__xludf.DUMMYFUNCTION("""COMPUTED_VALUE"""),"ÑANDEYARA")</f>
        <v>ÑANDEYARA</v>
      </c>
      <c r="R39" s="20" t="str">
        <f>IFERROR(__xludf.DUMMYFUNCTION("""COMPUTED_VALUE"""),"Lucas Mispiasegui")</f>
        <v>Lucas Mispiasegui</v>
      </c>
      <c r="S39" s="20" t="str">
        <f>IFERROR(__xludf.DUMMYFUNCTION("""COMPUTED_VALUE"""),"Guido Potenza ")</f>
        <v>Guido Potenza </v>
      </c>
      <c r="T39" s="20" t="str">
        <f>IFERROR(__xludf.DUMMYFUNCTION("""COMPUTED_VALUE"""),"Tomas Paglini ")</f>
        <v>Tomas Paglini </v>
      </c>
      <c r="U39" s="20"/>
      <c r="V39" s="20"/>
      <c r="W39" s="20"/>
      <c r="X39" s="24" t="str">
        <f>IFERROR(__xludf.DUMMYFUNCTION("""COMPUTED_VALUE"""),"Medife Plata")</f>
        <v>Medife Plata</v>
      </c>
      <c r="Y39" s="21" t="str">
        <f>IFERROR(__xludf.DUMMYFUNCTION("""COMPUTED_VALUE"""),"Si")</f>
        <v>Si</v>
      </c>
      <c r="Z39" s="21" t="str">
        <f>IFERROR(__xludf.DUMMYFUNCTION("""COMPUTED_VALUE"""),"Acepto")</f>
        <v>Acepto</v>
      </c>
      <c r="AA39" s="18" t="str">
        <f>IFERROR(__xludf.DUMMYFUNCTION("""COMPUTED_VALUE"""),"Terminado")</f>
        <v>Terminado</v>
      </c>
      <c r="AB39" s="18">
        <f>IFERROR(__xludf.DUMMYFUNCTION("""COMPUTED_VALUE"""),68000.0)</f>
        <v>68000</v>
      </c>
      <c r="AC39" s="7">
        <f>IFERROR(__xludf.DUMMYFUNCTION("""COMPUTED_VALUE"""),205442.0)</f>
        <v>205442</v>
      </c>
      <c r="AD39" s="7" t="str">
        <f>IFERROR(__xludf.DUMMYFUNCTION("""COMPUTED_VALUE"""),"TRF 04-09")</f>
        <v>TRF 04-09</v>
      </c>
      <c r="AE39" s="7" t="str">
        <f>IFERROR(__xludf.DUMMYFUNCTION("""COMPUTED_VALUE"""),"No Corresp")</f>
        <v>No Corresp</v>
      </c>
      <c r="AF39" s="21" t="str">
        <f>IFERROR(__xludf.DUMMYFUNCTION("""COMPUTED_VALUE"""),"SI")</f>
        <v>SI</v>
      </c>
      <c r="AG39" s="23"/>
    </row>
    <row r="40">
      <c r="A40" s="42">
        <f>IFERROR(__xludf.DUMMYFUNCTION("""COMPUTED_VALUE"""),45535.54118778935)</f>
        <v>45535.54119</v>
      </c>
      <c r="B40" s="43" t="str">
        <f>IFERROR(__xludf.DUMMYFUNCTION("""COMPUTED_VALUE"""),"Valentino")</f>
        <v>Valentino</v>
      </c>
      <c r="C40" s="43" t="str">
        <f>IFERROR(__xludf.DUMMYFUNCTION("""COMPUTED_VALUE"""),"Berardo")</f>
        <v>Berardo</v>
      </c>
      <c r="D40" s="43" t="str">
        <f>IFERROR(__xludf.DUMMYFUNCTION("""COMPUTED_VALUE"""),"Caba")</f>
        <v>Caba</v>
      </c>
      <c r="E40" s="7" t="str">
        <f>IFERROR(__xludf.DUMMYFUNCTION("""COMPUTED_VALUE"""),"ARG")</f>
        <v>ARG</v>
      </c>
      <c r="F40" s="7">
        <f>IFERROR(__xludf.DUMMYFUNCTION("""COMPUTED_VALUE"""),5.4429903E7)</f>
        <v>54429903</v>
      </c>
      <c r="G40" s="44">
        <f>IFERROR(__xludf.DUMMYFUNCTION("""COMPUTED_VALUE"""),40813.0)</f>
        <v>40813</v>
      </c>
      <c r="H40" s="45">
        <f>IFERROR(__xludf.DUMMYFUNCTION("""COMPUTED_VALUE"""),1.158178323E9)</f>
        <v>1158178323</v>
      </c>
      <c r="I40" s="46">
        <f>IFERROR(__xludf.DUMMYFUNCTION("""COMPUTED_VALUE"""),1.158178323E9)</f>
        <v>1158178323</v>
      </c>
      <c r="J40" s="45" t="str">
        <f>IFERROR(__xludf.DUMMYFUNCTION("""COMPUTED_VALUE"""),"Leandro_berardo@hotmail.com")</f>
        <v>Leandro_berardo@hotmail.com</v>
      </c>
      <c r="K40" s="45" t="str">
        <f>IFERROR(__xludf.DUMMYFUNCTION("""COMPUTED_VALUE"""),"Masculino")</f>
        <v>Masculino</v>
      </c>
      <c r="L40" s="43" t="str">
        <f>IFERROR(__xludf.DUMMYFUNCTION("""COMPUTED_VALUE"""),"Cpnlb ")</f>
        <v>Cpnlb </v>
      </c>
      <c r="M40" s="45"/>
      <c r="N40" s="7" t="str">
        <f>IFERROR(__xludf.DUMMYFUNCTION("""COMPUTED_VALUE"""),"OPTIMIST PRINCIPIANTES")</f>
        <v>OPTIMIST PRINCIPIANTES</v>
      </c>
      <c r="O40" s="7"/>
      <c r="P40" s="7">
        <f>IFERROR(__xludf.DUMMYFUNCTION("""COMPUTED_VALUE"""),3998.0)</f>
        <v>3998</v>
      </c>
      <c r="Q40" s="45" t="str">
        <f>IFERROR(__xludf.DUMMYFUNCTION("""COMPUTED_VALUE"""),"Il capo")</f>
        <v>Il capo</v>
      </c>
      <c r="R40" s="45"/>
      <c r="S40" s="45"/>
      <c r="T40" s="45"/>
      <c r="U40" s="45"/>
      <c r="V40" s="45"/>
      <c r="W40" s="45"/>
      <c r="X40" s="47">
        <f>IFERROR(__xludf.DUMMYFUNCTION("""COMPUTED_VALUE"""),9.34348981403E11)</f>
        <v>934348981403</v>
      </c>
      <c r="Y40" s="7" t="str">
        <f>IFERROR(__xludf.DUMMYFUNCTION("""COMPUTED_VALUE"""),"Si")</f>
        <v>Si</v>
      </c>
      <c r="Z40" s="7" t="str">
        <f>IFERROR(__xludf.DUMMYFUNCTION("""COMPUTED_VALUE"""),"Acepto")</f>
        <v>Acepto</v>
      </c>
      <c r="AA40" s="48" t="str">
        <f>IFERROR(__xludf.DUMMYFUNCTION("""COMPUTED_VALUE"""),"Terminado")</f>
        <v>Terminado</v>
      </c>
      <c r="AB40" s="48">
        <f>IFERROR(__xludf.DUMMYFUNCTION("""COMPUTED_VALUE"""),50000.0)</f>
        <v>50000</v>
      </c>
      <c r="AC40" s="7">
        <f>IFERROR(__xludf.DUMMYFUNCTION("""COMPUTED_VALUE"""),205355.0)</f>
        <v>205355</v>
      </c>
      <c r="AD40" s="7" t="str">
        <f>IFERROR(__xludf.DUMMYFUNCTION("""COMPUTED_VALUE"""),"TRF 30-08")</f>
        <v>TRF 30-08</v>
      </c>
      <c r="AE40" s="7" t="str">
        <f>IFERROR(__xludf.DUMMYFUNCTION("""COMPUTED_VALUE"""),"OK")</f>
        <v>OK</v>
      </c>
      <c r="AF40" s="7" t="str">
        <f>IFERROR(__xludf.DUMMYFUNCTION("""COMPUTED_VALUE"""),"SI")</f>
        <v>SI</v>
      </c>
      <c r="AG40" s="43"/>
    </row>
    <row r="41">
      <c r="A41" s="42">
        <f>IFERROR(__xludf.DUMMYFUNCTION("""COMPUTED_VALUE"""),45539.39323212963)</f>
        <v>45539.39323</v>
      </c>
      <c r="B41" s="43" t="str">
        <f>IFERROR(__xludf.DUMMYFUNCTION("""COMPUTED_VALUE"""),"Francisco ")</f>
        <v>Francisco </v>
      </c>
      <c r="C41" s="43" t="str">
        <f>IFERROR(__xludf.DUMMYFUNCTION("""COMPUTED_VALUE"""),"Berini")</f>
        <v>Berini</v>
      </c>
      <c r="D41" s="43" t="str">
        <f>IFERROR(__xludf.DUMMYFUNCTION("""COMPUTED_VALUE"""),"Victoria")</f>
        <v>Victoria</v>
      </c>
      <c r="E41" s="7" t="str">
        <f>IFERROR(__xludf.DUMMYFUNCTION("""COMPUTED_VALUE"""),"ARG")</f>
        <v>ARG</v>
      </c>
      <c r="F41" s="7">
        <f>IFERROR(__xludf.DUMMYFUNCTION("""COMPUTED_VALUE"""),5.3168231E7)</f>
        <v>53168231</v>
      </c>
      <c r="G41" s="44">
        <f>IFERROR(__xludf.DUMMYFUNCTION("""COMPUTED_VALUE"""),41405.0)</f>
        <v>41405</v>
      </c>
      <c r="H41" s="45">
        <f>IFERROR(__xludf.DUMMYFUNCTION("""COMPUTED_VALUE"""),1.163639966E9)</f>
        <v>1163639966</v>
      </c>
      <c r="I41" s="46">
        <f>IFERROR(__xludf.DUMMYFUNCTION("""COMPUTED_VALUE"""),1.163639966E9)</f>
        <v>1163639966</v>
      </c>
      <c r="J41" s="45" t="str">
        <f>IFERROR(__xludf.DUMMYFUNCTION("""COMPUTED_VALUE"""),"patolonero@gmail.com")</f>
        <v>patolonero@gmail.com</v>
      </c>
      <c r="K41" s="45" t="str">
        <f>IFERROR(__xludf.DUMMYFUNCTION("""COMPUTED_VALUE"""),"Masculino")</f>
        <v>Masculino</v>
      </c>
      <c r="L41" s="43" t="str">
        <f>IFERROR(__xludf.DUMMYFUNCTION("""COMPUTED_VALUE"""),"Cvb")</f>
        <v>Cvb</v>
      </c>
      <c r="M41" s="45"/>
      <c r="N41" s="7" t="str">
        <f>IFERROR(__xludf.DUMMYFUNCTION("""COMPUTED_VALUE"""),"OPTIMIST PRINCIPIANTES")</f>
        <v>OPTIMIST PRINCIPIANTES</v>
      </c>
      <c r="O41" s="7"/>
      <c r="P41" s="7">
        <f>IFERROR(__xludf.DUMMYFUNCTION("""COMPUTED_VALUE"""),4058.0)</f>
        <v>4058</v>
      </c>
      <c r="Q41" s="45"/>
      <c r="R41" s="45"/>
      <c r="S41" s="45"/>
      <c r="T41" s="45"/>
      <c r="U41" s="45"/>
      <c r="V41" s="45"/>
      <c r="W41" s="45"/>
      <c r="X41" s="47" t="str">
        <f>IFERROR(__xludf.DUMMYFUNCTION("""COMPUTED_VALUE"""),"No tiene ")</f>
        <v>No tiene </v>
      </c>
      <c r="Y41" s="7" t="str">
        <f>IFERROR(__xludf.DUMMYFUNCTION("""COMPUTED_VALUE"""),"No")</f>
        <v>No</v>
      </c>
      <c r="Z41" s="7" t="str">
        <f>IFERROR(__xludf.DUMMYFUNCTION("""COMPUTED_VALUE"""),"Acepto")</f>
        <v>Acepto</v>
      </c>
      <c r="AA41" s="48" t="str">
        <f>IFERROR(__xludf.DUMMYFUNCTION("""COMPUTED_VALUE"""),"Terminado")</f>
        <v>Terminado</v>
      </c>
      <c r="AB41" s="48">
        <f>IFERROR(__xludf.DUMMYFUNCTION("""COMPUTED_VALUE"""),50000.0)</f>
        <v>50000</v>
      </c>
      <c r="AC41" s="7">
        <f>IFERROR(__xludf.DUMMYFUNCTION("""COMPUTED_VALUE"""),205435.0)</f>
        <v>205435</v>
      </c>
      <c r="AD41" s="7" t="str">
        <f>IFERROR(__xludf.DUMMYFUNCTION("""COMPUTED_VALUE"""),"TRF 04-09")</f>
        <v>TRF 04-09</v>
      </c>
      <c r="AE41" s="7" t="str">
        <f>IFERROR(__xludf.DUMMYFUNCTION("""COMPUTED_VALUE"""),"OK")</f>
        <v>OK</v>
      </c>
      <c r="AF41" s="7" t="str">
        <f>IFERROR(__xludf.DUMMYFUNCTION("""COMPUTED_VALUE"""),"SI")</f>
        <v>SI</v>
      </c>
      <c r="AG41" s="43"/>
    </row>
    <row r="42">
      <c r="A42" s="42">
        <f>IFERROR(__xludf.DUMMYFUNCTION("""COMPUTED_VALUE"""),45534.39677173611)</f>
        <v>45534.39677</v>
      </c>
      <c r="B42" s="43" t="str">
        <f>IFERROR(__xludf.DUMMYFUNCTION("""COMPUTED_VALUE"""),"Agustín")</f>
        <v>Agustín</v>
      </c>
      <c r="C42" s="43" t="str">
        <f>IFERROR(__xludf.DUMMYFUNCTION("""COMPUTED_VALUE"""),"Bianchi")</f>
        <v>Bianchi</v>
      </c>
      <c r="D42" s="43" t="str">
        <f>IFERROR(__xludf.DUMMYFUNCTION("""COMPUTED_VALUE"""),"Tigre")</f>
        <v>Tigre</v>
      </c>
      <c r="E42" s="7" t="str">
        <f>IFERROR(__xludf.DUMMYFUNCTION("""COMPUTED_VALUE"""),"ARG")</f>
        <v>ARG</v>
      </c>
      <c r="F42" s="7">
        <f>IFERROR(__xludf.DUMMYFUNCTION("""COMPUTED_VALUE"""),2.652317E7)</f>
        <v>26523170</v>
      </c>
      <c r="G42" s="44">
        <f>IFERROR(__xludf.DUMMYFUNCTION("""COMPUTED_VALUE"""),28645.0)</f>
        <v>28645</v>
      </c>
      <c r="H42" s="45">
        <f>IFERROR(__xludf.DUMMYFUNCTION("""COMPUTED_VALUE"""),1.159648285E9)</f>
        <v>1159648285</v>
      </c>
      <c r="I42" s="45">
        <f>IFERROR(__xludf.DUMMYFUNCTION("""COMPUTED_VALUE"""),1.168302939E9)</f>
        <v>1168302939</v>
      </c>
      <c r="J42" s="45" t="str">
        <f>IFERROR(__xludf.DUMMYFUNCTION("""COMPUTED_VALUE"""),"agustinbian@hotmail.com")</f>
        <v>agustinbian@hotmail.com</v>
      </c>
      <c r="K42" s="45" t="str">
        <f>IFERROR(__xludf.DUMMYFUNCTION("""COMPUTED_VALUE"""),"Masculino")</f>
        <v>Masculino</v>
      </c>
      <c r="L42" s="43" t="str">
        <f>IFERROR(__xludf.DUMMYFUNCTION("""COMPUTED_VALUE"""),"YCA")</f>
        <v>YCA</v>
      </c>
      <c r="M42" s="45"/>
      <c r="N42" s="7">
        <f>IFERROR(__xludf.DUMMYFUNCTION("""COMPUTED_VALUE"""),420.0)</f>
        <v>420</v>
      </c>
      <c r="O42" s="7">
        <f>IFERROR(__xludf.DUMMYFUNCTION("""COMPUTED_VALUE"""),41.0)</f>
        <v>41</v>
      </c>
      <c r="P42" s="7">
        <f>IFERROR(__xludf.DUMMYFUNCTION("""COMPUTED_VALUE"""),52654.0)</f>
        <v>52654</v>
      </c>
      <c r="Q42" s="45" t="str">
        <f>IFERROR(__xludf.DUMMYFUNCTION("""COMPUTED_VALUE"""),"Vecchia Scuola")</f>
        <v>Vecchia Scuola</v>
      </c>
      <c r="R42" s="45" t="str">
        <f>IFERROR(__xludf.DUMMYFUNCTION("""COMPUTED_VALUE"""),"Nicole De Leone")</f>
        <v>Nicole De Leone</v>
      </c>
      <c r="S42" s="45"/>
      <c r="T42" s="45"/>
      <c r="U42" s="45"/>
      <c r="V42" s="45"/>
      <c r="W42" s="45"/>
      <c r="X42" s="47" t="str">
        <f>IFERROR(__xludf.DUMMYFUNCTION("""COMPUTED_VALUE"""),"Medicus")</f>
        <v>Medicus</v>
      </c>
      <c r="Y42" s="7" t="str">
        <f>IFERROR(__xludf.DUMMYFUNCTION("""COMPUTED_VALUE"""),"No")</f>
        <v>No</v>
      </c>
      <c r="Z42" s="7" t="str">
        <f>IFERROR(__xludf.DUMMYFUNCTION("""COMPUTED_VALUE"""),"Acepto")</f>
        <v>Acepto</v>
      </c>
      <c r="AA42" s="48" t="str">
        <f>IFERROR(__xludf.DUMMYFUNCTION("""COMPUTED_VALUE"""),"Terminado")</f>
        <v>Terminado</v>
      </c>
      <c r="AB42" s="48">
        <f>IFERROR(__xludf.DUMMYFUNCTION("""COMPUTED_VALUE"""),75000.0)</f>
        <v>75000</v>
      </c>
      <c r="AC42" s="7">
        <f>IFERROR(__xludf.DUMMYFUNCTION("""COMPUTED_VALUE"""),205094.0)</f>
        <v>205094</v>
      </c>
      <c r="AD42" s="7" t="str">
        <f>IFERROR(__xludf.DUMMYFUNCTION("""COMPUTED_VALUE"""),"TRF 30-08")</f>
        <v>TRF 30-08</v>
      </c>
      <c r="AE42" s="7" t="str">
        <f>IFERROR(__xludf.DUMMYFUNCTION("""COMPUTED_VALUE"""),"OK")</f>
        <v>OK</v>
      </c>
      <c r="AF42" s="7" t="str">
        <f>IFERROR(__xludf.DUMMYFUNCTION("""COMPUTED_VALUE"""),"Si")</f>
        <v>Si</v>
      </c>
      <c r="AG42" s="43"/>
    </row>
    <row r="43">
      <c r="A43" s="42">
        <f>IFERROR(__xludf.DUMMYFUNCTION("""COMPUTED_VALUE"""),45535.50059534722)</f>
        <v>45535.5006</v>
      </c>
      <c r="B43" s="43" t="str">
        <f>IFERROR(__xludf.DUMMYFUNCTION("""COMPUTED_VALUE"""),"Pedro")</f>
        <v>Pedro</v>
      </c>
      <c r="C43" s="43" t="str">
        <f>IFERROR(__xludf.DUMMYFUNCTION("""COMPUTED_VALUE"""),"Bianchi")</f>
        <v>Bianchi</v>
      </c>
      <c r="D43" s="43" t="str">
        <f>IFERROR(__xludf.DUMMYFUNCTION("""COMPUTED_VALUE"""),"Buenos Aires")</f>
        <v>Buenos Aires</v>
      </c>
      <c r="E43" s="45" t="str">
        <f>IFERROR(__xludf.DUMMYFUNCTION("""COMPUTED_VALUE"""),"ARG")</f>
        <v>ARG</v>
      </c>
      <c r="F43" s="7">
        <f>IFERROR(__xludf.DUMMYFUNCTION("""COMPUTED_VALUE"""),4.8704974E7)</f>
        <v>48704974</v>
      </c>
      <c r="G43" s="44">
        <f>IFERROR(__xludf.DUMMYFUNCTION("""COMPUTED_VALUE"""),39537.0)</f>
        <v>39537</v>
      </c>
      <c r="H43" s="45" t="str">
        <f>IFERROR(__xludf.DUMMYFUNCTION("""COMPUTED_VALUE"""),"+5491166579475")</f>
        <v>+5491166579475</v>
      </c>
      <c r="I43" s="45" t="str">
        <f>IFERROR(__xludf.DUMMYFUNCTION("""COMPUTED_VALUE"""),"+5491168302939")</f>
        <v>+5491168302939</v>
      </c>
      <c r="J43" s="45" t="str">
        <f>IFERROR(__xludf.DUMMYFUNCTION("""COMPUTED_VALUE"""),"pedro.bianchi.yca@gmail.com")</f>
        <v>pedro.bianchi.yca@gmail.com</v>
      </c>
      <c r="K43" s="45" t="str">
        <f>IFERROR(__xludf.DUMMYFUNCTION("""COMPUTED_VALUE"""),"Masculino")</f>
        <v>Masculino</v>
      </c>
      <c r="L43" s="43" t="str">
        <f>IFERROR(__xludf.DUMMYFUNCTION("""COMPUTED_VALUE"""),"YCA")</f>
        <v>YCA</v>
      </c>
      <c r="M43" s="45"/>
      <c r="N43" s="7">
        <f>IFERROR(__xludf.DUMMYFUNCTION("""COMPUTED_VALUE"""),420.0)</f>
        <v>420</v>
      </c>
      <c r="O43" s="7">
        <f>IFERROR(__xludf.DUMMYFUNCTION("""COMPUTED_VALUE"""),59.0)</f>
        <v>59</v>
      </c>
      <c r="P43" s="7">
        <f>IFERROR(__xludf.DUMMYFUNCTION("""COMPUTED_VALUE"""),54838.0)</f>
        <v>54838</v>
      </c>
      <c r="Q43" s="45" t="str">
        <f>IFERROR(__xludf.DUMMYFUNCTION("""COMPUTED_VALUE"""),"Sensei")</f>
        <v>Sensei</v>
      </c>
      <c r="R43" s="45" t="str">
        <f>IFERROR(__xludf.DUMMYFUNCTION("""COMPUTED_VALUE"""),"Magdalena Caranti")</f>
        <v>Magdalena Caranti</v>
      </c>
      <c r="S43" s="45"/>
      <c r="T43" s="45"/>
      <c r="U43" s="45"/>
      <c r="V43" s="45"/>
      <c r="W43" s="45"/>
      <c r="X43" s="47" t="str">
        <f>IFERROR(__xludf.DUMMYFUNCTION("""COMPUTED_VALUE"""),"Medicus")</f>
        <v>Medicus</v>
      </c>
      <c r="Y43" s="7" t="str">
        <f>IFERROR(__xludf.DUMMYFUNCTION("""COMPUTED_VALUE"""),"No")</f>
        <v>No</v>
      </c>
      <c r="Z43" s="7" t="str">
        <f>IFERROR(__xludf.DUMMYFUNCTION("""COMPUTED_VALUE"""),"Acepto")</f>
        <v>Acepto</v>
      </c>
      <c r="AA43" s="48" t="str">
        <f>IFERROR(__xludf.DUMMYFUNCTION("""COMPUTED_VALUE"""),"Terminado")</f>
        <v>Terminado</v>
      </c>
      <c r="AB43" s="48">
        <f>IFERROR(__xludf.DUMMYFUNCTION("""COMPUTED_VALUE"""),75000.0)</f>
        <v>75000</v>
      </c>
      <c r="AC43" s="7">
        <f>IFERROR(__xludf.DUMMYFUNCTION("""COMPUTED_VALUE"""),205491.0)</f>
        <v>205491</v>
      </c>
      <c r="AD43" s="7" t="str">
        <f>IFERROR(__xludf.DUMMYFUNCTION("""COMPUTED_VALUE"""),"TRF 31-08")</f>
        <v>TRF 31-08</v>
      </c>
      <c r="AE43" s="7" t="str">
        <f>IFERROR(__xludf.DUMMYFUNCTION("""COMPUTED_VALUE"""),"OK")</f>
        <v>OK</v>
      </c>
      <c r="AF43" s="7" t="str">
        <f>IFERROR(__xludf.DUMMYFUNCTION("""COMPUTED_VALUE"""),"Si")</f>
        <v>Si</v>
      </c>
      <c r="AG43" s="43"/>
    </row>
    <row r="44">
      <c r="A44" s="19">
        <f>IFERROR(__xludf.DUMMYFUNCTION("""COMPUTED_VALUE"""),45533.71922400463)</f>
        <v>45533.71922</v>
      </c>
      <c r="B44" s="20" t="str">
        <f>IFERROR(__xludf.DUMMYFUNCTION("""COMPUTED_VALUE"""),"Azul")</f>
        <v>Azul</v>
      </c>
      <c r="C44" s="20" t="str">
        <f>IFERROR(__xludf.DUMMYFUNCTION("""COMPUTED_VALUE"""),"Biasi")</f>
        <v>Biasi</v>
      </c>
      <c r="D44" s="20" t="str">
        <f>IFERROR(__xludf.DUMMYFUNCTION("""COMPUTED_VALUE"""),"CABA")</f>
        <v>CABA</v>
      </c>
      <c r="E44" s="21" t="str">
        <f>IFERROR(__xludf.DUMMYFUNCTION("""COMPUTED_VALUE"""),"ARG")</f>
        <v>ARG</v>
      </c>
      <c r="F44" s="21">
        <f>IFERROR(__xludf.DUMMYFUNCTION("""COMPUTED_VALUE"""),5.3240699E7)</f>
        <v>53240699</v>
      </c>
      <c r="G44" s="38">
        <f>IFERROR(__xludf.DUMMYFUNCTION("""COMPUTED_VALUE"""),41423.0)</f>
        <v>41423</v>
      </c>
      <c r="H44" s="39">
        <f>IFERROR(__xludf.DUMMYFUNCTION("""COMPUTED_VALUE"""),1.121700524E9)</f>
        <v>1121700524</v>
      </c>
      <c r="I44" s="20">
        <f>IFERROR(__xludf.DUMMYFUNCTION("""COMPUTED_VALUE"""),1.121700524E9)</f>
        <v>1121700524</v>
      </c>
      <c r="J44" s="20" t="str">
        <f>IFERROR(__xludf.DUMMYFUNCTION("""COMPUTED_VALUE"""),"telizalde@gmail.com")</f>
        <v>telizalde@gmail.com</v>
      </c>
      <c r="K44" s="20" t="str">
        <f>IFERROR(__xludf.DUMMYFUNCTION("""COMPUTED_VALUE"""),"Femenino")</f>
        <v>Femenino</v>
      </c>
      <c r="L44" s="23" t="str">
        <f>IFERROR(__xludf.DUMMYFUNCTION("""COMPUTED_VALUE"""),"YCA")</f>
        <v>YCA</v>
      </c>
      <c r="M44" s="20" t="str">
        <f>IFERROR(__xludf.DUMMYFUNCTION("""COMPUTED_VALUE"""),"Femenino")</f>
        <v>Femenino</v>
      </c>
      <c r="N44" s="21" t="str">
        <f>IFERROR(__xludf.DUMMYFUNCTION("""COMPUTED_VALUE"""),"OPTIMIST PRINCIPIANTES")</f>
        <v>OPTIMIST PRINCIPIANTES</v>
      </c>
      <c r="O44" s="21"/>
      <c r="P44" s="21">
        <f>IFERROR(__xludf.DUMMYFUNCTION("""COMPUTED_VALUE"""),3228.0)</f>
        <v>3228</v>
      </c>
      <c r="Q44" s="20" t="str">
        <f>IFERROR(__xludf.DUMMYFUNCTION("""COMPUTED_VALUE"""),"-")</f>
        <v>-</v>
      </c>
      <c r="R44" s="20"/>
      <c r="S44" s="20"/>
      <c r="T44" s="20"/>
      <c r="U44" s="20"/>
      <c r="V44" s="20"/>
      <c r="W44" s="20"/>
      <c r="X44" s="24" t="str">
        <f>IFERROR(__xludf.DUMMYFUNCTION("""COMPUTED_VALUE"""),"OSDE 61360212803")</f>
        <v>OSDE 61360212803</v>
      </c>
      <c r="Y44" s="21" t="str">
        <f>IFERROR(__xludf.DUMMYFUNCTION("""COMPUTED_VALUE"""),"No")</f>
        <v>No</v>
      </c>
      <c r="Z44" s="21" t="str">
        <f>IFERROR(__xludf.DUMMYFUNCTION("""COMPUTED_VALUE"""),"Acepto")</f>
        <v>Acepto</v>
      </c>
      <c r="AA44" s="18" t="str">
        <f>IFERROR(__xludf.DUMMYFUNCTION("""COMPUTED_VALUE"""),"Terminado")</f>
        <v>Terminado</v>
      </c>
      <c r="AB44" s="18">
        <f>IFERROR(__xludf.DUMMYFUNCTION("""COMPUTED_VALUE"""),50000.0)</f>
        <v>50000</v>
      </c>
      <c r="AC44" s="7">
        <f>IFERROR(__xludf.DUMMYFUNCTION("""COMPUTED_VALUE"""),205081.0)</f>
        <v>205081</v>
      </c>
      <c r="AD44" s="7" t="str">
        <f>IFERROR(__xludf.DUMMYFUNCTION("""COMPUTED_VALUE"""),"TRF 29-08")</f>
        <v>TRF 29-08</v>
      </c>
      <c r="AE44" s="7" t="str">
        <f>IFERROR(__xludf.DUMMYFUNCTION("""COMPUTED_VALUE"""),"Pendiente")</f>
        <v>Pendiente</v>
      </c>
      <c r="AF44" s="21"/>
      <c r="AG44" s="23"/>
    </row>
    <row r="45">
      <c r="A45" s="31">
        <f>IFERROR(__xludf.DUMMYFUNCTION("""COMPUTED_VALUE"""),45535.405896111115)</f>
        <v>45535.4059</v>
      </c>
      <c r="B45" s="12" t="str">
        <f>IFERROR(__xludf.DUMMYFUNCTION("""COMPUTED_VALUE"""),"Maria Emilia")</f>
        <v>Maria Emilia</v>
      </c>
      <c r="C45" s="12" t="str">
        <f>IFERROR(__xludf.DUMMYFUNCTION("""COMPUTED_VALUE"""),"Bieler")</f>
        <v>Bieler</v>
      </c>
      <c r="D45" s="12" t="str">
        <f>IFERROR(__xludf.DUMMYFUNCTION("""COMPUTED_VALUE"""),"Santa Fe")</f>
        <v>Santa Fe</v>
      </c>
      <c r="E45" s="13" t="str">
        <f>IFERROR(__xludf.DUMMYFUNCTION("""COMPUTED_VALUE"""),"ARG")</f>
        <v>ARG</v>
      </c>
      <c r="F45" s="13">
        <f>IFERROR(__xludf.DUMMYFUNCTION("""COMPUTED_VALUE"""),5.0349144E7)</f>
        <v>50349144</v>
      </c>
      <c r="G45" s="33">
        <f>IFERROR(__xludf.DUMMYFUNCTION("""COMPUTED_VALUE"""),40326.0)</f>
        <v>40326</v>
      </c>
      <c r="H45" s="13">
        <f>IFERROR(__xludf.DUMMYFUNCTION("""COMPUTED_VALUE"""),3.424403334E9)</f>
        <v>3424403334</v>
      </c>
      <c r="I45" s="13">
        <f>IFERROR(__xludf.DUMMYFUNCTION("""COMPUTED_VALUE"""),3.424403334E9)</f>
        <v>3424403334</v>
      </c>
      <c r="J45" s="34" t="str">
        <f>IFERROR(__xludf.DUMMYFUNCTION("""COMPUTED_VALUE"""),"cariolalla@yahoo.com")</f>
        <v>cariolalla@yahoo.com</v>
      </c>
      <c r="K45" s="13" t="str">
        <f>IFERROR(__xludf.DUMMYFUNCTION("""COMPUTED_VALUE"""),"Femenino")</f>
        <v>Femenino</v>
      </c>
      <c r="L45" s="16" t="str">
        <f>IFERROR(__xludf.DUMMYFUNCTION("""COMPUTED_VALUE"""),"YCO")</f>
        <v>YCO</v>
      </c>
      <c r="M45" s="12" t="str">
        <f>IFERROR(__xludf.DUMMYFUNCTION("""COMPUTED_VALUE"""),"Femenino, Interior (Optimist)")</f>
        <v>Femenino, Interior (Optimist)</v>
      </c>
      <c r="N45" s="13" t="str">
        <f>IFERROR(__xludf.DUMMYFUNCTION("""COMPUTED_VALUE"""),"OPTIMIST TIMONELES")</f>
        <v>OPTIMIST TIMONELES</v>
      </c>
      <c r="O45" s="13"/>
      <c r="P45" s="13">
        <f>IFERROR(__xludf.DUMMYFUNCTION("""COMPUTED_VALUE"""),3989.0)</f>
        <v>3989</v>
      </c>
      <c r="Q45" s="13"/>
      <c r="R45" s="13"/>
      <c r="S45" s="13"/>
      <c r="T45" s="13"/>
      <c r="U45" s="13"/>
      <c r="V45" s="12"/>
      <c r="W45" s="12"/>
      <c r="X45" s="17" t="str">
        <f>IFERROR(__xludf.DUMMYFUNCTION("""COMPUTED_VALUE"""),"SANATORIO SANTA FE 94702")</f>
        <v>SANATORIO SANTA FE 94702</v>
      </c>
      <c r="Y45" s="13" t="str">
        <f>IFERROR(__xludf.DUMMYFUNCTION("""COMPUTED_VALUE"""),"Si")</f>
        <v>Si</v>
      </c>
      <c r="Z45" s="13" t="str">
        <f>IFERROR(__xludf.DUMMYFUNCTION("""COMPUTED_VALUE"""),"Acepto")</f>
        <v>Acepto</v>
      </c>
      <c r="AA45" s="25" t="str">
        <f>IFERROR(__xludf.DUMMYFUNCTION("""COMPUTED_VALUE"""),"Terminado")</f>
        <v>Terminado</v>
      </c>
      <c r="AB45" s="25">
        <f>IFERROR(__xludf.DUMMYFUNCTION("""COMPUTED_VALUE"""),50000.0)</f>
        <v>50000</v>
      </c>
      <c r="AC45" s="7">
        <f>IFERROR(__xludf.DUMMYFUNCTION("""COMPUTED_VALUE"""),205109.0)</f>
        <v>205109</v>
      </c>
      <c r="AD45" s="7" t="str">
        <f>IFERROR(__xludf.DUMMYFUNCTION("""COMPUTED_VALUE"""),"Tarj 31-08")</f>
        <v>Tarj 31-08</v>
      </c>
      <c r="AE45" s="7" t="str">
        <f>IFERROR(__xludf.DUMMYFUNCTION("""COMPUTED_VALUE"""),"OK")</f>
        <v>OK</v>
      </c>
      <c r="AF45" s="13"/>
      <c r="AG45" s="16"/>
    </row>
    <row r="46">
      <c r="A46" s="19">
        <f>IFERROR(__xludf.DUMMYFUNCTION("""COMPUTED_VALUE"""),45535.408855092595)</f>
        <v>45535.40886</v>
      </c>
      <c r="B46" s="20" t="str">
        <f>IFERROR(__xludf.DUMMYFUNCTION("""COMPUTED_VALUE"""),"Tizziano")</f>
        <v>Tizziano</v>
      </c>
      <c r="C46" s="20" t="str">
        <f>IFERROR(__xludf.DUMMYFUNCTION("""COMPUTED_VALUE"""),"Bieler")</f>
        <v>Bieler</v>
      </c>
      <c r="D46" s="20" t="str">
        <f>IFERROR(__xludf.DUMMYFUNCTION("""COMPUTED_VALUE"""),"Santa Fe")</f>
        <v>Santa Fe</v>
      </c>
      <c r="E46" s="21" t="str">
        <f>IFERROR(__xludf.DUMMYFUNCTION("""COMPUTED_VALUE"""),"ARG")</f>
        <v>ARG</v>
      </c>
      <c r="F46" s="21">
        <f>IFERROR(__xludf.DUMMYFUNCTION("""COMPUTED_VALUE"""),5.3801029E7)</f>
        <v>53801029</v>
      </c>
      <c r="G46" s="22">
        <f>IFERROR(__xludf.DUMMYFUNCTION("""COMPUTED_VALUE"""),41684.0)</f>
        <v>41684</v>
      </c>
      <c r="H46" s="21">
        <f>IFERROR(__xludf.DUMMYFUNCTION("""COMPUTED_VALUE"""),3.424403334E9)</f>
        <v>3424403334</v>
      </c>
      <c r="I46" s="51">
        <f>IFERROR(__xludf.DUMMYFUNCTION("""COMPUTED_VALUE"""),3.424403334E9)</f>
        <v>3424403334</v>
      </c>
      <c r="J46" s="29" t="str">
        <f>IFERROR(__xludf.DUMMYFUNCTION("""COMPUTED_VALUE"""),"cariolalla@yahoo.com")</f>
        <v>cariolalla@yahoo.com</v>
      </c>
      <c r="K46" s="21" t="str">
        <f>IFERROR(__xludf.DUMMYFUNCTION("""COMPUTED_VALUE"""),"Masculino")</f>
        <v>Masculino</v>
      </c>
      <c r="L46" s="23" t="str">
        <f>IFERROR(__xludf.DUMMYFUNCTION("""COMPUTED_VALUE"""),"YCO / CNP")</f>
        <v>YCO / CNP</v>
      </c>
      <c r="M46" s="20" t="str">
        <f>IFERROR(__xludf.DUMMYFUNCTION("""COMPUTED_VALUE"""),"Interior (Optimist)")</f>
        <v>Interior (Optimist)</v>
      </c>
      <c r="N46" s="21" t="str">
        <f>IFERROR(__xludf.DUMMYFUNCTION("""COMPUTED_VALUE"""),"OPTIMIST PRINCIPIANTES")</f>
        <v>OPTIMIST PRINCIPIANTES</v>
      </c>
      <c r="O46" s="21"/>
      <c r="P46" s="21">
        <f>IFERROR(__xludf.DUMMYFUNCTION("""COMPUTED_VALUE"""),3880.0)</f>
        <v>3880</v>
      </c>
      <c r="Q46" s="20"/>
      <c r="R46" s="20"/>
      <c r="S46" s="20"/>
      <c r="T46" s="20"/>
      <c r="U46" s="20"/>
      <c r="V46" s="20"/>
      <c r="W46" s="20"/>
      <c r="X46" s="24" t="str">
        <f>IFERROR(__xludf.DUMMYFUNCTION("""COMPUTED_VALUE"""),"SANATORIO SANTA FE 94702")</f>
        <v>SANATORIO SANTA FE 94702</v>
      </c>
      <c r="Y46" s="21" t="str">
        <f>IFERROR(__xludf.DUMMYFUNCTION("""COMPUTED_VALUE"""),"Si")</f>
        <v>Si</v>
      </c>
      <c r="Z46" s="21" t="str">
        <f>IFERROR(__xludf.DUMMYFUNCTION("""COMPUTED_VALUE"""),"Acepto")</f>
        <v>Acepto</v>
      </c>
      <c r="AA46" s="25" t="str">
        <f>IFERROR(__xludf.DUMMYFUNCTION("""COMPUTED_VALUE"""),"Terminado")</f>
        <v>Terminado</v>
      </c>
      <c r="AB46" s="25">
        <f>IFERROR(__xludf.DUMMYFUNCTION("""COMPUTED_VALUE"""),50000.0)</f>
        <v>50000</v>
      </c>
      <c r="AC46" s="7">
        <f>IFERROR(__xludf.DUMMYFUNCTION("""COMPUTED_VALUE"""),205110.0)</f>
        <v>205110</v>
      </c>
      <c r="AD46" s="7" t="str">
        <f>IFERROR(__xludf.DUMMYFUNCTION("""COMPUTED_VALUE"""),"Tarj 31-08")</f>
        <v>Tarj 31-08</v>
      </c>
      <c r="AE46" s="7" t="str">
        <f>IFERROR(__xludf.DUMMYFUNCTION("""COMPUTED_VALUE"""),"OK")</f>
        <v>OK</v>
      </c>
      <c r="AF46" s="21"/>
      <c r="AG46" s="23"/>
    </row>
    <row r="47">
      <c r="A47" s="52">
        <f>IFERROR(__xludf.DUMMYFUNCTION("""COMPUTED_VALUE"""),45533.464233506944)</f>
        <v>45533.46423</v>
      </c>
      <c r="B47" s="43" t="str">
        <f>IFERROR(__xludf.DUMMYFUNCTION("""COMPUTED_VALUE"""),"Benjamín ")</f>
        <v>Benjamín </v>
      </c>
      <c r="C47" s="43" t="str">
        <f>IFERROR(__xludf.DUMMYFUNCTION("""COMPUTED_VALUE"""),"Bizet ")</f>
        <v>Bizet </v>
      </c>
      <c r="D47" s="43" t="str">
        <f>IFERROR(__xludf.DUMMYFUNCTION("""COMPUTED_VALUE"""),"La Plata")</f>
        <v>La Plata</v>
      </c>
      <c r="E47" s="7" t="str">
        <f>IFERROR(__xludf.DUMMYFUNCTION("""COMPUTED_VALUE"""),"ARG")</f>
        <v>ARG</v>
      </c>
      <c r="F47" s="7">
        <f>IFERROR(__xludf.DUMMYFUNCTION("""COMPUTED_VALUE"""),4.7551873E7)</f>
        <v>47551873</v>
      </c>
      <c r="G47" s="53">
        <f>IFERROR(__xludf.DUMMYFUNCTION("""COMPUTED_VALUE"""),39077.0)</f>
        <v>39077</v>
      </c>
      <c r="H47" s="7">
        <f>IFERROR(__xludf.DUMMYFUNCTION("""COMPUTED_VALUE"""),2.213064915E9)</f>
        <v>2213064915</v>
      </c>
      <c r="I47" s="7">
        <f>IFERROR(__xludf.DUMMYFUNCTION("""COMPUTED_VALUE"""),2.215663203E9)</f>
        <v>2215663203</v>
      </c>
      <c r="J47" s="7" t="str">
        <f>IFERROR(__xludf.DUMMYFUNCTION("""COMPUTED_VALUE"""),"benjabizet22@gmail.com")</f>
        <v>benjabizet22@gmail.com</v>
      </c>
      <c r="K47" s="7" t="str">
        <f>IFERROR(__xludf.DUMMYFUNCTION("""COMPUTED_VALUE"""),"Masculino")</f>
        <v>Masculino</v>
      </c>
      <c r="L47" s="43" t="str">
        <f>IFERROR(__xludf.DUMMYFUNCTION("""COMPUTED_VALUE"""),"CRLP ")</f>
        <v>CRLP </v>
      </c>
      <c r="M47" s="43"/>
      <c r="N47" s="54" t="str">
        <f>IFERROR(__xludf.DUMMYFUNCTION("""COMPUTED_VALUE"""),"ILCA 6")</f>
        <v>ILCA 6</v>
      </c>
      <c r="O47" s="7"/>
      <c r="P47" s="7">
        <f>IFERROR(__xludf.DUMMYFUNCTION("""COMPUTED_VALUE"""),169450.0)</f>
        <v>169450</v>
      </c>
      <c r="Q47" s="7"/>
      <c r="R47" s="55"/>
      <c r="S47" s="7"/>
      <c r="T47" s="7"/>
      <c r="U47" s="7"/>
      <c r="V47" s="45"/>
      <c r="W47" s="45"/>
      <c r="X47" s="47"/>
      <c r="Y47" s="7" t="str">
        <f>IFERROR(__xludf.DUMMYFUNCTION("""COMPUTED_VALUE"""),"No")</f>
        <v>No</v>
      </c>
      <c r="Z47" s="7" t="str">
        <f>IFERROR(__xludf.DUMMYFUNCTION("""COMPUTED_VALUE"""),"Acepto")</f>
        <v>Acepto</v>
      </c>
      <c r="AA47" s="48" t="str">
        <f>IFERROR(__xludf.DUMMYFUNCTION("""COMPUTED_VALUE"""),"Terminado")</f>
        <v>Terminado</v>
      </c>
      <c r="AB47" s="48">
        <f>IFERROR(__xludf.DUMMYFUNCTION("""COMPUTED_VALUE"""),50000.0)</f>
        <v>50000</v>
      </c>
      <c r="AC47" s="49">
        <f>IFERROR(__xludf.DUMMYFUNCTION("""COMPUTED_VALUE"""),205074.0)</f>
        <v>205074</v>
      </c>
      <c r="AD47" s="7" t="str">
        <f>IFERROR(__xludf.DUMMYFUNCTION("""COMPUTED_VALUE"""),"TRF 29-08")</f>
        <v>TRF 29-08</v>
      </c>
      <c r="AE47" s="7" t="str">
        <f>IFERROR(__xludf.DUMMYFUNCTION("""COMPUTED_VALUE"""),"OK")</f>
        <v>OK</v>
      </c>
      <c r="AF47" s="7"/>
      <c r="AG47" s="43"/>
    </row>
    <row r="48">
      <c r="A48" s="19">
        <f>IFERROR(__xludf.DUMMYFUNCTION("""COMPUTED_VALUE"""),45538.85747483796)</f>
        <v>45538.85747</v>
      </c>
      <c r="B48" s="20" t="str">
        <f>IFERROR(__xludf.DUMMYFUNCTION("""COMPUTED_VALUE"""),"Joaquin")</f>
        <v>Joaquin</v>
      </c>
      <c r="C48" s="20" t="str">
        <f>IFERROR(__xludf.DUMMYFUNCTION("""COMPUTED_VALUE"""),"Blousson")</f>
        <v>Blousson</v>
      </c>
      <c r="D48" s="20" t="str">
        <f>IFERROR(__xludf.DUMMYFUNCTION("""COMPUTED_VALUE"""),"CABA")</f>
        <v>CABA</v>
      </c>
      <c r="E48" s="21" t="str">
        <f>IFERROR(__xludf.DUMMYFUNCTION("""COMPUTED_VALUE"""),"ARG")</f>
        <v>ARG</v>
      </c>
      <c r="F48" s="21">
        <f>IFERROR(__xludf.DUMMYFUNCTION("""COMPUTED_VALUE"""),4.885739E7)</f>
        <v>48857390</v>
      </c>
      <c r="G48" s="22">
        <f>IFERROR(__xludf.DUMMYFUNCTION("""COMPUTED_VALUE"""),-690812.0)</f>
        <v>-690812</v>
      </c>
      <c r="H48" s="21">
        <f>IFERROR(__xludf.DUMMYFUNCTION("""COMPUTED_VALUE"""),1.158179367E9)</f>
        <v>1158179367</v>
      </c>
      <c r="I48" s="21"/>
      <c r="J48" s="21" t="str">
        <f>IFERROR(__xludf.DUMMYFUNCTION("""COMPUTED_VALUE"""),"jblousson@gmail.com")</f>
        <v>jblousson@gmail.com</v>
      </c>
      <c r="K48" s="21" t="str">
        <f>IFERROR(__xludf.DUMMYFUNCTION("""COMPUTED_VALUE"""),"Masculino")</f>
        <v>Masculino</v>
      </c>
      <c r="L48" s="23" t="str">
        <f>IFERROR(__xludf.DUMMYFUNCTION("""COMPUTED_VALUE"""),"YCA")</f>
        <v>YCA</v>
      </c>
      <c r="M48" s="20"/>
      <c r="N48" s="21">
        <f>IFERROR(__xludf.DUMMYFUNCTION("""COMPUTED_VALUE"""),420.0)</f>
        <v>420</v>
      </c>
      <c r="O48" s="21">
        <f>IFERROR(__xludf.DUMMYFUNCTION("""COMPUTED_VALUE"""),63.0)</f>
        <v>63</v>
      </c>
      <c r="P48" s="21">
        <f>IFERROR(__xludf.DUMMYFUNCTION("""COMPUTED_VALUE"""),54842.0)</f>
        <v>54842</v>
      </c>
      <c r="Q48" s="20" t="str">
        <f>IFERROR(__xludf.DUMMYFUNCTION("""COMPUTED_VALUE"""),"Sonia")</f>
        <v>Sonia</v>
      </c>
      <c r="R48" s="20" t="str">
        <f>IFERROR(__xludf.DUMMYFUNCTION("""COMPUTED_VALUE"""),"Joaquin Blousson")</f>
        <v>Joaquin Blousson</v>
      </c>
      <c r="S48" s="20" t="str">
        <f>IFERROR(__xludf.DUMMYFUNCTION("""COMPUTED_VALUE"""),"Franco Blousson")</f>
        <v>Franco Blousson</v>
      </c>
      <c r="T48" s="20"/>
      <c r="U48" s="20"/>
      <c r="V48" s="20"/>
      <c r="W48" s="20"/>
      <c r="X48" s="24" t="str">
        <f>IFERROR(__xludf.DUMMYFUNCTION("""COMPUTED_VALUE"""),"OSDE")</f>
        <v>OSDE</v>
      </c>
      <c r="Y48" s="21" t="str">
        <f>IFERROR(__xludf.DUMMYFUNCTION("""COMPUTED_VALUE"""),"No")</f>
        <v>No</v>
      </c>
      <c r="Z48" s="21" t="str">
        <f>IFERROR(__xludf.DUMMYFUNCTION("""COMPUTED_VALUE"""),"Acepto")</f>
        <v>Acepto</v>
      </c>
      <c r="AA48" s="25" t="str">
        <f>IFERROR(__xludf.DUMMYFUNCTION("""COMPUTED_VALUE"""),"Terminado")</f>
        <v>Terminado</v>
      </c>
      <c r="AB48" s="25">
        <f>IFERROR(__xludf.DUMMYFUNCTION("""COMPUTED_VALUE"""),80000.0)</f>
        <v>80000</v>
      </c>
      <c r="AC48" s="7">
        <f>IFERROR(__xludf.DUMMYFUNCTION("""COMPUTED_VALUE"""),205407.0)</f>
        <v>205407</v>
      </c>
      <c r="AD48" s="7" t="str">
        <f>IFERROR(__xludf.DUMMYFUNCTION("""COMPUTED_VALUE"""),"TRF 03-09")</f>
        <v>TRF 03-09</v>
      </c>
      <c r="AE48" s="7" t="str">
        <f>IFERROR(__xludf.DUMMYFUNCTION("""COMPUTED_VALUE"""),"OK")</f>
        <v>OK</v>
      </c>
      <c r="AF48" s="21" t="str">
        <f>IFERROR(__xludf.DUMMYFUNCTION("""COMPUTED_VALUE"""),"SI")</f>
        <v>SI</v>
      </c>
      <c r="AG48" s="23"/>
    </row>
    <row r="49">
      <c r="A49" s="52">
        <f>IFERROR(__xludf.DUMMYFUNCTION("""COMPUTED_VALUE"""),45537.80565019676)</f>
        <v>45537.80565</v>
      </c>
      <c r="B49" s="43" t="str">
        <f>IFERROR(__xludf.DUMMYFUNCTION("""COMPUTED_VALUE"""),"Martín")</f>
        <v>Martín</v>
      </c>
      <c r="C49" s="43" t="str">
        <f>IFERROR(__xludf.DUMMYFUNCTION("""COMPUTED_VALUE"""),"Böhm")</f>
        <v>Böhm</v>
      </c>
      <c r="D49" s="43" t="str">
        <f>IFERROR(__xludf.DUMMYFUNCTION("""COMPUTED_VALUE"""),"Buenos Aires")</f>
        <v>Buenos Aires</v>
      </c>
      <c r="E49" s="7" t="str">
        <f>IFERROR(__xludf.DUMMYFUNCTION("""COMPUTED_VALUE"""),"ARG")</f>
        <v>ARG</v>
      </c>
      <c r="F49" s="7">
        <f>IFERROR(__xludf.DUMMYFUNCTION("""COMPUTED_VALUE"""),5.1071134E7)</f>
        <v>51071134</v>
      </c>
      <c r="G49" s="44">
        <f>IFERROR(__xludf.DUMMYFUNCTION("""COMPUTED_VALUE"""),40620.0)</f>
        <v>40620</v>
      </c>
      <c r="H49" s="45" t="str">
        <f>IFERROR(__xludf.DUMMYFUNCTION("""COMPUTED_VALUE"""),"011 3181 3486")</f>
        <v>011 3181 3486</v>
      </c>
      <c r="I49" s="45" t="str">
        <f>IFERROR(__xludf.DUMMYFUNCTION("""COMPUTED_VALUE"""),"011 3521 9706")</f>
        <v>011 3521 9706</v>
      </c>
      <c r="J49" s="45" t="str">
        <f>IFERROR(__xludf.DUMMYFUNCTION("""COMPUTED_VALUE"""),"norberto@boehm.com.ar")</f>
        <v>norberto@boehm.com.ar</v>
      </c>
      <c r="K49" s="45" t="str">
        <f>IFERROR(__xludf.DUMMYFUNCTION("""COMPUTED_VALUE"""),"Masculino")</f>
        <v>Masculino</v>
      </c>
      <c r="L49" s="43" t="str">
        <f>IFERROR(__xludf.DUMMYFUNCTION("""COMPUTED_VALUE"""),"CNO")</f>
        <v>CNO</v>
      </c>
      <c r="M49" s="43"/>
      <c r="N49" s="7" t="str">
        <f>IFERROR(__xludf.DUMMYFUNCTION("""COMPUTED_VALUE"""),"OPTIMIST PRINCIPIANTES")</f>
        <v>OPTIMIST PRINCIPIANTES</v>
      </c>
      <c r="O49" s="7">
        <f>IFERROR(__xludf.DUMMYFUNCTION("""COMPUTED_VALUE"""),9.0)</f>
        <v>9</v>
      </c>
      <c r="P49" s="7">
        <f>IFERROR(__xludf.DUMMYFUNCTION("""COMPUTED_VALUE"""),343.0)</f>
        <v>343</v>
      </c>
      <c r="Q49" s="45" t="str">
        <f>IFERROR(__xludf.DUMMYFUNCTION("""COMPUTED_VALUE"""),"Speed Racer")</f>
        <v>Speed Racer</v>
      </c>
      <c r="R49" s="45"/>
      <c r="S49" s="45"/>
      <c r="T49" s="45"/>
      <c r="U49" s="45"/>
      <c r="V49" s="45"/>
      <c r="W49" s="45"/>
      <c r="X49" s="47" t="str">
        <f>IFERROR(__xludf.DUMMYFUNCTION("""COMPUTED_VALUE"""),"OSDE 60 920464 4 04")</f>
        <v>OSDE 60 920464 4 04</v>
      </c>
      <c r="Y49" s="7" t="str">
        <f>IFERROR(__xludf.DUMMYFUNCTION("""COMPUTED_VALUE"""),"No")</f>
        <v>No</v>
      </c>
      <c r="Z49" s="7" t="str">
        <f>IFERROR(__xludf.DUMMYFUNCTION("""COMPUTED_VALUE"""),"Acepto")</f>
        <v>Acepto</v>
      </c>
      <c r="AA49" s="48" t="str">
        <f>IFERROR(__xludf.DUMMYFUNCTION("""COMPUTED_VALUE"""),"Terminado")</f>
        <v>Terminado</v>
      </c>
      <c r="AB49" s="48">
        <f>IFERROR(__xludf.DUMMYFUNCTION("""COMPUTED_VALUE"""),50000.0)</f>
        <v>50000</v>
      </c>
      <c r="AC49" s="49">
        <f>IFERROR(__xludf.DUMMYFUNCTION("""COMPUTED_VALUE"""),205405.0)</f>
        <v>205405</v>
      </c>
      <c r="AD49" s="7" t="str">
        <f>IFERROR(__xludf.DUMMYFUNCTION("""COMPUTED_VALUE"""),"TRF 02-09")</f>
        <v>TRF 02-09</v>
      </c>
      <c r="AE49" s="7" t="str">
        <f>IFERROR(__xludf.DUMMYFUNCTION("""COMPUTED_VALUE"""),"Pendiente")</f>
        <v>Pendiente</v>
      </c>
      <c r="AF49" s="7" t="str">
        <f>IFERROR(__xludf.DUMMYFUNCTION("""COMPUTED_VALUE"""),"Si")</f>
        <v>Si</v>
      </c>
      <c r="AG49" s="43"/>
    </row>
    <row r="50">
      <c r="A50" s="42">
        <f>IFERROR(__xludf.DUMMYFUNCTION("""COMPUTED_VALUE"""),45524.88328071759)</f>
        <v>45524.88328</v>
      </c>
      <c r="B50" s="43" t="str">
        <f>IFERROR(__xludf.DUMMYFUNCTION("""COMPUTED_VALUE"""),"Diego")</f>
        <v>Diego</v>
      </c>
      <c r="C50" s="43" t="str">
        <f>IFERROR(__xludf.DUMMYFUNCTION("""COMPUTED_VALUE"""),"Borlenghi")</f>
        <v>Borlenghi</v>
      </c>
      <c r="D50" s="43" t="str">
        <f>IFERROR(__xludf.DUMMYFUNCTION("""COMPUTED_VALUE"""),"buenos aires")</f>
        <v>buenos aires</v>
      </c>
      <c r="E50" s="7" t="str">
        <f>IFERROR(__xludf.DUMMYFUNCTION("""COMPUTED_VALUE"""),"ARG")</f>
        <v>ARG</v>
      </c>
      <c r="F50" s="7">
        <f>IFERROR(__xludf.DUMMYFUNCTION("""COMPUTED_VALUE"""),5.2827491E7)</f>
        <v>52827491</v>
      </c>
      <c r="G50" s="44">
        <f>IFERROR(__xludf.DUMMYFUNCTION("""COMPUTED_VALUE"""),41261.0)</f>
        <v>41261</v>
      </c>
      <c r="H50" s="45">
        <f>IFERROR(__xludf.DUMMYFUNCTION("""COMPUTED_VALUE"""),1.156913406E9)</f>
        <v>1156913406</v>
      </c>
      <c r="I50" s="46"/>
      <c r="J50" s="45" t="str">
        <f>IFERROR(__xludf.DUMMYFUNCTION("""COMPUTED_VALUE"""),"gaby.rodriguez@yahoo.com.ar")</f>
        <v>gaby.rodriguez@yahoo.com.ar</v>
      </c>
      <c r="K50" s="45" t="str">
        <f>IFERROR(__xludf.DUMMYFUNCTION("""COMPUTED_VALUE"""),"Masculino")</f>
        <v>Masculino</v>
      </c>
      <c r="L50" s="43" t="str">
        <f>IFERROR(__xludf.DUMMYFUNCTION("""COMPUTED_VALUE"""),"CPNLB ")</f>
        <v>CPNLB </v>
      </c>
      <c r="M50" s="45"/>
      <c r="N50" s="7" t="str">
        <f>IFERROR(__xludf.DUMMYFUNCTION("""COMPUTED_VALUE"""),"OPTIMIST TIMONELES")</f>
        <v>OPTIMIST TIMONELES</v>
      </c>
      <c r="O50" s="7"/>
      <c r="P50" s="7">
        <f>IFERROR(__xludf.DUMMYFUNCTION("""COMPUTED_VALUE"""),4023.0)</f>
        <v>4023</v>
      </c>
      <c r="Q50" s="45"/>
      <c r="R50" s="45"/>
      <c r="S50" s="45"/>
      <c r="T50" s="45"/>
      <c r="U50" s="45"/>
      <c r="V50" s="45"/>
      <c r="W50" s="45"/>
      <c r="X50" s="47"/>
      <c r="Y50" s="7" t="str">
        <f>IFERROR(__xludf.DUMMYFUNCTION("""COMPUTED_VALUE"""),"Si")</f>
        <v>Si</v>
      </c>
      <c r="Z50" s="7" t="str">
        <f>IFERROR(__xludf.DUMMYFUNCTION("""COMPUTED_VALUE"""),"Acepto")</f>
        <v>Acepto</v>
      </c>
      <c r="AA50" s="48" t="str">
        <f>IFERROR(__xludf.DUMMYFUNCTION("""COMPUTED_VALUE"""),"Terminado")</f>
        <v>Terminado</v>
      </c>
      <c r="AB50" s="48">
        <f>IFERROR(__xludf.DUMMYFUNCTION("""COMPUTED_VALUE"""),60000.0)</f>
        <v>60000</v>
      </c>
      <c r="AC50" s="7">
        <f>IFERROR(__xludf.DUMMYFUNCTION("""COMPUTED_VALUE"""),205012.0)</f>
        <v>205012</v>
      </c>
      <c r="AD50" s="7" t="str">
        <f>IFERROR(__xludf.DUMMYFUNCTION("""COMPUTED_VALUE"""),"TRF 20-08")</f>
        <v>TRF 20-08</v>
      </c>
      <c r="AE50" s="7" t="str">
        <f>IFERROR(__xludf.DUMMYFUNCTION("""COMPUTED_VALUE"""),"OK")</f>
        <v>OK</v>
      </c>
      <c r="AF50" s="7" t="str">
        <f>IFERROR(__xludf.DUMMYFUNCTION("""COMPUTED_VALUE"""),"SI")</f>
        <v>SI</v>
      </c>
      <c r="AG50" s="43"/>
    </row>
    <row r="51">
      <c r="A51" s="42">
        <f>IFERROR(__xludf.DUMMYFUNCTION("""COMPUTED_VALUE"""),45533.922367719904)</f>
        <v>45533.92237</v>
      </c>
      <c r="B51" s="43" t="str">
        <f>IFERROR(__xludf.DUMMYFUNCTION("""COMPUTED_VALUE"""),"Olivia ")</f>
        <v>Olivia </v>
      </c>
      <c r="C51" s="43" t="str">
        <f>IFERROR(__xludf.DUMMYFUNCTION("""COMPUTED_VALUE"""),"Bouvier ")</f>
        <v>Bouvier </v>
      </c>
      <c r="D51" s="43" t="str">
        <f>IFERROR(__xludf.DUMMYFUNCTION("""COMPUTED_VALUE"""),"Zárate ")</f>
        <v>Zárate </v>
      </c>
      <c r="E51" s="7" t="str">
        <f>IFERROR(__xludf.DUMMYFUNCTION("""COMPUTED_VALUE"""),"ARG")</f>
        <v>ARG</v>
      </c>
      <c r="F51" s="7">
        <f>IFERROR(__xludf.DUMMYFUNCTION("""COMPUTED_VALUE"""),5.0417852E7)</f>
        <v>50417852</v>
      </c>
      <c r="G51" s="44">
        <f>IFERROR(__xludf.DUMMYFUNCTION("""COMPUTED_VALUE"""),40456.0)</f>
        <v>40456</v>
      </c>
      <c r="H51" s="45">
        <f>IFERROR(__xludf.DUMMYFUNCTION("""COMPUTED_VALUE"""),1.150435258E9)</f>
        <v>1150435258</v>
      </c>
      <c r="I51" s="46">
        <f>IFERROR(__xludf.DUMMYFUNCTION("""COMPUTED_VALUE"""),1.149168977E9)</f>
        <v>1149168977</v>
      </c>
      <c r="J51" s="45" t="str">
        <f>IFERROR(__xludf.DUMMYFUNCTION("""COMPUTED_VALUE"""),"Verominetti75@gmail.com")</f>
        <v>Verominetti75@gmail.com</v>
      </c>
      <c r="K51" s="45" t="str">
        <f>IFERROR(__xludf.DUMMYFUNCTION("""COMPUTED_VALUE"""),"Femenino")</f>
        <v>Femenino</v>
      </c>
      <c r="L51" s="43" t="str">
        <f>IFERROR(__xludf.DUMMYFUNCTION("""COMPUTED_VALUE"""),"CNZ")</f>
        <v>CNZ</v>
      </c>
      <c r="M51" s="45"/>
      <c r="N51" s="7" t="str">
        <f>IFERROR(__xludf.DUMMYFUNCTION("""COMPUTED_VALUE"""),"OPTIMIST TIMONELES")</f>
        <v>OPTIMIST TIMONELES</v>
      </c>
      <c r="O51" s="7"/>
      <c r="P51" s="7">
        <f>IFERROR(__xludf.DUMMYFUNCTION("""COMPUTED_VALUE"""),3888.0)</f>
        <v>3888</v>
      </c>
      <c r="Q51" s="45"/>
      <c r="R51" s="45" t="str">
        <f>IFERROR(__xludf.DUMMYFUNCTION("""COMPUTED_VALUE"""),"Oliva Bouvier ")</f>
        <v>Oliva Bouvier </v>
      </c>
      <c r="S51" s="45"/>
      <c r="T51" s="45"/>
      <c r="U51" s="45"/>
      <c r="V51" s="45"/>
      <c r="W51" s="45"/>
      <c r="X51" s="47" t="str">
        <f>IFERROR(__xludf.DUMMYFUNCTION("""COMPUTED_VALUE"""),"Swiss Medical")</f>
        <v>Swiss Medical</v>
      </c>
      <c r="Y51" s="7" t="str">
        <f>IFERROR(__xludf.DUMMYFUNCTION("""COMPUTED_VALUE"""),"No")</f>
        <v>No</v>
      </c>
      <c r="Z51" s="7" t="str">
        <f>IFERROR(__xludf.DUMMYFUNCTION("""COMPUTED_VALUE"""),"Acepto")</f>
        <v>Acepto</v>
      </c>
      <c r="AA51" s="48" t="str">
        <f>IFERROR(__xludf.DUMMYFUNCTION("""COMPUTED_VALUE"""),"Terminado")</f>
        <v>Terminado</v>
      </c>
      <c r="AB51" s="48">
        <f>IFERROR(__xludf.DUMMYFUNCTION("""COMPUTED_VALUE"""),50000.0)</f>
        <v>50000</v>
      </c>
      <c r="AC51" s="7">
        <f>IFERROR(__xludf.DUMMYFUNCTION("""COMPUTED_VALUE"""),205085.0)</f>
        <v>205085</v>
      </c>
      <c r="AD51" s="7" t="str">
        <f>IFERROR(__xludf.DUMMYFUNCTION("""COMPUTED_VALUE"""),"TRF 29-08")</f>
        <v>TRF 29-08</v>
      </c>
      <c r="AE51" s="7" t="str">
        <f>IFERROR(__xludf.DUMMYFUNCTION("""COMPUTED_VALUE"""),"OK")</f>
        <v>OK</v>
      </c>
      <c r="AF51" s="7"/>
      <c r="AG51" s="43"/>
    </row>
    <row r="52">
      <c r="A52" s="42">
        <f>IFERROR(__xludf.DUMMYFUNCTION("""COMPUTED_VALUE"""),45526.51865115741)</f>
        <v>45526.51865</v>
      </c>
      <c r="B52" s="43" t="str">
        <f>IFERROR(__xludf.DUMMYFUNCTION("""COMPUTED_VALUE"""),"franco")</f>
        <v>franco</v>
      </c>
      <c r="C52" s="43" t="str">
        <f>IFERROR(__xludf.DUMMYFUNCTION("""COMPUTED_VALUE"""),"braccini")</f>
        <v>braccini</v>
      </c>
      <c r="D52" s="43" t="str">
        <f>IFERROR(__xludf.DUMMYFUNCTION("""COMPUTED_VALUE"""),"bahia blanca")</f>
        <v>bahia blanca</v>
      </c>
      <c r="E52" s="7" t="str">
        <f>IFERROR(__xludf.DUMMYFUNCTION("""COMPUTED_VALUE"""),"ARG")</f>
        <v>ARG</v>
      </c>
      <c r="F52" s="7">
        <f>IFERROR(__xludf.DUMMYFUNCTION("""COMPUTED_VALUE"""),3.9877404E7)</f>
        <v>39877404</v>
      </c>
      <c r="G52" s="44">
        <f>IFERROR(__xludf.DUMMYFUNCTION("""COMPUTED_VALUE"""),35321.0)</f>
        <v>35321</v>
      </c>
      <c r="H52" s="45">
        <f>IFERROR(__xludf.DUMMYFUNCTION("""COMPUTED_VALUE"""),2.914708823E9)</f>
        <v>2914708823</v>
      </c>
      <c r="I52" s="46"/>
      <c r="J52" s="45" t="str">
        <f>IFERROR(__xludf.DUMMYFUNCTION("""COMPUTED_VALUE"""),"franco-braccini@hotmail.com")</f>
        <v>franco-braccini@hotmail.com</v>
      </c>
      <c r="K52" s="45" t="str">
        <f>IFERROR(__xludf.DUMMYFUNCTION("""COMPUTED_VALUE"""),"Masculino")</f>
        <v>Masculino</v>
      </c>
      <c r="L52" s="43" t="str">
        <f>IFERROR(__xludf.DUMMYFUNCTION("""COMPUTED_VALUE"""),"YCPB - YCA")</f>
        <v>YCPB - YCA</v>
      </c>
      <c r="M52" s="45"/>
      <c r="N52" s="7" t="str">
        <f>IFERROR(__xludf.DUMMYFUNCTION("""COMPUTED_VALUE"""),"SNIPE")</f>
        <v>SNIPE</v>
      </c>
      <c r="O52" s="7"/>
      <c r="P52" s="7">
        <f>IFERROR(__xludf.DUMMYFUNCTION("""COMPUTED_VALUE"""),31395.0)</f>
        <v>31395</v>
      </c>
      <c r="Q52" s="45" t="str">
        <f>IFERROR(__xludf.DUMMYFUNCTION("""COMPUTED_VALUE"""),"Rigging BBa")</f>
        <v>Rigging BBa</v>
      </c>
      <c r="R52" s="45" t="str">
        <f>IFERROR(__xludf.DUMMYFUNCTION("""COMPUTED_VALUE"""),"Alejandro Pilotti")</f>
        <v>Alejandro Pilotti</v>
      </c>
      <c r="S52" s="45"/>
      <c r="T52" s="45"/>
      <c r="U52" s="45"/>
      <c r="V52" s="45"/>
      <c r="W52" s="45"/>
      <c r="X52" s="47"/>
      <c r="Y52" s="7" t="str">
        <f>IFERROR(__xludf.DUMMYFUNCTION("""COMPUTED_VALUE"""),"Si")</f>
        <v>Si</v>
      </c>
      <c r="Z52" s="7" t="str">
        <f>IFERROR(__xludf.DUMMYFUNCTION("""COMPUTED_VALUE"""),"Acepto")</f>
        <v>Acepto</v>
      </c>
      <c r="AA52" s="48" t="str">
        <f>IFERROR(__xludf.DUMMYFUNCTION("""COMPUTED_VALUE"""),"Terminado")</f>
        <v>Terminado</v>
      </c>
      <c r="AB52" s="48">
        <f>IFERROR(__xludf.DUMMYFUNCTION("""COMPUTED_VALUE"""),59500.0)</f>
        <v>59500</v>
      </c>
      <c r="AC52" s="7">
        <f>IFERROR(__xludf.DUMMYFUNCTION("""COMPUTED_VALUE"""),205039.0)</f>
        <v>205039</v>
      </c>
      <c r="AD52" s="7" t="str">
        <f>IFERROR(__xludf.DUMMYFUNCTION("""COMPUTED_VALUE"""),"TRF 22-08")</f>
        <v>TRF 22-08</v>
      </c>
      <c r="AE52" s="7" t="str">
        <f>IFERROR(__xludf.DUMMYFUNCTION("""COMPUTED_VALUE"""),"No Corresp")</f>
        <v>No Corresp</v>
      </c>
      <c r="AF52" s="7"/>
      <c r="AG52" s="43"/>
    </row>
    <row r="53">
      <c r="A53" s="42">
        <f>IFERROR(__xludf.DUMMYFUNCTION("""COMPUTED_VALUE"""),45538.592665937496)</f>
        <v>45538.59267</v>
      </c>
      <c r="B53" s="43" t="str">
        <f>IFERROR(__xludf.DUMMYFUNCTION("""COMPUTED_VALUE"""),"Ines")</f>
        <v>Ines</v>
      </c>
      <c r="C53" s="43" t="str">
        <f>IFERROR(__xludf.DUMMYFUNCTION("""COMPUTED_VALUE"""),"Bradley")</f>
        <v>Bradley</v>
      </c>
      <c r="D53" s="43" t="str">
        <f>IFERROR(__xludf.DUMMYFUNCTION("""COMPUTED_VALUE"""),"Buenos aires")</f>
        <v>Buenos aires</v>
      </c>
      <c r="E53" s="7" t="str">
        <f>IFERROR(__xludf.DUMMYFUNCTION("""COMPUTED_VALUE"""),"ARG")</f>
        <v>ARG</v>
      </c>
      <c r="F53" s="7">
        <f>IFERROR(__xludf.DUMMYFUNCTION("""COMPUTED_VALUE"""),5.1139794E8)</f>
        <v>511397940</v>
      </c>
      <c r="G53" s="53">
        <f>IFERROR(__xludf.DUMMYFUNCTION("""COMPUTED_VALUE"""),40709.0)</f>
        <v>40709</v>
      </c>
      <c r="H53" s="7">
        <f>IFERROR(__xludf.DUMMYFUNCTION("""COMPUTED_VALUE"""),1.165125393E9)</f>
        <v>1165125393</v>
      </c>
      <c r="I53" s="7">
        <f>IFERROR(__xludf.DUMMYFUNCTION("""COMPUTED_VALUE"""),1.16512393E8)</f>
        <v>116512393</v>
      </c>
      <c r="J53" s="7" t="str">
        <f>IFERROR(__xludf.DUMMYFUNCTION("""COMPUTED_VALUE"""),"franciscobradley@gmail.com")</f>
        <v>franciscobradley@gmail.com</v>
      </c>
      <c r="K53" s="7" t="str">
        <f>IFERROR(__xludf.DUMMYFUNCTION("""COMPUTED_VALUE"""),"Femenino")</f>
        <v>Femenino</v>
      </c>
      <c r="L53" s="43" t="str">
        <f>IFERROR(__xludf.DUMMYFUNCTION("""COMPUTED_VALUE"""),"CNSI")</f>
        <v>CNSI</v>
      </c>
      <c r="M53" s="43" t="str">
        <f>IFERROR(__xludf.DUMMYFUNCTION("""COMPUTED_VALUE"""),"Femenino")</f>
        <v>Femenino</v>
      </c>
      <c r="N53" s="7" t="str">
        <f>IFERROR(__xludf.DUMMYFUNCTION("""COMPUTED_VALUE"""),"OPTIMIST TIMONELES")</f>
        <v>OPTIMIST TIMONELES</v>
      </c>
      <c r="O53" s="7"/>
      <c r="P53" s="7">
        <f>IFERROR(__xludf.DUMMYFUNCTION("""COMPUTED_VALUE"""),3914.0)</f>
        <v>3914</v>
      </c>
      <c r="Q53" s="7"/>
      <c r="R53" s="7"/>
      <c r="S53" s="7"/>
      <c r="T53" s="7"/>
      <c r="U53" s="7"/>
      <c r="V53" s="45"/>
      <c r="W53" s="45"/>
      <c r="X53" s="47" t="str">
        <f>IFERROR(__xludf.DUMMYFUNCTION("""COMPUTED_VALUE"""),"SMG")</f>
        <v>SMG</v>
      </c>
      <c r="Y53" s="7" t="str">
        <f>IFERROR(__xludf.DUMMYFUNCTION("""COMPUTED_VALUE"""),"Si")</f>
        <v>Si</v>
      </c>
      <c r="Z53" s="7" t="str">
        <f>IFERROR(__xludf.DUMMYFUNCTION("""COMPUTED_VALUE"""),"Acepto")</f>
        <v>Acepto</v>
      </c>
      <c r="AA53" s="48" t="str">
        <f>IFERROR(__xludf.DUMMYFUNCTION("""COMPUTED_VALUE"""),"Terminado")</f>
        <v>Terminado</v>
      </c>
      <c r="AB53" s="48">
        <f>IFERROR(__xludf.DUMMYFUNCTION("""COMPUTED_VALUE"""),50000.0)</f>
        <v>50000</v>
      </c>
      <c r="AC53" s="49">
        <f>IFERROR(__xludf.DUMMYFUNCTION("""COMPUTED_VALUE"""),205438.0)</f>
        <v>205438</v>
      </c>
      <c r="AD53" s="7" t="str">
        <f>IFERROR(__xludf.DUMMYFUNCTION("""COMPUTED_VALUE"""),"TRF 04-09")</f>
        <v>TRF 04-09</v>
      </c>
      <c r="AE53" s="7" t="str">
        <f>IFERROR(__xludf.DUMMYFUNCTION("""COMPUTED_VALUE"""),"OK")</f>
        <v>OK</v>
      </c>
      <c r="AF53" s="7"/>
      <c r="AG53" s="43"/>
    </row>
    <row r="54">
      <c r="A54" s="36">
        <f>IFERROR(__xludf.DUMMYFUNCTION("""COMPUTED_VALUE"""),45534.79112940972)</f>
        <v>45534.79113</v>
      </c>
      <c r="B54" s="20" t="str">
        <f>IFERROR(__xludf.DUMMYFUNCTION("""COMPUTED_VALUE"""),"Olivia")</f>
        <v>Olivia</v>
      </c>
      <c r="C54" s="20" t="str">
        <f>IFERROR(__xludf.DUMMYFUNCTION("""COMPUTED_VALUE"""),"Brunetta")</f>
        <v>Brunetta</v>
      </c>
      <c r="D54" s="20" t="str">
        <f>IFERROR(__xludf.DUMMYFUNCTION("""COMPUTED_VALUE"""),"San Isidro")</f>
        <v>San Isidro</v>
      </c>
      <c r="E54" s="21" t="str">
        <f>IFERROR(__xludf.DUMMYFUNCTION("""COMPUTED_VALUE"""),"ARG")</f>
        <v>ARG</v>
      </c>
      <c r="F54" s="21">
        <f>IFERROR(__xludf.DUMMYFUNCTION("""COMPUTED_VALUE"""),5.3586158E7)</f>
        <v>53586158</v>
      </c>
      <c r="G54" s="22">
        <f>IFERROR(__xludf.DUMMYFUNCTION("""COMPUTED_VALUE"""),41576.0)</f>
        <v>41576</v>
      </c>
      <c r="H54" s="21">
        <f>IFERROR(__xludf.DUMMYFUNCTION("""COMPUTED_VALUE"""),1.15799637E9)</f>
        <v>1157996370</v>
      </c>
      <c r="I54" s="21">
        <f>IFERROR(__xludf.DUMMYFUNCTION("""COMPUTED_VALUE"""),1.140609749E9)</f>
        <v>1140609749</v>
      </c>
      <c r="J54" s="29" t="str">
        <f>IFERROR(__xludf.DUMMYFUNCTION("""COMPUTED_VALUE"""),"Andres_brunetta@yahoo.com")</f>
        <v>Andres_brunetta@yahoo.com</v>
      </c>
      <c r="K54" s="21" t="str">
        <f>IFERROR(__xludf.DUMMYFUNCTION("""COMPUTED_VALUE"""),"Femenino")</f>
        <v>Femenino</v>
      </c>
      <c r="L54" s="23" t="str">
        <f>IFERROR(__xludf.DUMMYFUNCTION("""COMPUTED_VALUE"""),"CNSI")</f>
        <v>CNSI</v>
      </c>
      <c r="M54" s="20" t="str">
        <f>IFERROR(__xludf.DUMMYFUNCTION("""COMPUTED_VALUE"""),"Femenino")</f>
        <v>Femenino</v>
      </c>
      <c r="N54" s="21" t="str">
        <f>IFERROR(__xludf.DUMMYFUNCTION("""COMPUTED_VALUE"""),"OPTIMIST PRINCIPIANTES")</f>
        <v>OPTIMIST PRINCIPIANTES</v>
      </c>
      <c r="O54" s="21"/>
      <c r="P54" s="21">
        <f>IFERROR(__xludf.DUMMYFUNCTION("""COMPUTED_VALUE"""),3480.0)</f>
        <v>3480</v>
      </c>
      <c r="Q54" s="20" t="str">
        <f>IFERROR(__xludf.DUMMYFUNCTION("""COMPUTED_VALUE"""),"Garritas")</f>
        <v>Garritas</v>
      </c>
      <c r="R54" s="20"/>
      <c r="S54" s="20"/>
      <c r="T54" s="20"/>
      <c r="U54" s="20"/>
      <c r="V54" s="20"/>
      <c r="W54" s="20"/>
      <c r="X54" s="24" t="str">
        <f>IFERROR(__xludf.DUMMYFUNCTION("""COMPUTED_VALUE"""),"Osde410  60755505904")</f>
        <v>Osde410  60755505904</v>
      </c>
      <c r="Y54" s="21" t="str">
        <f>IFERROR(__xludf.DUMMYFUNCTION("""COMPUTED_VALUE"""),"Si")</f>
        <v>Si</v>
      </c>
      <c r="Z54" s="21" t="str">
        <f>IFERROR(__xludf.DUMMYFUNCTION("""COMPUTED_VALUE"""),"Acepto")</f>
        <v>Acepto</v>
      </c>
      <c r="AA54" s="18" t="str">
        <f>IFERROR(__xludf.DUMMYFUNCTION("""COMPUTED_VALUE"""),"Terminado")</f>
        <v>Terminado</v>
      </c>
      <c r="AB54" s="18">
        <f>IFERROR(__xludf.DUMMYFUNCTION("""COMPUTED_VALUE"""),50000.0)</f>
        <v>50000</v>
      </c>
      <c r="AC54" s="49">
        <f>IFERROR(__xludf.DUMMYFUNCTION("""COMPUTED_VALUE"""),205129.0)</f>
        <v>205129</v>
      </c>
      <c r="AD54" s="7" t="str">
        <f>IFERROR(__xludf.DUMMYFUNCTION("""COMPUTED_VALUE"""),"TRF 30-08")</f>
        <v>TRF 30-08</v>
      </c>
      <c r="AE54" s="7" t="str">
        <f>IFERROR(__xludf.DUMMYFUNCTION("""COMPUTED_VALUE"""),"Pendiente")</f>
        <v>Pendiente</v>
      </c>
      <c r="AF54" s="21"/>
      <c r="AG54" s="23"/>
    </row>
    <row r="55">
      <c r="A55" s="19">
        <f>IFERROR(__xludf.DUMMYFUNCTION("""COMPUTED_VALUE"""),45532.492384004625)</f>
        <v>45532.49238</v>
      </c>
      <c r="B55" s="20" t="str">
        <f>IFERROR(__xludf.DUMMYFUNCTION("""COMPUTED_VALUE"""),"FELIPE ")</f>
        <v>FELIPE </v>
      </c>
      <c r="C55" s="20" t="str">
        <f>IFERROR(__xludf.DUMMYFUNCTION("""COMPUTED_VALUE"""),"BRUNO")</f>
        <v>BRUNO</v>
      </c>
      <c r="D55" s="20" t="str">
        <f>IFERROR(__xludf.DUMMYFUNCTION("""COMPUTED_VALUE"""),"RECOLETA")</f>
        <v>RECOLETA</v>
      </c>
      <c r="E55" s="21" t="str">
        <f>IFERROR(__xludf.DUMMYFUNCTION("""COMPUTED_VALUE"""),"ARG")</f>
        <v>ARG</v>
      </c>
      <c r="F55" s="21">
        <f>IFERROR(__xludf.DUMMYFUNCTION("""COMPUTED_VALUE"""),5.0705487E7)</f>
        <v>50705487</v>
      </c>
      <c r="G55" s="38">
        <f>IFERROR(__xludf.DUMMYFUNCTION("""COMPUTED_VALUE"""),40533.0)</f>
        <v>40533</v>
      </c>
      <c r="H55" s="20">
        <f>IFERROR(__xludf.DUMMYFUNCTION("""COMPUTED_VALUE"""),1.155998816E9)</f>
        <v>1155998816</v>
      </c>
      <c r="I55" s="20">
        <f>IFERROR(__xludf.DUMMYFUNCTION("""COMPUTED_VALUE"""),1.123241842E9)</f>
        <v>1123241842</v>
      </c>
      <c r="J55" s="20" t="str">
        <f>IFERROR(__xludf.DUMMYFUNCTION("""COMPUTED_VALUE"""),"gimade@hotmail.com")</f>
        <v>gimade@hotmail.com</v>
      </c>
      <c r="K55" s="20" t="str">
        <f>IFERROR(__xludf.DUMMYFUNCTION("""COMPUTED_VALUE"""),"Masculino")</f>
        <v>Masculino</v>
      </c>
      <c r="L55" s="23" t="str">
        <f>IFERROR(__xludf.DUMMYFUNCTION("""COMPUTED_VALUE"""),"YCO")</f>
        <v>YCO</v>
      </c>
      <c r="M55" s="20" t="str">
        <f>IFERROR(__xludf.DUMMYFUNCTION("""COMPUTED_VALUE"""),"OPTIMIST TIMONEL")</f>
        <v>OPTIMIST TIMONEL</v>
      </c>
      <c r="N55" s="21" t="str">
        <f>IFERROR(__xludf.DUMMYFUNCTION("""COMPUTED_VALUE"""),"OPTIMIST TIMONELES")</f>
        <v>OPTIMIST TIMONELES</v>
      </c>
      <c r="O55" s="21"/>
      <c r="P55" s="21">
        <f>IFERROR(__xludf.DUMMYFUNCTION("""COMPUTED_VALUE"""),3528.0)</f>
        <v>3528</v>
      </c>
      <c r="Q55" s="20" t="str">
        <f>IFERROR(__xludf.DUMMYFUNCTION("""COMPUTED_VALUE"""),"MOHANA")</f>
        <v>MOHANA</v>
      </c>
      <c r="R55" s="20"/>
      <c r="S55" s="20"/>
      <c r="T55" s="20"/>
      <c r="U55" s="20"/>
      <c r="V55" s="20"/>
      <c r="W55" s="20"/>
      <c r="X55" s="24" t="str">
        <f>IFERROR(__xludf.DUMMYFUNCTION("""COMPUTED_VALUE"""),"22913677 HOSPITAL ALEMAN")</f>
        <v>22913677 HOSPITAL ALEMAN</v>
      </c>
      <c r="Y55" s="21" t="str">
        <f>IFERROR(__xludf.DUMMYFUNCTION("""COMPUTED_VALUE"""),"Si")</f>
        <v>Si</v>
      </c>
      <c r="Z55" s="21" t="str">
        <f>IFERROR(__xludf.DUMMYFUNCTION("""COMPUTED_VALUE"""),"Acepto")</f>
        <v>Acepto</v>
      </c>
      <c r="AA55" s="18" t="str">
        <f>IFERROR(__xludf.DUMMYFUNCTION("""COMPUTED_VALUE"""),"Pendiente")</f>
        <v>Pendiente</v>
      </c>
      <c r="AB55" s="18"/>
      <c r="AC55" s="7"/>
      <c r="AD55" s="7"/>
      <c r="AE55" s="7" t="str">
        <f>IFERROR(__xludf.DUMMYFUNCTION("""COMPUTED_VALUE"""),"OK")</f>
        <v>OK</v>
      </c>
      <c r="AF55" s="21"/>
      <c r="AG55" s="23"/>
    </row>
    <row r="56">
      <c r="A56" s="19">
        <f>IFERROR(__xludf.DUMMYFUNCTION("""COMPUTED_VALUE"""),45535.7442405787)</f>
        <v>45535.74424</v>
      </c>
      <c r="B56" s="20" t="str">
        <f>IFERROR(__xludf.DUMMYFUNCTION("""COMPUTED_VALUE"""),"Julian")</f>
        <v>Julian</v>
      </c>
      <c r="C56" s="20" t="str">
        <f>IFERROR(__xludf.DUMMYFUNCTION("""COMPUTED_VALUE"""),"Burgos")</f>
        <v>Burgos</v>
      </c>
      <c r="D56" s="20" t="str">
        <f>IFERROR(__xludf.DUMMYFUNCTION("""COMPUTED_VALUE"""),"Puerto Madryn ")</f>
        <v>Puerto Madryn </v>
      </c>
      <c r="E56" s="21" t="str">
        <f>IFERROR(__xludf.DUMMYFUNCTION("""COMPUTED_VALUE"""),"ARG")</f>
        <v>ARG</v>
      </c>
      <c r="F56" s="21">
        <f>IFERROR(__xludf.DUMMYFUNCTION("""COMPUTED_VALUE"""),4.8964983E7)</f>
        <v>48964983</v>
      </c>
      <c r="G56" s="38">
        <f>IFERROR(__xludf.DUMMYFUNCTION("""COMPUTED_VALUE"""),39703.0)</f>
        <v>39703</v>
      </c>
      <c r="H56" s="39">
        <f>IFERROR(__xludf.DUMMYFUNCTION("""COMPUTED_VALUE"""),2.804678683E9)</f>
        <v>2804678683</v>
      </c>
      <c r="I56" s="20">
        <f>IFERROR(__xludf.DUMMYFUNCTION("""COMPUTED_VALUE"""),2.804602408E9)</f>
        <v>2804602408</v>
      </c>
      <c r="J56" s="20" t="str">
        <f>IFERROR(__xludf.DUMMYFUNCTION("""COMPUTED_VALUE"""),"julianburgossaranz08@gmail.com")</f>
        <v>julianburgossaranz08@gmail.com</v>
      </c>
      <c r="K56" s="20" t="str">
        <f>IFERROR(__xludf.DUMMYFUNCTION("""COMPUTED_VALUE"""),"Masculino")</f>
        <v>Masculino</v>
      </c>
      <c r="L56" s="23" t="str">
        <f>IFERROR(__xludf.DUMMYFUNCTION("""COMPUTED_VALUE"""),"CNAS")</f>
        <v>CNAS</v>
      </c>
      <c r="M56" s="20" t="str">
        <f>IFERROR(__xludf.DUMMYFUNCTION("""COMPUTED_VALUE"""),"ILCA 4")</f>
        <v>ILCA 4</v>
      </c>
      <c r="N56" s="21" t="str">
        <f>IFERROR(__xludf.DUMMYFUNCTION("""COMPUTED_VALUE"""),"ILCA 4")</f>
        <v>ILCA 4</v>
      </c>
      <c r="O56" s="21"/>
      <c r="P56" s="21">
        <f>IFERROR(__xludf.DUMMYFUNCTION("""COMPUTED_VALUE"""),1209.0)</f>
        <v>1209</v>
      </c>
      <c r="Q56" s="20"/>
      <c r="R56" s="20"/>
      <c r="S56" s="20"/>
      <c r="T56" s="20"/>
      <c r="U56" s="20"/>
      <c r="V56" s="20"/>
      <c r="W56" s="20"/>
      <c r="X56" s="24" t="str">
        <f>IFERROR(__xludf.DUMMYFUNCTION("""COMPUTED_VALUE"""),"Swiss Medical")</f>
        <v>Swiss Medical</v>
      </c>
      <c r="Y56" s="21" t="str">
        <f>IFERROR(__xludf.DUMMYFUNCTION("""COMPUTED_VALUE"""),"Si")</f>
        <v>Si</v>
      </c>
      <c r="Z56" s="21" t="str">
        <f>IFERROR(__xludf.DUMMYFUNCTION("""COMPUTED_VALUE"""),"Acepto")</f>
        <v>Acepto</v>
      </c>
      <c r="AA56" s="18" t="str">
        <f>IFERROR(__xludf.DUMMYFUNCTION("""COMPUTED_VALUE"""),"Terminado")</f>
        <v>Terminado</v>
      </c>
      <c r="AB56" s="18">
        <f>IFERROR(__xludf.DUMMYFUNCTION("""COMPUTED_VALUE"""),38250.0)</f>
        <v>38250</v>
      </c>
      <c r="AC56" s="7" t="str">
        <f>IFERROR(__xludf.DUMMYFUNCTION("""COMPUTED_VALUE"""),"205370/205371")</f>
        <v>205370/205371</v>
      </c>
      <c r="AD56" s="7" t="str">
        <f>IFERROR(__xludf.DUMMYFUNCTION("""COMPUTED_VALUE"""),"TRF 02-09")</f>
        <v>TRF 02-09</v>
      </c>
      <c r="AE56" s="7" t="str">
        <f>IFERROR(__xludf.DUMMYFUNCTION("""COMPUTED_VALUE"""),"OK")</f>
        <v>OK</v>
      </c>
      <c r="AF56" s="21"/>
      <c r="AG56" s="23"/>
    </row>
    <row r="57">
      <c r="A57" s="31">
        <f>IFERROR(__xludf.DUMMYFUNCTION("""COMPUTED_VALUE"""),45538.678494293985)</f>
        <v>45538.67849</v>
      </c>
      <c r="B57" s="12" t="str">
        <f>IFERROR(__xludf.DUMMYFUNCTION("""COMPUTED_VALUE"""),"Felipe")</f>
        <v>Felipe</v>
      </c>
      <c r="C57" s="12" t="str">
        <f>IFERROR(__xludf.DUMMYFUNCTION("""COMPUTED_VALUE"""),"Caivano")</f>
        <v>Caivano</v>
      </c>
      <c r="D57" s="12" t="str">
        <f>IFERROR(__xludf.DUMMYFUNCTION("""COMPUTED_VALUE"""),"Buenos aires")</f>
        <v>Buenos aires</v>
      </c>
      <c r="E57" s="13" t="str">
        <f>IFERROR(__xludf.DUMMYFUNCTION("""COMPUTED_VALUE"""),"ARG")</f>
        <v>ARG</v>
      </c>
      <c r="F57" s="13">
        <f>IFERROR(__xludf.DUMMYFUNCTION("""COMPUTED_VALUE"""),3.2133238E7)</f>
        <v>32133238</v>
      </c>
      <c r="G57" s="14">
        <f>IFERROR(__xludf.DUMMYFUNCTION("""COMPUTED_VALUE"""),31461.0)</f>
        <v>31461</v>
      </c>
      <c r="H57" s="15">
        <f>IFERROR(__xludf.DUMMYFUNCTION("""COMPUTED_VALUE"""),1.557930144E9)</f>
        <v>1557930144</v>
      </c>
      <c r="I57" s="41">
        <f>IFERROR(__xludf.DUMMYFUNCTION("""COMPUTED_VALUE"""),1.557930155E9)</f>
        <v>1557930155</v>
      </c>
      <c r="J57" s="12" t="str">
        <f>IFERROR(__xludf.DUMMYFUNCTION("""COMPUTED_VALUE"""),"Felipecaivano@gmail.com")</f>
        <v>Felipecaivano@gmail.com</v>
      </c>
      <c r="K57" s="12" t="str">
        <f>IFERROR(__xludf.DUMMYFUNCTION("""COMPUTED_VALUE"""),"Masculino")</f>
        <v>Masculino</v>
      </c>
      <c r="L57" s="16" t="str">
        <f>IFERROR(__xludf.DUMMYFUNCTION("""COMPUTED_VALUE"""),"N olivos")</f>
        <v>N olivos</v>
      </c>
      <c r="M57" s="12"/>
      <c r="N57" s="13" t="str">
        <f>IFERROR(__xludf.DUMMYFUNCTION("""COMPUTED_VALUE"""),"STAR")</f>
        <v>STAR</v>
      </c>
      <c r="O57" s="13"/>
      <c r="P57" s="13">
        <f>IFERROR(__xludf.DUMMYFUNCTION("""COMPUTED_VALUE"""),8551.0)</f>
        <v>8551</v>
      </c>
      <c r="Q57" s="12" t="str">
        <f>IFERROR(__xludf.DUMMYFUNCTION("""COMPUTED_VALUE"""),"Litle ítalo")</f>
        <v>Litle ítalo</v>
      </c>
      <c r="R57" s="12" t="str">
        <f>IFERROR(__xludf.DUMMYFUNCTION("""COMPUTED_VALUE"""),"Juan Pablo percossi")</f>
        <v>Juan Pablo percossi</v>
      </c>
      <c r="S57" s="12" t="str">
        <f>IFERROR(__xludf.DUMMYFUNCTION("""COMPUTED_VALUE"""),"Felipe caivano")</f>
        <v>Felipe caivano</v>
      </c>
      <c r="T57" s="12"/>
      <c r="U57" s="12"/>
      <c r="V57" s="12"/>
      <c r="W57" s="12"/>
      <c r="X57" s="17"/>
      <c r="Y57" s="13" t="str">
        <f>IFERROR(__xludf.DUMMYFUNCTION("""COMPUTED_VALUE"""),"No")</f>
        <v>No</v>
      </c>
      <c r="Z57" s="13" t="str">
        <f>IFERROR(__xludf.DUMMYFUNCTION("""COMPUTED_VALUE"""),"Acepto")</f>
        <v>Acepto</v>
      </c>
      <c r="AA57" s="25" t="str">
        <f>IFERROR(__xludf.DUMMYFUNCTION("""COMPUTED_VALUE"""),"Terminado")</f>
        <v>Terminado</v>
      </c>
      <c r="AB57" s="25">
        <f>IFERROR(__xludf.DUMMYFUNCTION("""COMPUTED_VALUE"""),60000.0)</f>
        <v>60000</v>
      </c>
      <c r="AC57" s="7">
        <f>IFERROR(__xludf.DUMMYFUNCTION("""COMPUTED_VALUE"""),205545.0)</f>
        <v>205545</v>
      </c>
      <c r="AD57" s="7" t="str">
        <f>IFERROR(__xludf.DUMMYFUNCTION("""COMPUTED_VALUE"""),"TRF 04-09")</f>
        <v>TRF 04-09</v>
      </c>
      <c r="AE57" s="7" t="str">
        <f>IFERROR(__xludf.DUMMYFUNCTION("""COMPUTED_VALUE"""),"No Corresp")</f>
        <v>No Corresp</v>
      </c>
      <c r="AF57" s="13"/>
      <c r="AG57" s="16"/>
    </row>
    <row r="58">
      <c r="A58" s="19">
        <f>IFERROR(__xludf.DUMMYFUNCTION("""COMPUTED_VALUE"""),45537.86399063657)</f>
        <v>45537.86399</v>
      </c>
      <c r="B58" s="20" t="str">
        <f>IFERROR(__xludf.DUMMYFUNCTION("""COMPUTED_VALUE"""),"Fede")</f>
        <v>Fede</v>
      </c>
      <c r="C58" s="20" t="str">
        <f>IFERROR(__xludf.DUMMYFUNCTION("""COMPUTED_VALUE"""),"Calegari")</f>
        <v>Calegari</v>
      </c>
      <c r="D58" s="20" t="str">
        <f>IFERROR(__xludf.DUMMYFUNCTION("""COMPUTED_VALUE"""),"Tigre")</f>
        <v>Tigre</v>
      </c>
      <c r="E58" s="21" t="str">
        <f>IFERROR(__xludf.DUMMYFUNCTION("""COMPUTED_VALUE"""),"ARG")</f>
        <v>ARG</v>
      </c>
      <c r="F58" s="21">
        <f>IFERROR(__xludf.DUMMYFUNCTION("""COMPUTED_VALUE"""),2.6435155E7)</f>
        <v>26435155</v>
      </c>
      <c r="G58" s="22">
        <f>IFERROR(__xludf.DUMMYFUNCTION("""COMPUTED_VALUE"""),28515.0)</f>
        <v>28515</v>
      </c>
      <c r="H58" s="21">
        <f>IFERROR(__xludf.DUMMYFUNCTION("""COMPUTED_VALUE"""),1.168536806E9)</f>
        <v>1168536806</v>
      </c>
      <c r="I58" s="21"/>
      <c r="J58" s="29" t="str">
        <f>IFERROR(__xludf.DUMMYFUNCTION("""COMPUTED_VALUE"""),"Fedecalegari@gmail.com")</f>
        <v>Fedecalegari@gmail.com</v>
      </c>
      <c r="K58" s="21" t="str">
        <f>IFERROR(__xludf.DUMMYFUNCTION("""COMPUTED_VALUE"""),"Masculino")</f>
        <v>Masculino</v>
      </c>
      <c r="L58" s="23" t="str">
        <f>IFERROR(__xludf.DUMMYFUNCTION("""COMPUTED_VALUE"""),"YCA CNO")</f>
        <v>YCA CNO</v>
      </c>
      <c r="M58" s="20"/>
      <c r="N58" s="21" t="str">
        <f>IFERROR(__xludf.DUMMYFUNCTION("""COMPUTED_VALUE"""),"STAR")</f>
        <v>STAR</v>
      </c>
      <c r="O58" s="21"/>
      <c r="P58" s="21">
        <f>IFERROR(__xludf.DUMMYFUNCTION("""COMPUTED_VALUE"""),8239.0)</f>
        <v>8239</v>
      </c>
      <c r="Q58" s="20" t="str">
        <f>IFERROR(__xludf.DUMMYFUNCTION("""COMPUTED_VALUE"""),"El Sexy")</f>
        <v>El Sexy</v>
      </c>
      <c r="R58" s="40" t="str">
        <f>IFERROR(__xludf.DUMMYFUNCTION("""COMPUTED_VALUE"""),"Chani González Otharan ")</f>
        <v>Chani González Otharan </v>
      </c>
      <c r="S58" s="20"/>
      <c r="T58" s="20"/>
      <c r="U58" s="20"/>
      <c r="V58" s="20"/>
      <c r="W58" s="20"/>
      <c r="X58" s="24"/>
      <c r="Y58" s="21" t="str">
        <f>IFERROR(__xludf.DUMMYFUNCTION("""COMPUTED_VALUE"""),"No")</f>
        <v>No</v>
      </c>
      <c r="Z58" s="21" t="str">
        <f>IFERROR(__xludf.DUMMYFUNCTION("""COMPUTED_VALUE"""),"Acepto")</f>
        <v>Acepto</v>
      </c>
      <c r="AA58" s="25" t="str">
        <f>IFERROR(__xludf.DUMMYFUNCTION("""COMPUTED_VALUE"""),"Terminado")</f>
        <v>Terminado</v>
      </c>
      <c r="AB58" s="25">
        <f>IFERROR(__xludf.DUMMYFUNCTION("""COMPUTED_VALUE"""),60000.0)</f>
        <v>60000</v>
      </c>
      <c r="AC58" s="7">
        <f>IFERROR(__xludf.DUMMYFUNCTION("""COMPUTED_VALUE"""),205646.0)</f>
        <v>205646</v>
      </c>
      <c r="AD58" s="7" t="str">
        <f>IFERROR(__xludf.DUMMYFUNCTION("""COMPUTED_VALUE"""),"TRF 09-09")</f>
        <v>TRF 09-09</v>
      </c>
      <c r="AE58" s="7" t="str">
        <f>IFERROR(__xludf.DUMMYFUNCTION("""COMPUTED_VALUE"""),"No Corresp")</f>
        <v>No Corresp</v>
      </c>
      <c r="AF58" s="21"/>
      <c r="AG58" s="23"/>
    </row>
    <row r="59">
      <c r="A59" s="42">
        <f>IFERROR(__xludf.DUMMYFUNCTION("""COMPUTED_VALUE"""),45534.44472680555)</f>
        <v>45534.44473</v>
      </c>
      <c r="B59" s="43" t="str">
        <f>IFERROR(__xludf.DUMMYFUNCTION("""COMPUTED_VALUE"""),"Lucas")</f>
        <v>Lucas</v>
      </c>
      <c r="C59" s="43" t="str">
        <f>IFERROR(__xludf.DUMMYFUNCTION("""COMPUTED_VALUE"""),"Calvo")</f>
        <v>Calvo</v>
      </c>
      <c r="D59" s="43" t="str">
        <f>IFERROR(__xludf.DUMMYFUNCTION("""COMPUTED_VALUE"""),"Victoria")</f>
        <v>Victoria</v>
      </c>
      <c r="E59" s="7" t="str">
        <f>IFERROR(__xludf.DUMMYFUNCTION("""COMPUTED_VALUE"""),"ARG")</f>
        <v>ARG</v>
      </c>
      <c r="F59" s="7">
        <f>IFERROR(__xludf.DUMMYFUNCTION("""COMPUTED_VALUE"""),5.4520706E7)</f>
        <v>54520706</v>
      </c>
      <c r="G59" s="44">
        <f>IFERROR(__xludf.DUMMYFUNCTION("""COMPUTED_VALUE"""),42012.0)</f>
        <v>42012</v>
      </c>
      <c r="H59" s="45">
        <f>IFERROR(__xludf.DUMMYFUNCTION("""COMPUTED_VALUE"""),9.1159278173E10)</f>
        <v>91159278173</v>
      </c>
      <c r="I59" s="45">
        <f>IFERROR(__xludf.DUMMYFUNCTION("""COMPUTED_VALUE"""),9.1159278173E10)</f>
        <v>91159278173</v>
      </c>
      <c r="J59" s="45" t="str">
        <f>IFERROR(__xludf.DUMMYFUNCTION("""COMPUTED_VALUE"""),"sabhidalgo21@gmail.com")</f>
        <v>sabhidalgo21@gmail.com</v>
      </c>
      <c r="K59" s="45" t="str">
        <f>IFERROR(__xludf.DUMMYFUNCTION("""COMPUTED_VALUE"""),"Masculino")</f>
        <v>Masculino</v>
      </c>
      <c r="L59" s="43" t="str">
        <f>IFERROR(__xludf.DUMMYFUNCTION("""COMPUTED_VALUE"""),"CVB")</f>
        <v>CVB</v>
      </c>
      <c r="M59" s="45" t="str">
        <f>IFERROR(__xludf.DUMMYFUNCTION("""COMPUTED_VALUE"""),"Interior (Optimist)")</f>
        <v>Interior (Optimist)</v>
      </c>
      <c r="N59" s="7" t="str">
        <f>IFERROR(__xludf.DUMMYFUNCTION("""COMPUTED_VALUE"""),"OPTIMIST PRINCIPIANTES")</f>
        <v>OPTIMIST PRINCIPIANTES</v>
      </c>
      <c r="O59" s="7"/>
      <c r="P59" s="7">
        <f>IFERROR(__xludf.DUMMYFUNCTION("""COMPUTED_VALUE"""),4056.0)</f>
        <v>4056</v>
      </c>
      <c r="Q59" s="45"/>
      <c r="R59" s="45"/>
      <c r="S59" s="45"/>
      <c r="T59" s="45"/>
      <c r="U59" s="45"/>
      <c r="V59" s="45"/>
      <c r="W59" s="45"/>
      <c r="X59" s="47" t="str">
        <f>IFERROR(__xludf.DUMMYFUNCTION("""COMPUTED_VALUE"""),"61 790187 1 04")</f>
        <v>61 790187 1 04</v>
      </c>
      <c r="Y59" s="7" t="str">
        <f>IFERROR(__xludf.DUMMYFUNCTION("""COMPUTED_VALUE"""),"No")</f>
        <v>No</v>
      </c>
      <c r="Z59" s="7" t="str">
        <f>IFERROR(__xludf.DUMMYFUNCTION("""COMPUTED_VALUE"""),"Acepto")</f>
        <v>Acepto</v>
      </c>
      <c r="AA59" s="48" t="str">
        <f>IFERROR(__xludf.DUMMYFUNCTION("""COMPUTED_VALUE"""),"Terminado")</f>
        <v>Terminado</v>
      </c>
      <c r="AB59" s="48">
        <f>IFERROR(__xludf.DUMMYFUNCTION("""COMPUTED_VALUE"""),50000.0)</f>
        <v>50000</v>
      </c>
      <c r="AC59" s="7">
        <f>IFERROR(__xludf.DUMMYFUNCTION("""COMPUTED_VALUE"""),205086.0)</f>
        <v>205086</v>
      </c>
      <c r="AD59" s="7" t="str">
        <f>IFERROR(__xludf.DUMMYFUNCTION("""COMPUTED_VALUE"""),"Tarj 30-8")</f>
        <v>Tarj 30-8</v>
      </c>
      <c r="AE59" s="7" t="str">
        <f>IFERROR(__xludf.DUMMYFUNCTION("""COMPUTED_VALUE"""),"OK")</f>
        <v>OK</v>
      </c>
      <c r="AF59" s="7" t="str">
        <f>IFERROR(__xludf.DUMMYFUNCTION("""COMPUTED_VALUE"""),"SI")</f>
        <v>SI</v>
      </c>
      <c r="AG59" s="43"/>
    </row>
    <row r="60">
      <c r="A60" s="42">
        <f>IFERROR(__xludf.DUMMYFUNCTION("""COMPUTED_VALUE"""),45540.49187268519)</f>
        <v>45540.49187</v>
      </c>
      <c r="B60" s="43" t="str">
        <f>IFERROR(__xludf.DUMMYFUNCTION("""COMPUTED_VALUE"""),"Mariano")</f>
        <v>Mariano</v>
      </c>
      <c r="C60" s="43" t="str">
        <f>IFERROR(__xludf.DUMMYFUNCTION("""COMPUTED_VALUE"""),"Cambon")</f>
        <v>Cambon</v>
      </c>
      <c r="D60" s="43" t="str">
        <f>IFERROR(__xludf.DUMMYFUNCTION("""COMPUTED_VALUE"""),"Buenos Aires")</f>
        <v>Buenos Aires</v>
      </c>
      <c r="E60" s="7" t="str">
        <f>IFERROR(__xludf.DUMMYFUNCTION("""COMPUTED_VALUE"""),"ARG")</f>
        <v>ARG</v>
      </c>
      <c r="F60" s="7">
        <f>IFERROR(__xludf.DUMMYFUNCTION("""COMPUTED_VALUE"""),3.8068064E7)</f>
        <v>38068064</v>
      </c>
      <c r="G60" s="44">
        <f>IFERROR(__xludf.DUMMYFUNCTION("""COMPUTED_VALUE"""),34346.0)</f>
        <v>34346</v>
      </c>
      <c r="H60" s="45">
        <f>IFERROR(__xludf.DUMMYFUNCTION("""COMPUTED_VALUE"""),1.165857666E9)</f>
        <v>1165857666</v>
      </c>
      <c r="I60" s="45"/>
      <c r="J60" s="45" t="str">
        <f>IFERROR(__xludf.DUMMYFUNCTION("""COMPUTED_VALUE"""),"marianocambon@hotmail.com")</f>
        <v>marianocambon@hotmail.com</v>
      </c>
      <c r="K60" s="45" t="str">
        <f>IFERROR(__xludf.DUMMYFUNCTION("""COMPUTED_VALUE"""),"Masculino")</f>
        <v>Masculino</v>
      </c>
      <c r="L60" s="43" t="str">
        <f>IFERROR(__xludf.DUMMYFUNCTION("""COMPUTED_VALUE"""),"YCA-CNO")</f>
        <v>YCA-CNO</v>
      </c>
      <c r="M60" s="45"/>
      <c r="N60" s="7" t="str">
        <f>IFERROR(__xludf.DUMMYFUNCTION("""COMPUTED_VALUE"""),"STAR")</f>
        <v>STAR</v>
      </c>
      <c r="O60" s="7"/>
      <c r="P60" s="7">
        <f>IFERROR(__xludf.DUMMYFUNCTION("""COMPUTED_VALUE"""),8251.0)</f>
        <v>8251</v>
      </c>
      <c r="Q60" s="45" t="str">
        <f>IFERROR(__xludf.DUMMYFUNCTION("""COMPUTED_VALUE"""),"salsadesetas")</f>
        <v>salsadesetas</v>
      </c>
      <c r="R60" s="45" t="str">
        <f>IFERROR(__xludf.DUMMYFUNCTION("""COMPUTED_VALUE"""),"Martin Costa")</f>
        <v>Martin Costa</v>
      </c>
      <c r="S60" s="45"/>
      <c r="T60" s="45"/>
      <c r="U60" s="45"/>
      <c r="V60" s="45"/>
      <c r="W60" s="45"/>
      <c r="X60" s="47"/>
      <c r="Y60" s="7" t="str">
        <f>IFERROR(__xludf.DUMMYFUNCTION("""COMPUTED_VALUE"""),"No")</f>
        <v>No</v>
      </c>
      <c r="Z60" s="7" t="str">
        <f>IFERROR(__xludf.DUMMYFUNCTION("""COMPUTED_VALUE"""),"Acepto")</f>
        <v>Acepto</v>
      </c>
      <c r="AA60" s="48" t="str">
        <f>IFERROR(__xludf.DUMMYFUNCTION("""COMPUTED_VALUE"""),"Terminado")</f>
        <v>Terminado</v>
      </c>
      <c r="AB60" s="48">
        <f>IFERROR(__xludf.DUMMYFUNCTION("""COMPUTED_VALUE"""),60000.0)</f>
        <v>60000</v>
      </c>
      <c r="AC60" s="7">
        <f>IFERROR(__xludf.DUMMYFUNCTION("""COMPUTED_VALUE"""),205470.0)</f>
        <v>205470</v>
      </c>
      <c r="AD60" s="7" t="str">
        <f>IFERROR(__xludf.DUMMYFUNCTION("""COMPUTED_VALUE"""),"Tarj 05-09")</f>
        <v>Tarj 05-09</v>
      </c>
      <c r="AE60" s="7" t="str">
        <f>IFERROR(__xludf.DUMMYFUNCTION("""COMPUTED_VALUE"""),"No Corresp")</f>
        <v>No Corresp</v>
      </c>
      <c r="AF60" s="7" t="str">
        <f>IFERROR(__xludf.DUMMYFUNCTION("""COMPUTED_VALUE"""),"Si")</f>
        <v>Si</v>
      </c>
      <c r="AG60" s="43"/>
    </row>
    <row r="61">
      <c r="A61" s="31">
        <f>IFERROR(__xludf.DUMMYFUNCTION("""COMPUTED_VALUE"""),45540.71296721065)</f>
        <v>45540.71297</v>
      </c>
      <c r="B61" s="12" t="str">
        <f>IFERROR(__xludf.DUMMYFUNCTION("""COMPUTED_VALUE"""),"Francisco")</f>
        <v>Francisco</v>
      </c>
      <c r="C61" s="12" t="str">
        <f>IFERROR(__xludf.DUMMYFUNCTION("""COMPUTED_VALUE"""),"Campero")</f>
        <v>Campero</v>
      </c>
      <c r="D61" s="12" t="str">
        <f>IFERROR(__xludf.DUMMYFUNCTION("""COMPUTED_VALUE"""),"Tiger")</f>
        <v>Tiger</v>
      </c>
      <c r="E61" s="13" t="str">
        <f>IFERROR(__xludf.DUMMYFUNCTION("""COMPUTED_VALUE"""),"ARG")</f>
        <v>ARG</v>
      </c>
      <c r="F61" s="13">
        <f>IFERROR(__xludf.DUMMYFUNCTION("""COMPUTED_VALUE"""),1.7686435E7)</f>
        <v>17686435</v>
      </c>
      <c r="G61" s="33">
        <f>IFERROR(__xludf.DUMMYFUNCTION("""COMPUTED_VALUE"""),24038.0)</f>
        <v>24038</v>
      </c>
      <c r="H61" s="13">
        <f>IFERROR(__xludf.DUMMYFUNCTION("""COMPUTED_VALUE"""),1.135253726E9)</f>
        <v>1135253726</v>
      </c>
      <c r="I61" s="37">
        <f>IFERROR(__xludf.DUMMYFUNCTION("""COMPUTED_VALUE"""),1.15750589E9)</f>
        <v>1157505890</v>
      </c>
      <c r="J61" s="13" t="str">
        <f>IFERROR(__xludf.DUMMYFUNCTION("""COMPUTED_VALUE"""),"fcampero@technicals.us")</f>
        <v>fcampero@technicals.us</v>
      </c>
      <c r="K61" s="13" t="str">
        <f>IFERROR(__xludf.DUMMYFUNCTION("""COMPUTED_VALUE"""),"Masculino")</f>
        <v>Masculino</v>
      </c>
      <c r="L61" s="16" t="str">
        <f>IFERROR(__xludf.DUMMYFUNCTION("""COMPUTED_VALUE"""),"CNSI")</f>
        <v>CNSI</v>
      </c>
      <c r="M61" s="12"/>
      <c r="N61" s="13" t="str">
        <f>IFERROR(__xludf.DUMMYFUNCTION("""COMPUTED_VALUE"""),"J 70")</f>
        <v>J 70</v>
      </c>
      <c r="O61" s="13">
        <f>IFERROR(__xludf.DUMMYFUNCTION("""COMPUTED_VALUE"""),14.0)</f>
        <v>14</v>
      </c>
      <c r="P61" s="13">
        <f>IFERROR(__xludf.DUMMYFUNCTION("""COMPUTED_VALUE"""),1200.0)</f>
        <v>1200</v>
      </c>
      <c r="Q61" s="13" t="str">
        <f>IFERROR(__xludf.DUMMYFUNCTION("""COMPUTED_VALUE"""),"AMIGO VII")</f>
        <v>AMIGO VII</v>
      </c>
      <c r="R61" s="13" t="str">
        <f>IFERROR(__xludf.DUMMYFUNCTION("""COMPUTED_VALUE"""),"Juan Pablo Fregonese")</f>
        <v>Juan Pablo Fregonese</v>
      </c>
      <c r="S61" s="13" t="str">
        <f>IFERROR(__xludf.DUMMYFUNCTION("""COMPUTED_VALUE"""),"Andres Domato")</f>
        <v>Andres Domato</v>
      </c>
      <c r="T61" s="13" t="str">
        <f>IFERROR(__xludf.DUMMYFUNCTION("""COMPUTED_VALUE"""),"Raul viola")</f>
        <v>Raul viola</v>
      </c>
      <c r="U61" s="13"/>
      <c r="V61" s="12"/>
      <c r="W61" s="12"/>
      <c r="X61" s="17"/>
      <c r="Y61" s="13" t="str">
        <f>IFERROR(__xludf.DUMMYFUNCTION("""COMPUTED_VALUE"""),"No")</f>
        <v>No</v>
      </c>
      <c r="Z61" s="13" t="str">
        <f>IFERROR(__xludf.DUMMYFUNCTION("""COMPUTED_VALUE"""),"Acepto")</f>
        <v>Acepto</v>
      </c>
      <c r="AA61" s="18" t="str">
        <f>IFERROR(__xludf.DUMMYFUNCTION("""COMPUTED_VALUE"""),"Terminado")</f>
        <v>Terminado</v>
      </c>
      <c r="AB61" s="18">
        <f>IFERROR(__xludf.DUMMYFUNCTION("""COMPUTED_VALUE"""),80000.0)</f>
        <v>80000</v>
      </c>
      <c r="AC61" s="7">
        <f>IFERROR(__xludf.DUMMYFUNCTION("""COMPUTED_VALUE"""),205577.0)</f>
        <v>205577</v>
      </c>
      <c r="AD61" s="7" t="str">
        <f>IFERROR(__xludf.DUMMYFUNCTION("""COMPUTED_VALUE"""),"TRF 07-09")</f>
        <v>TRF 07-09</v>
      </c>
      <c r="AE61" s="7" t="str">
        <f>IFERROR(__xludf.DUMMYFUNCTION("""COMPUTED_VALUE"""),"No Corresp")</f>
        <v>No Corresp</v>
      </c>
      <c r="AF61" s="13"/>
      <c r="AG61" s="16"/>
    </row>
    <row r="62">
      <c r="A62" s="19">
        <f>IFERROR(__xludf.DUMMYFUNCTION("""COMPUTED_VALUE"""),45540.48802445602)</f>
        <v>45540.48802</v>
      </c>
      <c r="B62" s="20" t="str">
        <f>IFERROR(__xludf.DUMMYFUNCTION("""COMPUTED_VALUE"""),"Gustavo")</f>
        <v>Gustavo</v>
      </c>
      <c r="C62" s="20" t="str">
        <f>IFERROR(__xludf.DUMMYFUNCTION("""COMPUTED_VALUE"""),"Capusotto")</f>
        <v>Capusotto</v>
      </c>
      <c r="D62" s="20" t="str">
        <f>IFERROR(__xludf.DUMMYFUNCTION("""COMPUTED_VALUE"""),"olivos")</f>
        <v>olivos</v>
      </c>
      <c r="E62" s="21" t="str">
        <f>IFERROR(__xludf.DUMMYFUNCTION("""COMPUTED_VALUE"""),"ARG")</f>
        <v>ARG</v>
      </c>
      <c r="F62" s="21">
        <f>IFERROR(__xludf.DUMMYFUNCTION("""COMPUTED_VALUE"""),1.1285703E7)</f>
        <v>11285703</v>
      </c>
      <c r="G62" s="38">
        <f>IFERROR(__xludf.DUMMYFUNCTION("""COMPUTED_VALUE"""),19926.0)</f>
        <v>19926</v>
      </c>
      <c r="H62" s="39">
        <f>IFERROR(__xludf.DUMMYFUNCTION("""COMPUTED_VALUE"""),1.141985636E9)</f>
        <v>1141985636</v>
      </c>
      <c r="I62" s="40"/>
      <c r="J62" s="20" t="str">
        <f>IFERROR(__xludf.DUMMYFUNCTION("""COMPUTED_VALUE"""),"gustavocapusotto@gmail.com")</f>
        <v>gustavocapusotto@gmail.com</v>
      </c>
      <c r="K62" s="20" t="str">
        <f>IFERROR(__xludf.DUMMYFUNCTION("""COMPUTED_VALUE"""),"Masculino")</f>
        <v>Masculino</v>
      </c>
      <c r="L62" s="23" t="str">
        <f>IFERROR(__xludf.DUMMYFUNCTION("""COMPUTED_VALUE"""),"yca")</f>
        <v>yca</v>
      </c>
      <c r="M62" s="20"/>
      <c r="N62" s="21" t="str">
        <f>IFERROR(__xludf.DUMMYFUNCTION("""COMPUTED_VALUE"""),"J 70")</f>
        <v>J 70</v>
      </c>
      <c r="O62" s="21">
        <f>IFERROR(__xludf.DUMMYFUNCTION("""COMPUTED_VALUE"""),25.0)</f>
        <v>25</v>
      </c>
      <c r="P62" s="21">
        <f>IFERROR(__xludf.DUMMYFUNCTION("""COMPUTED_VALUE"""),1299.0)</f>
        <v>1299</v>
      </c>
      <c r="Q62" s="20" t="str">
        <f>IFERROR(__xludf.DUMMYFUNCTION("""COMPUTED_VALUE"""),"guason forever")</f>
        <v>guason forever</v>
      </c>
      <c r="R62" s="20" t="str">
        <f>IFERROR(__xludf.DUMMYFUNCTION("""COMPUTED_VALUE"""),"Javier lopez")</f>
        <v>Javier lopez</v>
      </c>
      <c r="S62" s="20" t="str">
        <f>IFERROR(__xludf.DUMMYFUNCTION("""COMPUTED_VALUE"""),"karina filquenstein")</f>
        <v>karina filquenstein</v>
      </c>
      <c r="T62" s="20" t="str">
        <f>IFERROR(__xludf.DUMMYFUNCTION("""COMPUTED_VALUE"""),"santiago vodanovich")</f>
        <v>santiago vodanovich</v>
      </c>
      <c r="U62" s="20"/>
      <c r="V62" s="20"/>
      <c r="W62" s="20"/>
      <c r="X62" s="24" t="str">
        <f>IFERROR(__xludf.DUMMYFUNCTION("""COMPUTED_VALUE"""),"osde binerio plan 3D/ 60709583001")</f>
        <v>osde binerio plan 3D/ 60709583001</v>
      </c>
      <c r="Y62" s="21" t="str">
        <f>IFERROR(__xludf.DUMMYFUNCTION("""COMPUTED_VALUE"""),"No")</f>
        <v>No</v>
      </c>
      <c r="Z62" s="21" t="str">
        <f>IFERROR(__xludf.DUMMYFUNCTION("""COMPUTED_VALUE"""),"Acepto")</f>
        <v>Acepto</v>
      </c>
      <c r="AA62" s="18" t="str">
        <f>IFERROR(__xludf.DUMMYFUNCTION("""COMPUTED_VALUE"""),"Terminado")</f>
        <v>Terminado</v>
      </c>
      <c r="AB62" s="18">
        <f>IFERROR(__xludf.DUMMYFUNCTION("""COMPUTED_VALUE"""),80000.0)</f>
        <v>80000</v>
      </c>
      <c r="AC62" s="7">
        <f>IFERROR(__xludf.DUMMYFUNCTION("""COMPUTED_VALUE"""),205500.0)</f>
        <v>205500</v>
      </c>
      <c r="AD62" s="7" t="str">
        <f>IFERROR(__xludf.DUMMYFUNCTION("""COMPUTED_VALUE"""),"TRF 05-09")</f>
        <v>TRF 05-09</v>
      </c>
      <c r="AE62" s="7" t="str">
        <f>IFERROR(__xludf.DUMMYFUNCTION("""COMPUTED_VALUE"""),"No Corresp")</f>
        <v>No Corresp</v>
      </c>
      <c r="AF62" s="21"/>
      <c r="AG62" s="23"/>
    </row>
    <row r="63">
      <c r="A63" s="36">
        <f>IFERROR(__xludf.DUMMYFUNCTION("""COMPUTED_VALUE"""),45535.65692474537)</f>
        <v>45535.65692</v>
      </c>
      <c r="B63" s="20" t="str">
        <f>IFERROR(__xludf.DUMMYFUNCTION("""COMPUTED_VALUE"""),"Juan Antonio ")</f>
        <v>Juan Antonio </v>
      </c>
      <c r="C63" s="20" t="str">
        <f>IFERROR(__xludf.DUMMYFUNCTION("""COMPUTED_VALUE"""),"Carosella ")</f>
        <v>Carosella </v>
      </c>
      <c r="D63" s="20" t="str">
        <f>IFERROR(__xludf.DUMMYFUNCTION("""COMPUTED_VALUE"""),"Buenos Aires ")</f>
        <v>Buenos Aires </v>
      </c>
      <c r="E63" s="21" t="str">
        <f>IFERROR(__xludf.DUMMYFUNCTION("""COMPUTED_VALUE"""),"ARG")</f>
        <v>ARG</v>
      </c>
      <c r="F63" s="21">
        <f>IFERROR(__xludf.DUMMYFUNCTION("""COMPUTED_VALUE"""),1.3296654E7)</f>
        <v>13296654</v>
      </c>
      <c r="G63" s="22">
        <f>IFERROR(__xludf.DUMMYFUNCTION("""COMPUTED_VALUE"""),21789.0)</f>
        <v>21789</v>
      </c>
      <c r="H63" s="21">
        <f>IFERROR(__xludf.DUMMYFUNCTION("""COMPUTED_VALUE"""),1.14069305E9)</f>
        <v>1140693050</v>
      </c>
      <c r="I63" s="51"/>
      <c r="J63" s="29" t="str">
        <f>IFERROR(__xludf.DUMMYFUNCTION("""COMPUTED_VALUE"""),"Jac1@fibertel.com.ar ")</f>
        <v>Jac1@fibertel.com.ar </v>
      </c>
      <c r="K63" s="21" t="str">
        <f>IFERROR(__xludf.DUMMYFUNCTION("""COMPUTED_VALUE"""),"Masculino")</f>
        <v>Masculino</v>
      </c>
      <c r="L63" s="23" t="str">
        <f>IFERROR(__xludf.DUMMYFUNCTION("""COMPUTED_VALUE"""),"Yco")</f>
        <v>Yco</v>
      </c>
      <c r="M63" s="20" t="str">
        <f>IFERROR(__xludf.DUMMYFUNCTION("""COMPUTED_VALUE"""),"Master (ILCA)")</f>
        <v>Master (ILCA)</v>
      </c>
      <c r="N63" s="21" t="str">
        <f>IFERROR(__xludf.DUMMYFUNCTION("""COMPUTED_VALUE"""),"ILCA 7")</f>
        <v>ILCA 7</v>
      </c>
      <c r="O63" s="21"/>
      <c r="P63" s="21">
        <f>IFERROR(__xludf.DUMMYFUNCTION("""COMPUTED_VALUE"""),222121.0)</f>
        <v>222121</v>
      </c>
      <c r="Q63" s="20" t="str">
        <f>IFERROR(__xludf.DUMMYFUNCTION("""COMPUTED_VALUE"""),"Xxx")</f>
        <v>Xxx</v>
      </c>
      <c r="R63" s="20"/>
      <c r="S63" s="20"/>
      <c r="T63" s="20"/>
      <c r="U63" s="20"/>
      <c r="V63" s="20"/>
      <c r="W63" s="20"/>
      <c r="X63" s="24" t="str">
        <f>IFERROR(__xludf.DUMMYFUNCTION("""COMPUTED_VALUE"""),"Osde 36204060 01")</f>
        <v>Osde 36204060 01</v>
      </c>
      <c r="Y63" s="56" t="str">
        <f>IFERROR(__xludf.DUMMYFUNCTION("""COMPUTED_VALUE"""),"Si")</f>
        <v>Si</v>
      </c>
      <c r="Z63" s="21" t="str">
        <f>IFERROR(__xludf.DUMMYFUNCTION("""COMPUTED_VALUE"""),"Acepto")</f>
        <v>Acepto</v>
      </c>
      <c r="AA63" s="18" t="str">
        <f>IFERROR(__xludf.DUMMYFUNCTION("""COMPUTED_VALUE"""),"Pendiente")</f>
        <v>Pendiente</v>
      </c>
      <c r="AB63" s="18"/>
      <c r="AC63" s="7"/>
      <c r="AD63" s="7"/>
      <c r="AE63" s="7" t="str">
        <f>IFERROR(__xludf.DUMMYFUNCTION("""COMPUTED_VALUE"""),"No Corresp")</f>
        <v>No Corresp</v>
      </c>
      <c r="AF63" s="21"/>
      <c r="AG63" s="23"/>
    </row>
    <row r="64">
      <c r="A64" s="31">
        <f>IFERROR(__xludf.DUMMYFUNCTION("""COMPUTED_VALUE"""),45534.40182600694)</f>
        <v>45534.40183</v>
      </c>
      <c r="B64" s="12" t="str">
        <f>IFERROR(__xludf.DUMMYFUNCTION("""COMPUTED_VALUE"""),"Federico Andres")</f>
        <v>Federico Andres</v>
      </c>
      <c r="C64" s="12" t="str">
        <f>IFERROR(__xludf.DUMMYFUNCTION("""COMPUTED_VALUE"""),"Castelo")</f>
        <v>Castelo</v>
      </c>
      <c r="D64" s="12" t="str">
        <f>IFERROR(__xludf.DUMMYFUNCTION("""COMPUTED_VALUE"""),"Bs As")</f>
        <v>Bs As</v>
      </c>
      <c r="E64" s="13" t="str">
        <f>IFERROR(__xludf.DUMMYFUNCTION("""COMPUTED_VALUE"""),"ARG")</f>
        <v>ARG</v>
      </c>
      <c r="F64" s="13">
        <f>IFERROR(__xludf.DUMMYFUNCTION("""COMPUTED_VALUE"""),5.1478193E7)</f>
        <v>51478193</v>
      </c>
      <c r="G64" s="33">
        <f>IFERROR(__xludf.DUMMYFUNCTION("""COMPUTED_VALUE"""),40872.0)</f>
        <v>40872</v>
      </c>
      <c r="H64" s="13">
        <f>IFERROR(__xludf.DUMMYFUNCTION("""COMPUTED_VALUE"""),1.551210919E9)</f>
        <v>1551210919</v>
      </c>
      <c r="I64" s="13">
        <f>IFERROR(__xludf.DUMMYFUNCTION("""COMPUTED_VALUE"""),1.551210919E9)</f>
        <v>1551210919</v>
      </c>
      <c r="J64" s="13" t="str">
        <f>IFERROR(__xludf.DUMMYFUNCTION("""COMPUTED_VALUE"""),"estudiocastelo@hotmail.com")</f>
        <v>estudiocastelo@hotmail.com</v>
      </c>
      <c r="K64" s="13" t="str">
        <f>IFERROR(__xludf.DUMMYFUNCTION("""COMPUTED_VALUE"""),"Masculino")</f>
        <v>Masculino</v>
      </c>
      <c r="L64" s="16" t="str">
        <f>IFERROR(__xludf.DUMMYFUNCTION("""COMPUTED_VALUE"""),"CPNLB ")</f>
        <v>CPNLB </v>
      </c>
      <c r="M64" s="12" t="str">
        <f>IFERROR(__xludf.DUMMYFUNCTION("""COMPUTED_VALUE"""),"Interior (Optimist)")</f>
        <v>Interior (Optimist)</v>
      </c>
      <c r="N64" s="13" t="str">
        <f>IFERROR(__xludf.DUMMYFUNCTION("""COMPUTED_VALUE"""),"OPTIMIST PRINCIPIANTES")</f>
        <v>OPTIMIST PRINCIPIANTES</v>
      </c>
      <c r="O64" s="13"/>
      <c r="P64" s="13">
        <f>IFERROR(__xludf.DUMMYFUNCTION("""COMPUTED_VALUE"""),3560.0)</f>
        <v>3560</v>
      </c>
      <c r="Q64" s="13" t="str">
        <f>IFERROR(__xludf.DUMMYFUNCTION("""COMPUTED_VALUE"""),"Chispa")</f>
        <v>Chispa</v>
      </c>
      <c r="R64" s="34"/>
      <c r="S64" s="13"/>
      <c r="T64" s="13"/>
      <c r="U64" s="13"/>
      <c r="V64" s="12"/>
      <c r="W64" s="12"/>
      <c r="X64" s="17" t="str">
        <f>IFERROR(__xludf.DUMMYFUNCTION("""COMPUTED_VALUE"""),"No tiene")</f>
        <v>No tiene</v>
      </c>
      <c r="Y64" s="13" t="str">
        <f>IFERROR(__xludf.DUMMYFUNCTION("""COMPUTED_VALUE"""),"Si")</f>
        <v>Si</v>
      </c>
      <c r="Z64" s="13" t="str">
        <f>IFERROR(__xludf.DUMMYFUNCTION("""COMPUTED_VALUE"""),"Acepto")</f>
        <v>Acepto</v>
      </c>
      <c r="AA64" s="25" t="str">
        <f>IFERROR(__xludf.DUMMYFUNCTION("""COMPUTED_VALUE"""),"Terminado")</f>
        <v>Terminado</v>
      </c>
      <c r="AB64" s="25">
        <f>IFERROR(__xludf.DUMMYFUNCTION("""COMPUTED_VALUE"""),50000.0)</f>
        <v>50000</v>
      </c>
      <c r="AC64" s="7">
        <f>IFERROR(__xludf.DUMMYFUNCTION("""COMPUTED_VALUE"""),205088.0)</f>
        <v>205088</v>
      </c>
      <c r="AD64" s="7" t="str">
        <f>IFERROR(__xludf.DUMMYFUNCTION("""COMPUTED_VALUE"""),"TRF 30-08")</f>
        <v>TRF 30-08</v>
      </c>
      <c r="AE64" s="7" t="str">
        <f>IFERROR(__xludf.DUMMYFUNCTION("""COMPUTED_VALUE"""),"OK")</f>
        <v>OK</v>
      </c>
      <c r="AF64" s="13" t="str">
        <f>IFERROR(__xludf.DUMMYFUNCTION("""COMPUTED_VALUE"""),"SI")</f>
        <v>SI</v>
      </c>
      <c r="AG64" s="16"/>
    </row>
    <row r="65">
      <c r="A65" s="36">
        <f>IFERROR(__xludf.DUMMYFUNCTION("""COMPUTED_VALUE"""),45529.901827152775)</f>
        <v>45529.90183</v>
      </c>
      <c r="B65" s="20" t="str">
        <f>IFERROR(__xludf.DUMMYFUNCTION("""COMPUTED_VALUE"""),"Paco")</f>
        <v>Paco</v>
      </c>
      <c r="C65" s="20" t="str">
        <f>IFERROR(__xludf.DUMMYFUNCTION("""COMPUTED_VALUE"""),"Castiglioni ")</f>
        <v>Castiglioni </v>
      </c>
      <c r="D65" s="20" t="str">
        <f>IFERROR(__xludf.DUMMYFUNCTION("""COMPUTED_VALUE"""),"CABA")</f>
        <v>CABA</v>
      </c>
      <c r="E65" s="21" t="str">
        <f>IFERROR(__xludf.DUMMYFUNCTION("""COMPUTED_VALUE"""),"ARG")</f>
        <v>ARG</v>
      </c>
      <c r="F65" s="21">
        <f>IFERROR(__xludf.DUMMYFUNCTION("""COMPUTED_VALUE"""),5.3584723E7)</f>
        <v>53584723</v>
      </c>
      <c r="G65" s="22">
        <f>IFERROR(__xludf.DUMMYFUNCTION("""COMPUTED_VALUE"""),41603.0)</f>
        <v>41603</v>
      </c>
      <c r="H65" s="21">
        <f>IFERROR(__xludf.DUMMYFUNCTION("""COMPUTED_VALUE"""),1.130061435E9)</f>
        <v>1130061435</v>
      </c>
      <c r="I65" s="21"/>
      <c r="J65" s="29" t="str">
        <f>IFERROR(__xludf.DUMMYFUNCTION("""COMPUTED_VALUE"""),"rjcastiglioni@hotmail.com")</f>
        <v>rjcastiglioni@hotmail.com</v>
      </c>
      <c r="K65" s="21" t="str">
        <f>IFERROR(__xludf.DUMMYFUNCTION("""COMPUTED_VALUE"""),"Masculino")</f>
        <v>Masculino</v>
      </c>
      <c r="L65" s="23" t="str">
        <f>IFERROR(__xludf.DUMMYFUNCTION("""COMPUTED_VALUE"""),"CNSI")</f>
        <v>CNSI</v>
      </c>
      <c r="M65" s="20" t="str">
        <f>IFERROR(__xludf.DUMMYFUNCTION("""COMPUTED_VALUE"""),"Sub 12")</f>
        <v>Sub 12</v>
      </c>
      <c r="N65" s="21" t="str">
        <f>IFERROR(__xludf.DUMMYFUNCTION("""COMPUTED_VALUE"""),"OPTIMIST PRINCIPIANTES")</f>
        <v>OPTIMIST PRINCIPIANTES</v>
      </c>
      <c r="O65" s="21"/>
      <c r="P65" s="21">
        <f>IFERROR(__xludf.DUMMYFUNCTION("""COMPUTED_VALUE"""),3475.0)</f>
        <v>3475</v>
      </c>
      <c r="Q65" s="20" t="str">
        <f>IFERROR(__xludf.DUMMYFUNCTION("""COMPUTED_VALUE"""),"Ruby")</f>
        <v>Ruby</v>
      </c>
      <c r="R65" s="20"/>
      <c r="S65" s="20"/>
      <c r="T65" s="20"/>
      <c r="U65" s="20"/>
      <c r="V65" s="20"/>
      <c r="W65" s="20"/>
      <c r="X65" s="24" t="str">
        <f>IFERROR(__xludf.DUMMYFUNCTION("""COMPUTED_VALUE"""),"OSDE")</f>
        <v>OSDE</v>
      </c>
      <c r="Y65" s="21" t="str">
        <f>IFERROR(__xludf.DUMMYFUNCTION("""COMPUTED_VALUE"""),"No")</f>
        <v>No</v>
      </c>
      <c r="Z65" s="21" t="str">
        <f>IFERROR(__xludf.DUMMYFUNCTION("""COMPUTED_VALUE"""),"Acepto")</f>
        <v>Acepto</v>
      </c>
      <c r="AA65" s="18" t="str">
        <f>IFERROR(__xludf.DUMMYFUNCTION("""COMPUTED_VALUE"""),"Terminado")</f>
        <v>Terminado</v>
      </c>
      <c r="AB65" s="18">
        <f>IFERROR(__xludf.DUMMYFUNCTION("""COMPUTED_VALUE"""),50000.0)</f>
        <v>50000</v>
      </c>
      <c r="AC65" s="7"/>
      <c r="AD65" s="7" t="str">
        <f>IFERROR(__xludf.DUMMYFUNCTION("""COMPUTED_VALUE"""),"TRF 30-08")</f>
        <v>TRF 30-08</v>
      </c>
      <c r="AE65" s="7" t="str">
        <f>IFERROR(__xludf.DUMMYFUNCTION("""COMPUTED_VALUE"""),"Pendiente")</f>
        <v>Pendiente</v>
      </c>
      <c r="AF65" s="21"/>
      <c r="AG65" s="23"/>
    </row>
    <row r="66">
      <c r="A66" s="19">
        <f>IFERROR(__xludf.DUMMYFUNCTION("""COMPUTED_VALUE"""),45531.74747243055)</f>
        <v>45531.74747</v>
      </c>
      <c r="B66" s="20" t="str">
        <f>IFERROR(__xludf.DUMMYFUNCTION("""COMPUTED_VALUE"""),"Carlos ")</f>
        <v>Carlos </v>
      </c>
      <c r="C66" s="20" t="str">
        <f>IFERROR(__xludf.DUMMYFUNCTION("""COMPUTED_VALUE"""),"Castrillo")</f>
        <v>Castrillo</v>
      </c>
      <c r="D66" s="20" t="str">
        <f>IFERROR(__xludf.DUMMYFUNCTION("""COMPUTED_VALUE"""),"Caba")</f>
        <v>Caba</v>
      </c>
      <c r="E66" s="21" t="str">
        <f>IFERROR(__xludf.DUMMYFUNCTION("""COMPUTED_VALUE"""),"ARG")</f>
        <v>ARG</v>
      </c>
      <c r="F66" s="21">
        <f>IFERROR(__xludf.DUMMYFUNCTION("""COMPUTED_VALUE"""),1.6977775E7)</f>
        <v>16977775</v>
      </c>
      <c r="G66" s="38">
        <f>IFERROR(__xludf.DUMMYFUNCTION("""COMPUTED_VALUE"""),23377.0)</f>
        <v>23377</v>
      </c>
      <c r="H66" s="20">
        <f>IFERROR(__xludf.DUMMYFUNCTION("""COMPUTED_VALUE"""),1.141859147E9)</f>
        <v>1141859147</v>
      </c>
      <c r="I66" s="20">
        <f>IFERROR(__xludf.DUMMYFUNCTION("""COMPUTED_VALUE"""),1.145288592E9)</f>
        <v>1145288592</v>
      </c>
      <c r="J66" s="20" t="str">
        <f>IFERROR(__xludf.DUMMYFUNCTION("""COMPUTED_VALUE"""),"Carlos.castrillo@castrillo.com.ar")</f>
        <v>Carlos.castrillo@castrillo.com.ar</v>
      </c>
      <c r="K66" s="20" t="str">
        <f>IFERROR(__xludf.DUMMYFUNCTION("""COMPUTED_VALUE"""),"Masculino")</f>
        <v>Masculino</v>
      </c>
      <c r="L66" s="23" t="str">
        <f>IFERROR(__xludf.DUMMYFUNCTION("""COMPUTED_VALUE"""),"YCA CUBA")</f>
        <v>YCA CUBA</v>
      </c>
      <c r="M66" s="20"/>
      <c r="N66" s="21" t="str">
        <f>IFERROR(__xludf.DUMMYFUNCTION("""COMPUTED_VALUE"""),"SNIPE")</f>
        <v>SNIPE</v>
      </c>
      <c r="O66" s="21"/>
      <c r="P66" s="21">
        <f>IFERROR(__xludf.DUMMYFUNCTION("""COMPUTED_VALUE"""),31402.0)</f>
        <v>31402</v>
      </c>
      <c r="Q66" s="20" t="str">
        <f>IFERROR(__xludf.DUMMYFUNCTION("""COMPUTED_VALUE"""),"Guadalupe")</f>
        <v>Guadalupe</v>
      </c>
      <c r="R66" s="20" t="str">
        <f>IFERROR(__xludf.DUMMYFUNCTION("""COMPUTED_VALUE"""),"Martin Gruenberg")</f>
        <v>Martin Gruenberg</v>
      </c>
      <c r="S66" s="20"/>
      <c r="T66" s="20"/>
      <c r="U66" s="20"/>
      <c r="V66" s="20"/>
      <c r="W66" s="20"/>
      <c r="X66" s="24"/>
      <c r="Y66" s="21" t="str">
        <f>IFERROR(__xludf.DUMMYFUNCTION("""COMPUTED_VALUE"""),"Si")</f>
        <v>Si</v>
      </c>
      <c r="Z66" s="21" t="str">
        <f>IFERROR(__xludf.DUMMYFUNCTION("""COMPUTED_VALUE"""),"Acepto")</f>
        <v>Acepto</v>
      </c>
      <c r="AA66" s="18" t="str">
        <f>IFERROR(__xludf.DUMMYFUNCTION("""COMPUTED_VALUE"""),"Terminado")</f>
        <v>Terminado</v>
      </c>
      <c r="AB66" s="18">
        <f>IFERROR(__xludf.DUMMYFUNCTION("""COMPUTED_VALUE"""),60000.0)</f>
        <v>60000</v>
      </c>
      <c r="AC66" s="7">
        <f>IFERROR(__xludf.DUMMYFUNCTION("""COMPUTED_VALUE"""),205059.0)</f>
        <v>205059</v>
      </c>
      <c r="AD66" s="7" t="str">
        <f>IFERROR(__xludf.DUMMYFUNCTION("""COMPUTED_VALUE"""),"TRF 27-08")</f>
        <v>TRF 27-08</v>
      </c>
      <c r="AE66" s="7" t="str">
        <f>IFERROR(__xludf.DUMMYFUNCTION("""COMPUTED_VALUE"""),"No Corresp")</f>
        <v>No Corresp</v>
      </c>
      <c r="AF66" s="21"/>
      <c r="AG66" s="23"/>
    </row>
    <row r="67">
      <c r="A67" s="31">
        <f>IFERROR(__xludf.DUMMYFUNCTION("""COMPUTED_VALUE"""),45532.80805116898)</f>
        <v>45532.80805</v>
      </c>
      <c r="B67" s="12" t="str">
        <f>IFERROR(__xludf.DUMMYFUNCTION("""COMPUTED_VALUE"""),"Alberto ")</f>
        <v>Alberto </v>
      </c>
      <c r="C67" s="12" t="str">
        <f>IFERROR(__xludf.DUMMYFUNCTION("""COMPUTED_VALUE"""),"Catena")</f>
        <v>Catena</v>
      </c>
      <c r="D67" s="12" t="str">
        <f>IFERROR(__xludf.DUMMYFUNCTION("""COMPUTED_VALUE"""),"Quilmes")</f>
        <v>Quilmes</v>
      </c>
      <c r="E67" s="13" t="str">
        <f>IFERROR(__xludf.DUMMYFUNCTION("""COMPUTED_VALUE"""),"ARG")</f>
        <v>ARG</v>
      </c>
      <c r="F67" s="13">
        <f>IFERROR(__xludf.DUMMYFUNCTION("""COMPUTED_VALUE"""),2.8141748E7)</f>
        <v>28141748</v>
      </c>
      <c r="G67" s="14">
        <f>IFERROR(__xludf.DUMMYFUNCTION("""COMPUTED_VALUE"""),29480.0)</f>
        <v>29480</v>
      </c>
      <c r="H67" s="15">
        <f>IFERROR(__xludf.DUMMYFUNCTION("""COMPUTED_VALUE"""),1.14992055E9)</f>
        <v>1149920550</v>
      </c>
      <c r="I67" s="15"/>
      <c r="J67" s="12" t="str">
        <f>IFERROR(__xludf.DUMMYFUNCTION("""COMPUTED_VALUE"""),"Acatena80@gmail.com")</f>
        <v>Acatena80@gmail.com</v>
      </c>
      <c r="K67" s="12" t="str">
        <f>IFERROR(__xludf.DUMMYFUNCTION("""COMPUTED_VALUE"""),"Masculino")</f>
        <v>Masculino</v>
      </c>
      <c r="L67" s="16" t="str">
        <f>IFERROR(__xludf.DUMMYFUNCTION("""COMPUTED_VALUE"""),"CNQ")</f>
        <v>CNQ</v>
      </c>
      <c r="M67" s="12" t="str">
        <f>IFERROR(__xludf.DUMMYFUNCTION("""COMPUTED_VALUE"""),"Wing")</f>
        <v>Wing</v>
      </c>
      <c r="N67" s="13" t="str">
        <f>IFERROR(__xludf.DUMMYFUNCTION("""COMPUTED_VALUE"""),"WING FOIL")</f>
        <v>WING FOIL</v>
      </c>
      <c r="O67" s="13"/>
      <c r="P67" s="13">
        <f>IFERROR(__xludf.DUMMYFUNCTION("""COMPUTED_VALUE"""),83.0)</f>
        <v>83</v>
      </c>
      <c r="Q67" s="12"/>
      <c r="R67" s="12">
        <f>IFERROR(__xludf.DUMMYFUNCTION("""COMPUTED_VALUE"""),83.0)</f>
        <v>83</v>
      </c>
      <c r="S67" s="12"/>
      <c r="T67" s="12"/>
      <c r="U67" s="12"/>
      <c r="V67" s="12"/>
      <c r="W67" s="12"/>
      <c r="X67" s="17" t="str">
        <f>IFERROR(__xludf.DUMMYFUNCTION("""COMPUTED_VALUE"""),"Construir salud ")</f>
        <v>Construir salud </v>
      </c>
      <c r="Y67" s="13" t="str">
        <f>IFERROR(__xludf.DUMMYFUNCTION("""COMPUTED_VALUE"""),"No")</f>
        <v>No</v>
      </c>
      <c r="Z67" s="13" t="str">
        <f>IFERROR(__xludf.DUMMYFUNCTION("""COMPUTED_VALUE"""),"Acepto")</f>
        <v>Acepto</v>
      </c>
      <c r="AA67" s="25" t="str">
        <f>IFERROR(__xludf.DUMMYFUNCTION("""COMPUTED_VALUE"""),"Pendiente")</f>
        <v>Pendiente</v>
      </c>
      <c r="AB67" s="25"/>
      <c r="AC67" s="7"/>
      <c r="AD67" s="7"/>
      <c r="AE67" s="7" t="str">
        <f>IFERROR(__xludf.DUMMYFUNCTION("""COMPUTED_VALUE"""),"No Corresp")</f>
        <v>No Corresp</v>
      </c>
      <c r="AF67" s="13"/>
      <c r="AG67" s="16"/>
    </row>
    <row r="68">
      <c r="A68" s="19">
        <f>IFERROR(__xludf.DUMMYFUNCTION("""COMPUTED_VALUE"""),45533.59806690972)</f>
        <v>45533.59807</v>
      </c>
      <c r="B68" s="20" t="str">
        <f>IFERROR(__xludf.DUMMYFUNCTION("""COMPUTED_VALUE"""),"Francisco")</f>
        <v>Francisco</v>
      </c>
      <c r="C68" s="20" t="str">
        <f>IFERROR(__xludf.DUMMYFUNCTION("""COMPUTED_VALUE"""),"Cerrato")</f>
        <v>Cerrato</v>
      </c>
      <c r="D68" s="20" t="str">
        <f>IFERROR(__xludf.DUMMYFUNCTION("""COMPUTED_VALUE"""),"Buenos Aires ")</f>
        <v>Buenos Aires </v>
      </c>
      <c r="E68" s="21" t="str">
        <f>IFERROR(__xludf.DUMMYFUNCTION("""COMPUTED_VALUE"""),"ARG")</f>
        <v>ARG</v>
      </c>
      <c r="F68" s="21">
        <f>IFERROR(__xludf.DUMMYFUNCTION("""COMPUTED_VALUE"""),5.1584319E7)</f>
        <v>51584319</v>
      </c>
      <c r="G68" s="38">
        <f>IFERROR(__xludf.DUMMYFUNCTION("""COMPUTED_VALUE"""),40857.0)</f>
        <v>40857</v>
      </c>
      <c r="H68" s="39">
        <f>IFERROR(__xludf.DUMMYFUNCTION("""COMPUTED_VALUE"""),1.169476129E9)</f>
        <v>1169476129</v>
      </c>
      <c r="I68" s="40">
        <f>IFERROR(__xludf.DUMMYFUNCTION("""COMPUTED_VALUE"""),1.169476129E9)</f>
        <v>1169476129</v>
      </c>
      <c r="J68" s="20" t="str">
        <f>IFERROR(__xludf.DUMMYFUNCTION("""COMPUTED_VALUE"""),"cerramar432@yahoo.com.ar")</f>
        <v>cerramar432@yahoo.com.ar</v>
      </c>
      <c r="K68" s="20" t="str">
        <f>IFERROR(__xludf.DUMMYFUNCTION("""COMPUTED_VALUE"""),"Masculino")</f>
        <v>Masculino</v>
      </c>
      <c r="L68" s="23" t="str">
        <f>IFERROR(__xludf.DUMMYFUNCTION("""COMPUTED_VALUE"""),"CGLNM")</f>
        <v>CGLNM</v>
      </c>
      <c r="M68" s="20" t="str">
        <f>IFERROR(__xludf.DUMMYFUNCTION("""COMPUTED_VALUE"""),"Optimist Timonel")</f>
        <v>Optimist Timonel</v>
      </c>
      <c r="N68" s="21" t="str">
        <f>IFERROR(__xludf.DUMMYFUNCTION("""COMPUTED_VALUE"""),"OPTIMIST TIMONELES")</f>
        <v>OPTIMIST TIMONELES</v>
      </c>
      <c r="O68" s="21"/>
      <c r="P68" s="21">
        <f>IFERROR(__xludf.DUMMYFUNCTION("""COMPUTED_VALUE"""),3801.0)</f>
        <v>3801</v>
      </c>
      <c r="Q68" s="20"/>
      <c r="R68" s="20"/>
      <c r="S68" s="20"/>
      <c r="T68" s="20"/>
      <c r="U68" s="20"/>
      <c r="V68" s="20"/>
      <c r="W68" s="20"/>
      <c r="X68" s="24" t="str">
        <f>IFERROR(__xludf.DUMMYFUNCTION("""COMPUTED_VALUE"""),"Swiss Medical")</f>
        <v>Swiss Medical</v>
      </c>
      <c r="Y68" s="21" t="str">
        <f>IFERROR(__xludf.DUMMYFUNCTION("""COMPUTED_VALUE"""),"Si")</f>
        <v>Si</v>
      </c>
      <c r="Z68" s="21" t="str">
        <f>IFERROR(__xludf.DUMMYFUNCTION("""COMPUTED_VALUE"""),"Acepto")</f>
        <v>Acepto</v>
      </c>
      <c r="AA68" s="18" t="str">
        <f>IFERROR(__xludf.DUMMYFUNCTION("""COMPUTED_VALUE"""),"Terminado")</f>
        <v>Terminado</v>
      </c>
      <c r="AB68" s="18">
        <f>IFERROR(__xludf.DUMMYFUNCTION("""COMPUTED_VALUE"""),50000.0)</f>
        <v>50000</v>
      </c>
      <c r="AC68" s="7">
        <f>IFERROR(__xludf.DUMMYFUNCTION("""COMPUTED_VALUE"""),205082.0)</f>
        <v>205082</v>
      </c>
      <c r="AD68" s="7" t="str">
        <f>IFERROR(__xludf.DUMMYFUNCTION("""COMPUTED_VALUE"""),"TRF 29-08")</f>
        <v>TRF 29-08</v>
      </c>
      <c r="AE68" s="7" t="str">
        <f>IFERROR(__xludf.DUMMYFUNCTION("""COMPUTED_VALUE"""),"OK")</f>
        <v>OK</v>
      </c>
      <c r="AF68" s="21"/>
      <c r="AG68" s="23"/>
    </row>
    <row r="69">
      <c r="A69" s="19">
        <f>IFERROR(__xludf.DUMMYFUNCTION("""COMPUTED_VALUE"""),45535.62690666667)</f>
        <v>45535.62691</v>
      </c>
      <c r="B69" s="20" t="str">
        <f>IFERROR(__xludf.DUMMYFUNCTION("""COMPUTED_VALUE"""),"Luis")</f>
        <v>Luis</v>
      </c>
      <c r="C69" s="20" t="str">
        <f>IFERROR(__xludf.DUMMYFUNCTION("""COMPUTED_VALUE"""),"Cerrato")</f>
        <v>Cerrato</v>
      </c>
      <c r="D69" s="20" t="str">
        <f>IFERROR(__xludf.DUMMYFUNCTION("""COMPUTED_VALUE"""),"Buenos Aires")</f>
        <v>Buenos Aires</v>
      </c>
      <c r="E69" s="21" t="str">
        <f>IFERROR(__xludf.DUMMYFUNCTION("""COMPUTED_VALUE"""),"ARG")</f>
        <v>ARG</v>
      </c>
      <c r="F69" s="21">
        <f>IFERROR(__xludf.DUMMYFUNCTION("""COMPUTED_VALUE"""),1.7749448E7)</f>
        <v>17749448</v>
      </c>
      <c r="G69" s="22">
        <f>IFERROR(__xludf.DUMMYFUNCTION("""COMPUTED_VALUE"""),23867.0)</f>
        <v>23867</v>
      </c>
      <c r="H69" s="21">
        <f>IFERROR(__xludf.DUMMYFUNCTION("""COMPUTED_VALUE"""),1.150041298E9)</f>
        <v>1150041298</v>
      </c>
      <c r="I69" s="21">
        <f>IFERROR(__xludf.DUMMYFUNCTION("""COMPUTED_VALUE"""),1.121939562E9)</f>
        <v>1121939562</v>
      </c>
      <c r="J69" s="29" t="str">
        <f>IFERROR(__xludf.DUMMYFUNCTION("""COMPUTED_VALUE"""),"luis.a.cerrato@gmail.com")</f>
        <v>luis.a.cerrato@gmail.com</v>
      </c>
      <c r="K69" s="21" t="str">
        <f>IFERROR(__xludf.DUMMYFUNCTION("""COMPUTED_VALUE"""),"Masculino")</f>
        <v>Masculino</v>
      </c>
      <c r="L69" s="23" t="str">
        <f>IFERROR(__xludf.DUMMYFUNCTION("""COMPUTED_VALUE"""),"YCO")</f>
        <v>YCO</v>
      </c>
      <c r="M69" s="20" t="str">
        <f>IFERROR(__xludf.DUMMYFUNCTION("""COMPUTED_VALUE"""),"Master (ILCA)")</f>
        <v>Master (ILCA)</v>
      </c>
      <c r="N69" s="21" t="str">
        <f>IFERROR(__xludf.DUMMYFUNCTION("""COMPUTED_VALUE"""),"ILCA 6")</f>
        <v>ILCA 6</v>
      </c>
      <c r="O69" s="21"/>
      <c r="P69" s="21">
        <f>IFERROR(__xludf.DUMMYFUNCTION("""COMPUTED_VALUE"""),184290.0)</f>
        <v>184290</v>
      </c>
      <c r="Q69" s="20" t="str">
        <f>IFERROR(__xludf.DUMMYFUNCTION("""COMPUTED_VALUE"""),"Sandro")</f>
        <v>Sandro</v>
      </c>
      <c r="R69" s="40"/>
      <c r="S69" s="20"/>
      <c r="T69" s="20"/>
      <c r="U69" s="20"/>
      <c r="V69" s="20"/>
      <c r="W69" s="20"/>
      <c r="X69" s="24" t="str">
        <f>IFERROR(__xludf.DUMMYFUNCTION("""COMPUTED_VALUE"""),"Osde")</f>
        <v>Osde</v>
      </c>
      <c r="Y69" s="21" t="str">
        <f>IFERROR(__xludf.DUMMYFUNCTION("""COMPUTED_VALUE"""),"Si")</f>
        <v>Si</v>
      </c>
      <c r="Z69" s="21" t="str">
        <f>IFERROR(__xludf.DUMMYFUNCTION("""COMPUTED_VALUE"""),"Acepto")</f>
        <v>Acepto</v>
      </c>
      <c r="AA69" s="25" t="str">
        <f>IFERROR(__xludf.DUMMYFUNCTION("""COMPUTED_VALUE"""),"Terminado")</f>
        <v>Terminado</v>
      </c>
      <c r="AB69" s="25">
        <f>IFERROR(__xludf.DUMMYFUNCTION("""COMPUTED_VALUE"""),45000.0)</f>
        <v>45000</v>
      </c>
      <c r="AC69" s="7">
        <f>IFERROR(__xludf.DUMMYFUNCTION("""COMPUTED_VALUE"""),205168.0)</f>
        <v>205168</v>
      </c>
      <c r="AD69" s="7" t="str">
        <f>IFERROR(__xludf.DUMMYFUNCTION("""COMPUTED_VALUE"""),"TRF 31-08")</f>
        <v>TRF 31-08</v>
      </c>
      <c r="AE69" s="7" t="str">
        <f>IFERROR(__xludf.DUMMYFUNCTION("""COMPUTED_VALUE"""),"No Corresp")</f>
        <v>No Corresp</v>
      </c>
      <c r="AF69" s="21"/>
      <c r="AG69" s="23"/>
    </row>
    <row r="70">
      <c r="A70" s="31">
        <f>IFERROR(__xludf.DUMMYFUNCTION("""COMPUTED_VALUE"""),45538.8518777662)</f>
        <v>45538.85188</v>
      </c>
      <c r="B70" s="12" t="str">
        <f>IFERROR(__xludf.DUMMYFUNCTION("""COMPUTED_VALUE"""),"valentin")</f>
        <v>valentin</v>
      </c>
      <c r="C70" s="12" t="str">
        <f>IFERROR(__xludf.DUMMYFUNCTION("""COMPUTED_VALUE"""),"chavarria")</f>
        <v>chavarria</v>
      </c>
      <c r="D70" s="12" t="str">
        <f>IFERROR(__xludf.DUMMYFUNCTION("""COMPUTED_VALUE"""),"zarate")</f>
        <v>zarate</v>
      </c>
      <c r="E70" s="13" t="str">
        <f>IFERROR(__xludf.DUMMYFUNCTION("""COMPUTED_VALUE"""),"ARG")</f>
        <v>ARG</v>
      </c>
      <c r="F70" s="13">
        <f>IFERROR(__xludf.DUMMYFUNCTION("""COMPUTED_VALUE"""),5.3084562E7)</f>
        <v>53084562</v>
      </c>
      <c r="G70" s="14">
        <f>IFERROR(__xludf.DUMMYFUNCTION("""COMPUTED_VALUE"""),41330.0)</f>
        <v>41330</v>
      </c>
      <c r="H70" s="15" t="str">
        <f>IFERROR(__xludf.DUMMYFUNCTION("""COMPUTED_VALUE"""),"3487-675440")</f>
        <v>3487-675440</v>
      </c>
      <c r="I70" s="15" t="str">
        <f>IFERROR(__xludf.DUMMYFUNCTION("""COMPUTED_VALUE"""),"3487-675440")</f>
        <v>3487-675440</v>
      </c>
      <c r="J70" s="12" t="str">
        <f>IFERROR(__xludf.DUMMYFUNCTION("""COMPUTED_VALUE"""),"miguelymale15@gmail.com")</f>
        <v>miguelymale15@gmail.com</v>
      </c>
      <c r="K70" s="12" t="str">
        <f>IFERROR(__xludf.DUMMYFUNCTION("""COMPUTED_VALUE"""),"Masculino")</f>
        <v>Masculino</v>
      </c>
      <c r="L70" s="16" t="str">
        <f>IFERROR(__xludf.DUMMYFUNCTION("""COMPUTED_VALUE"""),"CNZ")</f>
        <v>CNZ</v>
      </c>
      <c r="M70" s="12" t="str">
        <f>IFERROR(__xludf.DUMMYFUNCTION("""COMPUTED_VALUE"""),"Interior (Optimist)")</f>
        <v>Interior (Optimist)</v>
      </c>
      <c r="N70" s="13" t="str">
        <f>IFERROR(__xludf.DUMMYFUNCTION("""COMPUTED_VALUE"""),"OPTIMIST PRINCIPIANTES")</f>
        <v>OPTIMIST PRINCIPIANTES</v>
      </c>
      <c r="O70" s="13"/>
      <c r="P70" s="13">
        <f>IFERROR(__xludf.DUMMYFUNCTION("""COMPUTED_VALUE"""),402.0)</f>
        <v>402</v>
      </c>
      <c r="Q70" s="12"/>
      <c r="R70" s="12"/>
      <c r="S70" s="12"/>
      <c r="T70" s="12"/>
      <c r="U70" s="12"/>
      <c r="V70" s="12"/>
      <c r="W70" s="12"/>
      <c r="X70" s="17"/>
      <c r="Y70" s="13" t="str">
        <f>IFERROR(__xludf.DUMMYFUNCTION("""COMPUTED_VALUE"""),"Si")</f>
        <v>Si</v>
      </c>
      <c r="Z70" s="13" t="str">
        <f>IFERROR(__xludf.DUMMYFUNCTION("""COMPUTED_VALUE"""),"Acepto")</f>
        <v>Acepto</v>
      </c>
      <c r="AA70" s="25" t="str">
        <f>IFERROR(__xludf.DUMMYFUNCTION("""COMPUTED_VALUE"""),"Terminado")</f>
        <v>Terminado</v>
      </c>
      <c r="AB70" s="25">
        <f>IFERROR(__xludf.DUMMYFUNCTION("""COMPUTED_VALUE"""),50000.0)</f>
        <v>50000</v>
      </c>
      <c r="AC70" s="49">
        <f>IFERROR(__xludf.DUMMYFUNCTION("""COMPUTED_VALUE"""),205425.0)</f>
        <v>205425</v>
      </c>
      <c r="AD70" s="7" t="str">
        <f>IFERROR(__xludf.DUMMYFUNCTION("""COMPUTED_VALUE"""),"TRF 03-09")</f>
        <v>TRF 03-09</v>
      </c>
      <c r="AE70" s="7" t="str">
        <f>IFERROR(__xludf.DUMMYFUNCTION("""COMPUTED_VALUE"""),"OK")</f>
        <v>OK</v>
      </c>
      <c r="AF70" s="13"/>
      <c r="AG70" s="16"/>
    </row>
    <row r="71">
      <c r="A71" s="31">
        <f>IFERROR(__xludf.DUMMYFUNCTION("""COMPUTED_VALUE"""),45531.65139599537)</f>
        <v>45531.6514</v>
      </c>
      <c r="B71" s="12" t="str">
        <f>IFERROR(__xludf.DUMMYFUNCTION("""COMPUTED_VALUE"""),"Catalina")</f>
        <v>Catalina</v>
      </c>
      <c r="C71" s="12" t="str">
        <f>IFERROR(__xludf.DUMMYFUNCTION("""COMPUTED_VALUE"""),"Cherro")</f>
        <v>Cherro</v>
      </c>
      <c r="D71" s="12" t="str">
        <f>IFERROR(__xludf.DUMMYFUNCTION("""COMPUTED_VALUE"""),"Buenos Aires")</f>
        <v>Buenos Aires</v>
      </c>
      <c r="E71" s="13" t="str">
        <f>IFERROR(__xludf.DUMMYFUNCTION("""COMPUTED_VALUE"""),"ARG")</f>
        <v>ARG</v>
      </c>
      <c r="F71" s="13">
        <f>IFERROR(__xludf.DUMMYFUNCTION("""COMPUTED_VALUE"""),4.8386142E7)</f>
        <v>48386142</v>
      </c>
      <c r="G71" s="14">
        <f>IFERROR(__xludf.DUMMYFUNCTION("""COMPUTED_VALUE"""),39417.0)</f>
        <v>39417</v>
      </c>
      <c r="H71" s="15">
        <f>IFERROR(__xludf.DUMMYFUNCTION("""COMPUTED_VALUE"""),1.156395103E9)</f>
        <v>1156395103</v>
      </c>
      <c r="I71" s="15">
        <f>IFERROR(__xludf.DUMMYFUNCTION("""COMPUTED_VALUE"""),1.123929511E9)</f>
        <v>1123929511</v>
      </c>
      <c r="J71" s="12" t="str">
        <f>IFERROR(__xludf.DUMMYFUNCTION("""COMPUTED_VALUE"""),"ccherrocatalina@gmail.com")</f>
        <v>ccherrocatalina@gmail.com</v>
      </c>
      <c r="K71" s="12" t="str">
        <f>IFERROR(__xludf.DUMMYFUNCTION("""COMPUTED_VALUE"""),"Femenino")</f>
        <v>Femenino</v>
      </c>
      <c r="L71" s="16" t="str">
        <f>IFERROR(__xludf.DUMMYFUNCTION("""COMPUTED_VALUE"""),"CPNLB")</f>
        <v>CPNLB</v>
      </c>
      <c r="M71" s="12"/>
      <c r="N71" s="13" t="str">
        <f>IFERROR(__xludf.DUMMYFUNCTION("""COMPUTED_VALUE"""),"GRUMETE")</f>
        <v>GRUMETE</v>
      </c>
      <c r="O71" s="13" t="str">
        <f>IFERROR(__xludf.DUMMYFUNCTION("""COMPUTED_VALUE"""),"-")</f>
        <v>-</v>
      </c>
      <c r="P71" s="13">
        <f>IFERROR(__xludf.DUMMYFUNCTION("""COMPUTED_VALUE"""),7.0)</f>
        <v>7</v>
      </c>
      <c r="Q71" s="12" t="str">
        <f>IFERROR(__xludf.DUMMYFUNCTION("""COMPUTED_VALUE"""),"Nadine")</f>
        <v>Nadine</v>
      </c>
      <c r="R71" s="12" t="str">
        <f>IFERROR(__xludf.DUMMYFUNCTION("""COMPUTED_VALUE"""),"Alejandro Cherro")</f>
        <v>Alejandro Cherro</v>
      </c>
      <c r="S71" s="12" t="str">
        <f>IFERROR(__xludf.DUMMYFUNCTION("""COMPUTED_VALUE"""),"Fabián Vinciguerra")</f>
        <v>Fabián Vinciguerra</v>
      </c>
      <c r="T71" s="12" t="str">
        <f>IFERROR(__xludf.DUMMYFUNCTION("""COMPUTED_VALUE"""),"Catu Cherro")</f>
        <v>Catu Cherro</v>
      </c>
      <c r="U71" s="12"/>
      <c r="V71" s="12"/>
      <c r="W71" s="12"/>
      <c r="X71" s="17" t="str">
        <f>IFERROR(__xludf.DUMMYFUNCTION("""COMPUTED_VALUE"""),"-")</f>
        <v>-</v>
      </c>
      <c r="Y71" s="13" t="str">
        <f>IFERROR(__xludf.DUMMYFUNCTION("""COMPUTED_VALUE"""),"No")</f>
        <v>No</v>
      </c>
      <c r="Z71" s="13" t="str">
        <f>IFERROR(__xludf.DUMMYFUNCTION("""COMPUTED_VALUE"""),"Acepto")</f>
        <v>Acepto</v>
      </c>
      <c r="AA71" s="18" t="str">
        <f>IFERROR(__xludf.DUMMYFUNCTION("""COMPUTED_VALUE"""),"Terminado")</f>
        <v>Terminado</v>
      </c>
      <c r="AB71" s="18">
        <f>IFERROR(__xludf.DUMMYFUNCTION("""COMPUTED_VALUE"""),60000.0)</f>
        <v>60000</v>
      </c>
      <c r="AC71" s="7">
        <f>IFERROR(__xludf.DUMMYFUNCTION("""COMPUTED_VALUE"""),205416.0)</f>
        <v>205416</v>
      </c>
      <c r="AD71" s="7" t="str">
        <f>IFERROR(__xludf.DUMMYFUNCTION("""COMPUTED_VALUE"""),"TRF 03-09")</f>
        <v>TRF 03-09</v>
      </c>
      <c r="AE71" s="7"/>
      <c r="AF71" s="13" t="str">
        <f>IFERROR(__xludf.DUMMYFUNCTION("""COMPUTED_VALUE"""),"Si")</f>
        <v>Si</v>
      </c>
      <c r="AG71" s="16"/>
    </row>
    <row r="72">
      <c r="A72" s="31">
        <f>IFERROR(__xludf.DUMMYFUNCTION("""COMPUTED_VALUE"""),45526.4163209838)</f>
        <v>45526.41632</v>
      </c>
      <c r="B72" s="12" t="str">
        <f>IFERROR(__xludf.DUMMYFUNCTION("""COMPUTED_VALUE"""),"MARCELO ")</f>
        <v>MARCELO </v>
      </c>
      <c r="C72" s="12" t="str">
        <f>IFERROR(__xludf.DUMMYFUNCTION("""COMPUTED_VALUE"""),"CHIRICO")</f>
        <v>CHIRICO</v>
      </c>
      <c r="D72" s="12" t="str">
        <f>IFERROR(__xludf.DUMMYFUNCTION("""COMPUTED_VALUE"""),"VIEDMA")</f>
        <v>VIEDMA</v>
      </c>
      <c r="E72" s="13" t="str">
        <f>IFERROR(__xludf.DUMMYFUNCTION("""COMPUTED_VALUE"""),"ARG")</f>
        <v>ARG</v>
      </c>
      <c r="F72" s="13">
        <f>IFERROR(__xludf.DUMMYFUNCTION("""COMPUTED_VALUE"""),2.9898026E7)</f>
        <v>29898026</v>
      </c>
      <c r="G72" s="14">
        <f>IFERROR(__xludf.DUMMYFUNCTION("""COMPUTED_VALUE"""),30391.0)</f>
        <v>30391</v>
      </c>
      <c r="H72" s="15">
        <f>IFERROR(__xludf.DUMMYFUNCTION("""COMPUTED_VALUE"""),2.920309841E9)</f>
        <v>2920309841</v>
      </c>
      <c r="I72" s="41"/>
      <c r="J72" s="12" t="str">
        <f>IFERROR(__xludf.DUMMYFUNCTION("""COMPUTED_VALUE"""),"marcelochirico83@gmail.com")</f>
        <v>marcelochirico83@gmail.com</v>
      </c>
      <c r="K72" s="12" t="str">
        <f>IFERROR(__xludf.DUMMYFUNCTION("""COMPUTED_VALUE"""),"Masculino")</f>
        <v>Masculino</v>
      </c>
      <c r="L72" s="16" t="str">
        <f>IFERROR(__xludf.DUMMYFUNCTION("""COMPUTED_VALUE"""),"ESCUELA NÁUTICA PROVINCIAL VIEDMA")</f>
        <v>ESCUELA NÁUTICA PROVINCIAL VIEDMA</v>
      </c>
      <c r="M72" s="12" t="str">
        <f>IFERROR(__xludf.DUMMYFUNCTION("""COMPUTED_VALUE"""),"PAMPERO MIXTO")</f>
        <v>PAMPERO MIXTO</v>
      </c>
      <c r="N72" s="13" t="str">
        <f>IFERROR(__xludf.DUMMYFUNCTION("""COMPUTED_VALUE"""),"PAMPERO")</f>
        <v>PAMPERO</v>
      </c>
      <c r="O72" s="13"/>
      <c r="P72" s="13">
        <f>IFERROR(__xludf.DUMMYFUNCTION("""COMPUTED_VALUE"""),269.0)</f>
        <v>269</v>
      </c>
      <c r="Q72" s="12" t="str">
        <f>IFERROR(__xludf.DUMMYFUNCTION("""COMPUTED_VALUE"""),"COCOON")</f>
        <v>COCOON</v>
      </c>
      <c r="R72" s="12" t="str">
        <f>IFERROR(__xludf.DUMMYFUNCTION("""COMPUTED_VALUE"""),"LUCRECIA OSÁN")</f>
        <v>LUCRECIA OSÁN</v>
      </c>
      <c r="S72" s="12"/>
      <c r="T72" s="12"/>
      <c r="U72" s="12"/>
      <c r="V72" s="12"/>
      <c r="W72" s="12"/>
      <c r="X72" s="17"/>
      <c r="Y72" s="13" t="str">
        <f>IFERROR(__xludf.DUMMYFUNCTION("""COMPUTED_VALUE"""),"Si")</f>
        <v>Si</v>
      </c>
      <c r="Z72" s="13" t="str">
        <f>IFERROR(__xludf.DUMMYFUNCTION("""COMPUTED_VALUE"""),"Acepto")</f>
        <v>Acepto</v>
      </c>
      <c r="AA72" s="25" t="str">
        <f>IFERROR(__xludf.DUMMYFUNCTION("""COMPUTED_VALUE"""),"Terminado")</f>
        <v>Terminado</v>
      </c>
      <c r="AB72" s="25">
        <f>IFERROR(__xludf.DUMMYFUNCTION("""COMPUTED_VALUE"""),51000.0)</f>
        <v>51000</v>
      </c>
      <c r="AC72" s="7">
        <f>IFERROR(__xludf.DUMMYFUNCTION("""COMPUTED_VALUE"""),205038.0)</f>
        <v>205038</v>
      </c>
      <c r="AD72" s="7" t="str">
        <f>IFERROR(__xludf.DUMMYFUNCTION("""COMPUTED_VALUE"""),"TRF 22-08")</f>
        <v>TRF 22-08</v>
      </c>
      <c r="AE72" s="7" t="str">
        <f>IFERROR(__xludf.DUMMYFUNCTION("""COMPUTED_VALUE"""),"No Corresp")</f>
        <v>No Corresp</v>
      </c>
      <c r="AF72" s="13" t="str">
        <f>IFERROR(__xludf.DUMMYFUNCTION("""COMPUTED_VALUE"""),"Si")</f>
        <v>Si</v>
      </c>
      <c r="AG72" s="16"/>
    </row>
    <row r="73">
      <c r="A73" s="42">
        <f>IFERROR(__xludf.DUMMYFUNCTION("""COMPUTED_VALUE"""),45538.4155449074)</f>
        <v>45538.41554</v>
      </c>
      <c r="B73" s="43" t="str">
        <f>IFERROR(__xludf.DUMMYFUNCTION("""COMPUTED_VALUE"""),"Sebastián ")</f>
        <v>Sebastián </v>
      </c>
      <c r="C73" s="43" t="str">
        <f>IFERROR(__xludf.DUMMYFUNCTION("""COMPUTED_VALUE"""),"Clua D'alessandro ")</f>
        <v>Clua D'alessandro </v>
      </c>
      <c r="D73" s="43" t="str">
        <f>IFERROR(__xludf.DUMMYFUNCTION("""COMPUTED_VALUE"""),"La plata")</f>
        <v>La plata</v>
      </c>
      <c r="E73" s="7" t="str">
        <f>IFERROR(__xludf.DUMMYFUNCTION("""COMPUTED_VALUE"""),"ARG")</f>
        <v>ARG</v>
      </c>
      <c r="F73" s="7">
        <f>IFERROR(__xludf.DUMMYFUNCTION("""COMPUTED_VALUE"""),3.3850814E7)</f>
        <v>33850814</v>
      </c>
      <c r="G73" s="44">
        <f>IFERROR(__xludf.DUMMYFUNCTION("""COMPUTED_VALUE"""),32299.0)</f>
        <v>32299</v>
      </c>
      <c r="H73" s="45">
        <f>IFERROR(__xludf.DUMMYFUNCTION("""COMPUTED_VALUE"""),2.215343741E9)</f>
        <v>2215343741</v>
      </c>
      <c r="I73" s="46">
        <f>IFERROR(__xludf.DUMMYFUNCTION("""COMPUTED_VALUE"""),2.215411548E9)</f>
        <v>2215411548</v>
      </c>
      <c r="J73" s="45" t="str">
        <f>IFERROR(__xludf.DUMMYFUNCTION("""COMPUTED_VALUE"""),"sebas.clua@gmail.com")</f>
        <v>sebas.clua@gmail.com</v>
      </c>
      <c r="K73" s="45" t="str">
        <f>IFERROR(__xludf.DUMMYFUNCTION("""COMPUTED_VALUE"""),"Masculino")</f>
        <v>Masculino</v>
      </c>
      <c r="L73" s="43" t="str">
        <f>IFERROR(__xludf.DUMMYFUNCTION("""COMPUTED_VALUE"""),"Gasav")</f>
        <v>Gasav</v>
      </c>
      <c r="M73" s="45" t="str">
        <f>IFERROR(__xludf.DUMMYFUNCTION("""COMPUTED_VALUE"""),"Master (ILCA)")</f>
        <v>Master (ILCA)</v>
      </c>
      <c r="N73" s="7" t="str">
        <f>IFERROR(__xludf.DUMMYFUNCTION("""COMPUTED_VALUE"""),"ILCA 6")</f>
        <v>ILCA 6</v>
      </c>
      <c r="O73" s="7"/>
      <c r="P73" s="7" t="str">
        <f>IFERROR(__xludf.DUMMYFUNCTION("""COMPUTED_VALUE"""),"ALA 2")</f>
        <v>ALA 2</v>
      </c>
      <c r="Q73" s="45" t="str">
        <f>IFERROR(__xludf.DUMMYFUNCTION("""COMPUTED_VALUE"""),"Gollo")</f>
        <v>Gollo</v>
      </c>
      <c r="R73" s="45"/>
      <c r="S73" s="45"/>
      <c r="T73" s="45"/>
      <c r="U73" s="45"/>
      <c r="V73" s="45"/>
      <c r="W73" s="45"/>
      <c r="X73" s="47"/>
      <c r="Y73" s="7" t="str">
        <f>IFERROR(__xludf.DUMMYFUNCTION("""COMPUTED_VALUE"""),"Si")</f>
        <v>Si</v>
      </c>
      <c r="Z73" s="7" t="str">
        <f>IFERROR(__xludf.DUMMYFUNCTION("""COMPUTED_VALUE"""),"Acepto")</f>
        <v>Acepto</v>
      </c>
      <c r="AA73" s="48" t="str">
        <f>IFERROR(__xludf.DUMMYFUNCTION("""COMPUTED_VALUE"""),"No corre")</f>
        <v>No corre</v>
      </c>
      <c r="AB73" s="48"/>
      <c r="AC73" s="7"/>
      <c r="AD73" s="7"/>
      <c r="AE73" s="7" t="str">
        <f>IFERROR(__xludf.DUMMYFUNCTION("""COMPUTED_VALUE"""),"No Corresp")</f>
        <v>No Corresp</v>
      </c>
      <c r="AF73" s="7"/>
      <c r="AG73" s="43"/>
    </row>
    <row r="74">
      <c r="A74" s="42">
        <f>IFERROR(__xludf.DUMMYFUNCTION("""COMPUTED_VALUE"""),45534.359787615744)</f>
        <v>45534.35979</v>
      </c>
      <c r="B74" s="43" t="str">
        <f>IFERROR(__xludf.DUMMYFUNCTION("""COMPUTED_VALUE"""),"Julia")</f>
        <v>Julia</v>
      </c>
      <c r="C74" s="43" t="str">
        <f>IFERROR(__xludf.DUMMYFUNCTION("""COMPUTED_VALUE"""),"Cocozza")</f>
        <v>Cocozza</v>
      </c>
      <c r="D74" s="43" t="str">
        <f>IFERROR(__xludf.DUMMYFUNCTION("""COMPUTED_VALUE"""),"San fernando")</f>
        <v>San fernando</v>
      </c>
      <c r="E74" s="7" t="str">
        <f>IFERROR(__xludf.DUMMYFUNCTION("""COMPUTED_VALUE"""),"ARG")</f>
        <v>ARG</v>
      </c>
      <c r="F74" s="7">
        <f>IFERROR(__xludf.DUMMYFUNCTION("""COMPUTED_VALUE"""),5.320446E7)</f>
        <v>53204460</v>
      </c>
      <c r="G74" s="44">
        <f>IFERROR(__xludf.DUMMYFUNCTION("""COMPUTED_VALUE"""),41418.0)</f>
        <v>41418</v>
      </c>
      <c r="H74" s="45">
        <f>IFERROR(__xludf.DUMMYFUNCTION("""COMPUTED_VALUE"""),1.159965995E9)</f>
        <v>1159965995</v>
      </c>
      <c r="I74" s="46">
        <f>IFERROR(__xludf.DUMMYFUNCTION("""COMPUTED_VALUE"""),1.159965995E9)</f>
        <v>1159965995</v>
      </c>
      <c r="J74" s="45" t="str">
        <f>IFERROR(__xludf.DUMMYFUNCTION("""COMPUTED_VALUE"""),"Anaigoni@hotmail.com")</f>
        <v>Anaigoni@hotmail.com</v>
      </c>
      <c r="K74" s="45" t="str">
        <f>IFERROR(__xludf.DUMMYFUNCTION("""COMPUTED_VALUE"""),"Femenino")</f>
        <v>Femenino</v>
      </c>
      <c r="L74" s="43" t="str">
        <f>IFERROR(__xludf.DUMMYFUNCTION("""COMPUTED_VALUE"""),"YCA")</f>
        <v>YCA</v>
      </c>
      <c r="M74" s="45" t="str">
        <f>IFERROR(__xludf.DUMMYFUNCTION("""COMPUTED_VALUE"""),"Femenino")</f>
        <v>Femenino</v>
      </c>
      <c r="N74" s="7" t="str">
        <f>IFERROR(__xludf.DUMMYFUNCTION("""COMPUTED_VALUE"""),"OPTIMIST PRINCIPIANTES")</f>
        <v>OPTIMIST PRINCIPIANTES</v>
      </c>
      <c r="O74" s="7"/>
      <c r="P74" s="7">
        <f>IFERROR(__xludf.DUMMYFUNCTION("""COMPUTED_VALUE"""),3040.0)</f>
        <v>3040</v>
      </c>
      <c r="Q74" s="45" t="str">
        <f>IFERROR(__xludf.DUMMYFUNCTION("""COMPUTED_VALUE"""),"AKUÄ ")</f>
        <v>AKUÄ </v>
      </c>
      <c r="R74" s="45"/>
      <c r="S74" s="45"/>
      <c r="T74" s="45"/>
      <c r="U74" s="45"/>
      <c r="V74" s="45"/>
      <c r="W74" s="45"/>
      <c r="X74" s="47">
        <f>IFERROR(__xludf.DUMMYFUNCTION("""COMPUTED_VALUE"""),6.1132626303E10)</f>
        <v>61132626303</v>
      </c>
      <c r="Y74" s="7" t="str">
        <f>IFERROR(__xludf.DUMMYFUNCTION("""COMPUTED_VALUE"""),"No")</f>
        <v>No</v>
      </c>
      <c r="Z74" s="7" t="str">
        <f>IFERROR(__xludf.DUMMYFUNCTION("""COMPUTED_VALUE"""),"Acepto")</f>
        <v>Acepto</v>
      </c>
      <c r="AA74" s="48" t="str">
        <f>IFERROR(__xludf.DUMMYFUNCTION("""COMPUTED_VALUE"""),"Terminado")</f>
        <v>Terminado</v>
      </c>
      <c r="AB74" s="48">
        <f>IFERROR(__xludf.DUMMYFUNCTION("""COMPUTED_VALUE"""),50000.0)</f>
        <v>50000</v>
      </c>
      <c r="AC74" s="7">
        <f>IFERROR(__xludf.DUMMYFUNCTION("""COMPUTED_VALUE"""),205093.0)</f>
        <v>205093</v>
      </c>
      <c r="AD74" s="7" t="str">
        <f>IFERROR(__xludf.DUMMYFUNCTION("""COMPUTED_VALUE"""),"TRF 30-08")</f>
        <v>TRF 30-08</v>
      </c>
      <c r="AE74" s="7" t="str">
        <f>IFERROR(__xludf.DUMMYFUNCTION("""COMPUTED_VALUE"""),"OK")</f>
        <v>OK</v>
      </c>
      <c r="AF74" s="7"/>
      <c r="AG74" s="43"/>
    </row>
    <row r="75">
      <c r="A75" s="42">
        <f>IFERROR(__xludf.DUMMYFUNCTION("""COMPUTED_VALUE"""),45535.87349679398)</f>
        <v>45535.8735</v>
      </c>
      <c r="B75" s="43" t="str">
        <f>IFERROR(__xludf.DUMMYFUNCTION("""COMPUTED_VALUE"""),"Isabella")</f>
        <v>Isabella</v>
      </c>
      <c r="C75" s="43" t="str">
        <f>IFERROR(__xludf.DUMMYFUNCTION("""COMPUTED_VALUE"""),"Conde")</f>
        <v>Conde</v>
      </c>
      <c r="D75" s="43" t="str">
        <f>IFERROR(__xludf.DUMMYFUNCTION("""COMPUTED_VALUE"""),"Montevideo")</f>
        <v>Montevideo</v>
      </c>
      <c r="E75" s="7" t="str">
        <f>IFERROR(__xludf.DUMMYFUNCTION("""COMPUTED_VALUE"""),"URU")</f>
        <v>URU</v>
      </c>
      <c r="F75" s="7">
        <f>IFERROR(__xludf.DUMMYFUNCTION("""COMPUTED_VALUE"""),5.9054813E7)</f>
        <v>59054813</v>
      </c>
      <c r="G75" s="44">
        <f>IFERROR(__xludf.DUMMYFUNCTION("""COMPUTED_VALUE"""),40638.0)</f>
        <v>40638</v>
      </c>
      <c r="H75" s="45" t="str">
        <f>IFERROR(__xludf.DUMMYFUNCTION("""COMPUTED_VALUE"""),"+59899827662")</f>
        <v>+59899827662</v>
      </c>
      <c r="I75" s="45" t="str">
        <f>IFERROR(__xludf.DUMMYFUNCTION("""COMPUTED_VALUE"""),"+59899827662")</f>
        <v>+59899827662</v>
      </c>
      <c r="J75" s="45" t="str">
        <f>IFERROR(__xludf.DUMMYFUNCTION("""COMPUTED_VALUE"""),"analiabianco@vera.com.uy")</f>
        <v>analiabianco@vera.com.uy</v>
      </c>
      <c r="K75" s="45" t="str">
        <f>IFERROR(__xludf.DUMMYFUNCTION("""COMPUTED_VALUE"""),"Femenino")</f>
        <v>Femenino</v>
      </c>
      <c r="L75" s="43" t="str">
        <f>IFERROR(__xludf.DUMMYFUNCTION("""COMPUTED_VALUE"""),"NYC")</f>
        <v>NYC</v>
      </c>
      <c r="M75" s="45" t="str">
        <f>IFERROR(__xludf.DUMMYFUNCTION("""COMPUTED_VALUE"""),"Interior (Optimist)")</f>
        <v>Interior (Optimist)</v>
      </c>
      <c r="N75" s="7" t="str">
        <f>IFERROR(__xludf.DUMMYFUNCTION("""COMPUTED_VALUE"""),"OPTIMIST TIMONELES")</f>
        <v>OPTIMIST TIMONELES</v>
      </c>
      <c r="O75" s="7"/>
      <c r="P75" s="7" t="str">
        <f>IFERROR(__xludf.DUMMYFUNCTION("""COMPUTED_VALUE"""),"NYC")</f>
        <v>NYC</v>
      </c>
      <c r="Q75" s="45"/>
      <c r="R75" s="45"/>
      <c r="S75" s="45"/>
      <c r="T75" s="45"/>
      <c r="U75" s="45"/>
      <c r="V75" s="45"/>
      <c r="W75" s="45"/>
      <c r="X75" s="47"/>
      <c r="Y75" s="7" t="str">
        <f>IFERROR(__xludf.DUMMYFUNCTION("""COMPUTED_VALUE"""),"Si")</f>
        <v>Si</v>
      </c>
      <c r="Z75" s="7" t="str">
        <f>IFERROR(__xludf.DUMMYFUNCTION("""COMPUTED_VALUE"""),"Acepto")</f>
        <v>Acepto</v>
      </c>
      <c r="AA75" s="48" t="str">
        <f>IFERROR(__xludf.DUMMYFUNCTION("""COMPUTED_VALUE"""),"Terminado")</f>
        <v>Terminado</v>
      </c>
      <c r="AB75" s="48">
        <f>IFERROR(__xludf.DUMMYFUNCTION("""COMPUTED_VALUE"""),42500.0)</f>
        <v>42500</v>
      </c>
      <c r="AC75" s="7">
        <f>IFERROR(__xludf.DUMMYFUNCTION("""COMPUTED_VALUE"""),205391.0)</f>
        <v>205391</v>
      </c>
      <c r="AD75" s="7" t="str">
        <f>IFERROR(__xludf.DUMMYFUNCTION("""COMPUTED_VALUE"""),"TRF 02-09")</f>
        <v>TRF 02-09</v>
      </c>
      <c r="AE75" s="7" t="str">
        <f>IFERROR(__xludf.DUMMYFUNCTION("""COMPUTED_VALUE"""),"Pendiente")</f>
        <v>Pendiente</v>
      </c>
      <c r="AF75" s="7" t="str">
        <f>IFERROR(__xludf.DUMMYFUNCTION("""COMPUTED_VALUE"""),"SI")</f>
        <v>SI</v>
      </c>
      <c r="AG75" s="43"/>
    </row>
    <row r="76">
      <c r="A76" s="42">
        <f>IFERROR(__xludf.DUMMYFUNCTION("""COMPUTED_VALUE"""),45535.73799695601)</f>
        <v>45535.738</v>
      </c>
      <c r="B76" s="43" t="str">
        <f>IFERROR(__xludf.DUMMYFUNCTION("""COMPUTED_VALUE"""),"MAXIMO")</f>
        <v>MAXIMO</v>
      </c>
      <c r="C76" s="43" t="str">
        <f>IFERROR(__xludf.DUMMYFUNCTION("""COMPUTED_VALUE"""),"COROMINAS")</f>
        <v>COROMINAS</v>
      </c>
      <c r="D76" s="43" t="str">
        <f>IFERROR(__xludf.DUMMYFUNCTION("""COMPUTED_VALUE"""),"ZARATE")</f>
        <v>ZARATE</v>
      </c>
      <c r="E76" s="7" t="str">
        <f>IFERROR(__xludf.DUMMYFUNCTION("""COMPUTED_VALUE"""),"ARG")</f>
        <v>ARG</v>
      </c>
      <c r="F76" s="7">
        <f>IFERROR(__xludf.DUMMYFUNCTION("""COMPUTED_VALUE"""),5.2192618E7)</f>
        <v>52192618</v>
      </c>
      <c r="G76" s="44">
        <f>IFERROR(__xludf.DUMMYFUNCTION("""COMPUTED_VALUE"""),40970.0)</f>
        <v>40970</v>
      </c>
      <c r="H76" s="45">
        <f>IFERROR(__xludf.DUMMYFUNCTION("""COMPUTED_VALUE"""),3.487314537E9)</f>
        <v>3487314537</v>
      </c>
      <c r="I76" s="45">
        <f>IFERROR(__xludf.DUMMYFUNCTION("""COMPUTED_VALUE"""),3.487314537E9)</f>
        <v>3487314537</v>
      </c>
      <c r="J76" s="45" t="str">
        <f>IFERROR(__xludf.DUMMYFUNCTION("""COMPUTED_VALUE"""),"vanesamledo@gmail.com")</f>
        <v>vanesamledo@gmail.com</v>
      </c>
      <c r="K76" s="45" t="str">
        <f>IFERROR(__xludf.DUMMYFUNCTION("""COMPUTED_VALUE"""),"Masculino")</f>
        <v>Masculino</v>
      </c>
      <c r="L76" s="43" t="str">
        <f>IFERROR(__xludf.DUMMYFUNCTION("""COMPUTED_VALUE"""),"CNZ")</f>
        <v>CNZ</v>
      </c>
      <c r="M76" s="45" t="str">
        <f>IFERROR(__xludf.DUMMYFUNCTION("""COMPUTED_VALUE"""),"Interior (Optimist)")</f>
        <v>Interior (Optimist)</v>
      </c>
      <c r="N76" s="7" t="str">
        <f>IFERROR(__xludf.DUMMYFUNCTION("""COMPUTED_VALUE"""),"OPTIMIST TIMONELES")</f>
        <v>OPTIMIST TIMONELES</v>
      </c>
      <c r="O76" s="7"/>
      <c r="P76" s="7">
        <f>IFERROR(__xludf.DUMMYFUNCTION("""COMPUTED_VALUE"""),3819.0)</f>
        <v>3819</v>
      </c>
      <c r="Q76" s="45"/>
      <c r="R76" s="45"/>
      <c r="S76" s="45"/>
      <c r="T76" s="45"/>
      <c r="U76" s="45"/>
      <c r="V76" s="45"/>
      <c r="W76" s="45"/>
      <c r="X76" s="47" t="str">
        <f>IFERROR(__xludf.DUMMYFUNCTION("""COMPUTED_VALUE"""),"SWISS MEDICAL")</f>
        <v>SWISS MEDICAL</v>
      </c>
      <c r="Y76" s="7" t="str">
        <f>IFERROR(__xludf.DUMMYFUNCTION("""COMPUTED_VALUE"""),"Si")</f>
        <v>Si</v>
      </c>
      <c r="Z76" s="7" t="str">
        <f>IFERROR(__xludf.DUMMYFUNCTION("""COMPUTED_VALUE"""),"Acepto")</f>
        <v>Acepto</v>
      </c>
      <c r="AA76" s="48" t="str">
        <f>IFERROR(__xludf.DUMMYFUNCTION("""COMPUTED_VALUE"""),"Terminado")</f>
        <v>Terminado</v>
      </c>
      <c r="AB76" s="48">
        <f>IFERROR(__xludf.DUMMYFUNCTION("""COMPUTED_VALUE"""),50000.0)</f>
        <v>50000</v>
      </c>
      <c r="AC76" s="7">
        <f>IFERROR(__xludf.DUMMYFUNCTION("""COMPUTED_VALUE"""),205411.0)</f>
        <v>205411</v>
      </c>
      <c r="AD76" s="7" t="str">
        <f>IFERROR(__xludf.DUMMYFUNCTION("""COMPUTED_VALUE"""),"TRF 02-09")</f>
        <v>TRF 02-09</v>
      </c>
      <c r="AE76" s="7" t="str">
        <f>IFERROR(__xludf.DUMMYFUNCTION("""COMPUTED_VALUE"""),"OK")</f>
        <v>OK</v>
      </c>
      <c r="AF76" s="7"/>
      <c r="AG76" s="43"/>
    </row>
    <row r="77">
      <c r="A77" s="42">
        <f>IFERROR(__xludf.DUMMYFUNCTION("""COMPUTED_VALUE"""),45539.63389840278)</f>
        <v>45539.6339</v>
      </c>
      <c r="B77" s="43" t="str">
        <f>IFERROR(__xludf.DUMMYFUNCTION("""COMPUTED_VALUE"""),"Paulo M.")</f>
        <v>Paulo M.</v>
      </c>
      <c r="C77" s="43" t="str">
        <f>IFERROR(__xludf.DUMMYFUNCTION("""COMPUTED_VALUE"""),"Cosentino")</f>
        <v>Cosentino</v>
      </c>
      <c r="D77" s="43" t="str">
        <f>IFERROR(__xludf.DUMMYFUNCTION("""COMPUTED_VALUE"""),"Buenos Aires")</f>
        <v>Buenos Aires</v>
      </c>
      <c r="E77" s="45" t="str">
        <f>IFERROR(__xludf.DUMMYFUNCTION("""COMPUTED_VALUE"""),"ARG")</f>
        <v>ARG</v>
      </c>
      <c r="F77" s="7"/>
      <c r="G77" s="44">
        <f>IFERROR(__xludf.DUMMYFUNCTION("""COMPUTED_VALUE"""),23430.0)</f>
        <v>23430</v>
      </c>
      <c r="H77" s="45">
        <f>IFERROR(__xludf.DUMMYFUNCTION("""COMPUTED_VALUE"""),1.168285009E9)</f>
        <v>1168285009</v>
      </c>
      <c r="I77" s="45"/>
      <c r="J77" s="45" t="str">
        <f>IFERROR(__xludf.DUMMYFUNCTION("""COMPUTED_VALUE"""),"paulo.cosentino@gmail.com")</f>
        <v>paulo.cosentino@gmail.com</v>
      </c>
      <c r="K77" s="45" t="str">
        <f>IFERROR(__xludf.DUMMYFUNCTION("""COMPUTED_VALUE"""),"Masculino")</f>
        <v>Masculino</v>
      </c>
      <c r="L77" s="43" t="str">
        <f>IFERROR(__xludf.DUMMYFUNCTION("""COMPUTED_VALUE"""),"YCA")</f>
        <v>YCA</v>
      </c>
      <c r="M77" s="45"/>
      <c r="N77" s="7" t="str">
        <f>IFERROR(__xludf.DUMMYFUNCTION("""COMPUTED_VALUE"""),"J 70")</f>
        <v>J 70</v>
      </c>
      <c r="O77" s="7" t="str">
        <f>IFERROR(__xludf.DUMMYFUNCTION("""COMPUTED_VALUE"""),"05")</f>
        <v>05</v>
      </c>
      <c r="P77" s="7" t="str">
        <f>IFERROR(__xludf.DUMMYFUNCTION("""COMPUTED_VALUE"""),"ARG 1191")</f>
        <v>ARG 1191</v>
      </c>
      <c r="Q77" s="45"/>
      <c r="R77" s="45" t="str">
        <f>IFERROR(__xludf.DUMMYFUNCTION("""COMPUTED_VALUE"""),"John Lake")</f>
        <v>John Lake</v>
      </c>
      <c r="S77" s="45"/>
      <c r="T77" s="45" t="str">
        <f>IFERROR(__xludf.DUMMYFUNCTION("""COMPUTED_VALUE"""),"Chavo")</f>
        <v>Chavo</v>
      </c>
      <c r="U77" s="45" t="str">
        <f>IFERROR(__xludf.DUMMYFUNCTION("""COMPUTED_VALUE"""),"Ninio")</f>
        <v>Ninio</v>
      </c>
      <c r="V77" s="45"/>
      <c r="W77" s="45"/>
      <c r="X77" s="47" t="str">
        <f>IFERROR(__xludf.DUMMYFUNCTION("""COMPUTED_VALUE"""),"OSDE")</f>
        <v>OSDE</v>
      </c>
      <c r="Y77" s="7" t="str">
        <f>IFERROR(__xludf.DUMMYFUNCTION("""COMPUTED_VALUE"""),"No")</f>
        <v>No</v>
      </c>
      <c r="Z77" s="7" t="str">
        <f>IFERROR(__xludf.DUMMYFUNCTION("""COMPUTED_VALUE"""),"Acepto")</f>
        <v>Acepto</v>
      </c>
      <c r="AA77" s="48" t="str">
        <f>IFERROR(__xludf.DUMMYFUNCTION("""COMPUTED_VALUE"""),"Terminado")</f>
        <v>Terminado</v>
      </c>
      <c r="AB77" s="48">
        <f>IFERROR(__xludf.DUMMYFUNCTION("""COMPUTED_VALUE"""),80000.0)</f>
        <v>80000</v>
      </c>
      <c r="AC77" s="7">
        <f>IFERROR(__xludf.DUMMYFUNCTION("""COMPUTED_VALUE"""),205501.0)</f>
        <v>205501</v>
      </c>
      <c r="AD77" s="7" t="str">
        <f>IFERROR(__xludf.DUMMYFUNCTION("""COMPUTED_VALUE"""),"TRF 05-09")</f>
        <v>TRF 05-09</v>
      </c>
      <c r="AE77" s="7" t="str">
        <f>IFERROR(__xludf.DUMMYFUNCTION("""COMPUTED_VALUE"""),"No Corresp")</f>
        <v>No Corresp</v>
      </c>
      <c r="AF77" s="7"/>
      <c r="AG77" s="43"/>
    </row>
    <row r="78">
      <c r="A78" s="31">
        <f>IFERROR(__xludf.DUMMYFUNCTION("""COMPUTED_VALUE"""),45535.73240177083)</f>
        <v>45535.7324</v>
      </c>
      <c r="B78" s="12" t="str">
        <f>IFERROR(__xludf.DUMMYFUNCTION("""COMPUTED_VALUE"""),"Marcos")</f>
        <v>Marcos</v>
      </c>
      <c r="C78" s="12" t="str">
        <f>IFERROR(__xludf.DUMMYFUNCTION("""COMPUTED_VALUE"""),"Costa Urquiza")</f>
        <v>Costa Urquiza</v>
      </c>
      <c r="D78" s="12" t="str">
        <f>IFERROR(__xludf.DUMMYFUNCTION("""COMPUTED_VALUE"""),"SAN ISIDRO - MARTINEZ")</f>
        <v>SAN ISIDRO - MARTINEZ</v>
      </c>
      <c r="E78" s="13" t="str">
        <f>IFERROR(__xludf.DUMMYFUNCTION("""COMPUTED_VALUE"""),"ARG")</f>
        <v>ARG</v>
      </c>
      <c r="F78" s="13">
        <f>IFERROR(__xludf.DUMMYFUNCTION("""COMPUTED_VALUE"""),5.2764604E7)</f>
        <v>52764604</v>
      </c>
      <c r="G78" s="33">
        <f>IFERROR(__xludf.DUMMYFUNCTION("""COMPUTED_VALUE"""),41190.0)</f>
        <v>41190</v>
      </c>
      <c r="H78" s="13">
        <f>IFERROR(__xludf.DUMMYFUNCTION("""COMPUTED_VALUE"""),1.136972482E9)</f>
        <v>1136972482</v>
      </c>
      <c r="I78" s="13">
        <f>IFERROR(__xludf.DUMMYFUNCTION("""COMPUTED_VALUE"""),1.150246852E9)</f>
        <v>1150246852</v>
      </c>
      <c r="J78" s="13" t="str">
        <f>IFERROR(__xludf.DUMMYFUNCTION("""COMPUTED_VALUE"""),"jcostaurquiza@gmail.com")</f>
        <v>jcostaurquiza@gmail.com</v>
      </c>
      <c r="K78" s="13" t="str">
        <f>IFERROR(__xludf.DUMMYFUNCTION("""COMPUTED_VALUE"""),"Masculino")</f>
        <v>Masculino</v>
      </c>
      <c r="L78" s="16" t="str">
        <f>IFERROR(__xludf.DUMMYFUNCTION("""COMPUTED_VALUE"""),"Barrancas")</f>
        <v>Barrancas</v>
      </c>
      <c r="M78" s="12"/>
      <c r="N78" s="13" t="str">
        <f>IFERROR(__xludf.DUMMYFUNCTION("""COMPUTED_VALUE"""),"OPTIMIST TIMONELES")</f>
        <v>OPTIMIST TIMONELES</v>
      </c>
      <c r="O78" s="13"/>
      <c r="P78" s="13">
        <f>IFERROR(__xludf.DUMMYFUNCTION("""COMPUTED_VALUE"""),3090.0)</f>
        <v>3090</v>
      </c>
      <c r="Q78" s="13"/>
      <c r="R78" s="13"/>
      <c r="S78" s="13"/>
      <c r="T78" s="13"/>
      <c r="U78" s="13"/>
      <c r="V78" s="12"/>
      <c r="W78" s="12"/>
      <c r="X78" s="17" t="str">
        <f>IFERROR(__xludf.DUMMYFUNCTION("""COMPUTED_VALUE"""),"OSDE 61096214004")</f>
        <v>OSDE 61096214004</v>
      </c>
      <c r="Y78" s="13" t="str">
        <f>IFERROR(__xludf.DUMMYFUNCTION("""COMPUTED_VALUE"""),"Si")</f>
        <v>Si</v>
      </c>
      <c r="Z78" s="13" t="str">
        <f>IFERROR(__xludf.DUMMYFUNCTION("""COMPUTED_VALUE"""),"Acepto")</f>
        <v>Acepto</v>
      </c>
      <c r="AA78" s="18" t="str">
        <f>IFERROR(__xludf.DUMMYFUNCTION("""COMPUTED_VALUE"""),"Terminado")</f>
        <v>Terminado</v>
      </c>
      <c r="AB78" s="18">
        <f>IFERROR(__xludf.DUMMYFUNCTION("""COMPUTED_VALUE"""),50000.0)</f>
        <v>50000</v>
      </c>
      <c r="AC78" s="49">
        <f>IFERROR(__xludf.DUMMYFUNCTION("""COMPUTED_VALUE"""),205409.0)</f>
        <v>205409</v>
      </c>
      <c r="AD78" s="7" t="str">
        <f>IFERROR(__xludf.DUMMYFUNCTION("""COMPUTED_VALUE"""),"TRF 02-09")</f>
        <v>TRF 02-09</v>
      </c>
      <c r="AE78" s="7" t="str">
        <f>IFERROR(__xludf.DUMMYFUNCTION("""COMPUTED_VALUE"""),"OK")</f>
        <v>OK</v>
      </c>
      <c r="AF78" s="13" t="str">
        <f>IFERROR(__xludf.DUMMYFUNCTION("""COMPUTED_VALUE"""),"SI")</f>
        <v>SI</v>
      </c>
      <c r="AG78" s="16"/>
    </row>
    <row r="79">
      <c r="A79" s="31">
        <f>IFERROR(__xludf.DUMMYFUNCTION("""COMPUTED_VALUE"""),45531.784502395836)</f>
        <v>45531.7845</v>
      </c>
      <c r="B79" s="12" t="str">
        <f>IFERROR(__xludf.DUMMYFUNCTION("""COMPUTED_VALUE"""),"maría ")</f>
        <v>maría </v>
      </c>
      <c r="C79" s="12" t="str">
        <f>IFERROR(__xludf.DUMMYFUNCTION("""COMPUTED_VALUE"""),"couyet")</f>
        <v>couyet</v>
      </c>
      <c r="D79" s="12" t="str">
        <f>IFERROR(__xludf.DUMMYFUNCTION("""COMPUTED_VALUE"""),"la plata ")</f>
        <v>la plata </v>
      </c>
      <c r="E79" s="13" t="str">
        <f>IFERROR(__xludf.DUMMYFUNCTION("""COMPUTED_VALUE"""),"ARG")</f>
        <v>ARG</v>
      </c>
      <c r="F79" s="13">
        <f>IFERROR(__xludf.DUMMYFUNCTION("""COMPUTED_VALUE"""),4.8094863E7)</f>
        <v>48094863</v>
      </c>
      <c r="G79" s="33">
        <f>IFERROR(__xludf.DUMMYFUNCTION("""COMPUTED_VALUE"""),39203.0)</f>
        <v>39203</v>
      </c>
      <c r="H79" s="13">
        <f>IFERROR(__xludf.DUMMYFUNCTION("""COMPUTED_VALUE"""),2.213041655E9)</f>
        <v>2213041655</v>
      </c>
      <c r="I79" s="37">
        <f>IFERROR(__xludf.DUMMYFUNCTION("""COMPUTED_VALUE"""),2.214635268E9)</f>
        <v>2214635268</v>
      </c>
      <c r="J79" s="34" t="str">
        <f>IFERROR(__xludf.DUMMYFUNCTION("""COMPUTED_VALUE"""),"mariacouyet1@gmail.com")</f>
        <v>mariacouyet1@gmail.com</v>
      </c>
      <c r="K79" s="13" t="str">
        <f>IFERROR(__xludf.DUMMYFUNCTION("""COMPUTED_VALUE"""),"Femenino")</f>
        <v>Femenino</v>
      </c>
      <c r="L79" s="16" t="str">
        <f>IFERROR(__xludf.DUMMYFUNCTION("""COMPUTED_VALUE"""),"CRLP")</f>
        <v>CRLP</v>
      </c>
      <c r="M79" s="12" t="str">
        <f>IFERROR(__xludf.DUMMYFUNCTION("""COMPUTED_VALUE"""),"Femenino")</f>
        <v>Femenino</v>
      </c>
      <c r="N79" s="13" t="str">
        <f>IFERROR(__xludf.DUMMYFUNCTION("""COMPUTED_VALUE"""),"ILCA 4")</f>
        <v>ILCA 4</v>
      </c>
      <c r="O79" s="13"/>
      <c r="P79" s="13">
        <f>IFERROR(__xludf.DUMMYFUNCTION("""COMPUTED_VALUE"""),195348.0)</f>
        <v>195348</v>
      </c>
      <c r="Q79" s="13"/>
      <c r="R79" s="13"/>
      <c r="S79" s="13"/>
      <c r="T79" s="13"/>
      <c r="U79" s="13"/>
      <c r="V79" s="12"/>
      <c r="W79" s="12"/>
      <c r="X79" s="17" t="str">
        <f>IFERROR(__xludf.DUMMYFUNCTION("""COMPUTED_VALUE"""),"IOMA")</f>
        <v>IOMA</v>
      </c>
      <c r="Y79" s="13" t="str">
        <f>IFERROR(__xludf.DUMMYFUNCTION("""COMPUTED_VALUE"""),"No")</f>
        <v>No</v>
      </c>
      <c r="Z79" s="13" t="str">
        <f>IFERROR(__xludf.DUMMYFUNCTION("""COMPUTED_VALUE"""),"Acepto")</f>
        <v>Acepto</v>
      </c>
      <c r="AA79" s="25" t="str">
        <f>IFERROR(__xludf.DUMMYFUNCTION("""COMPUTED_VALUE"""),"Parcial")</f>
        <v>Parcial</v>
      </c>
      <c r="AB79" s="25">
        <f>IFERROR(__xludf.DUMMYFUNCTION("""COMPUTED_VALUE"""),40000.0)</f>
        <v>40000</v>
      </c>
      <c r="AC79" s="7">
        <f>IFERROR(__xludf.DUMMYFUNCTION("""COMPUTED_VALUE"""),205069.0)</f>
        <v>205069</v>
      </c>
      <c r="AD79" s="7" t="str">
        <f>IFERROR(__xludf.DUMMYFUNCTION("""COMPUTED_VALUE"""),"TRF 27-08")</f>
        <v>TRF 27-08</v>
      </c>
      <c r="AE79" s="7" t="str">
        <f>IFERROR(__xludf.DUMMYFUNCTION("""COMPUTED_VALUE"""),"OK")</f>
        <v>OK</v>
      </c>
      <c r="AF79" s="13" t="str">
        <f>IFERROR(__xludf.DUMMYFUNCTION("""COMPUTED_VALUE"""),"Debe saldo")</f>
        <v>Debe saldo</v>
      </c>
      <c r="AG79" s="16"/>
    </row>
    <row r="80">
      <c r="A80" s="19">
        <f>IFERROR(__xludf.DUMMYFUNCTION("""COMPUTED_VALUE"""),45531.444773587966)</f>
        <v>45531.44477</v>
      </c>
      <c r="B80" s="20" t="str">
        <f>IFERROR(__xludf.DUMMYFUNCTION("""COMPUTED_VALUE"""),"Paloma")</f>
        <v>Paloma</v>
      </c>
      <c r="C80" s="20" t="str">
        <f>IFERROR(__xludf.DUMMYFUNCTION("""COMPUTED_VALUE"""),"Cozar Giuliani")</f>
        <v>Cozar Giuliani</v>
      </c>
      <c r="D80" s="20" t="str">
        <f>IFERROR(__xludf.DUMMYFUNCTION("""COMPUTED_VALUE"""),"CABA")</f>
        <v>CABA</v>
      </c>
      <c r="E80" s="21" t="str">
        <f>IFERROR(__xludf.DUMMYFUNCTION("""COMPUTED_VALUE"""),"ARG")</f>
        <v>ARG</v>
      </c>
      <c r="F80" s="21">
        <f>IFERROR(__xludf.DUMMYFUNCTION("""COMPUTED_VALUE"""),5.276242E7)</f>
        <v>52762420</v>
      </c>
      <c r="G80" s="22">
        <f>IFERROR(__xludf.DUMMYFUNCTION("""COMPUTED_VALUE"""),41207.0)</f>
        <v>41207</v>
      </c>
      <c r="H80" s="21">
        <f>IFERROR(__xludf.DUMMYFUNCTION("""COMPUTED_VALUE"""),1.154284469E9)</f>
        <v>1154284469</v>
      </c>
      <c r="I80" s="21">
        <f>IFERROR(__xludf.DUMMYFUNCTION("""COMPUTED_VALUE"""),1.161298429E9)</f>
        <v>1161298429</v>
      </c>
      <c r="J80" s="21" t="str">
        <f>IFERROR(__xludf.DUMMYFUNCTION("""COMPUTED_VALUE"""),"cozarmarcelo@hotmail.com")</f>
        <v>cozarmarcelo@hotmail.com</v>
      </c>
      <c r="K80" s="21" t="str">
        <f>IFERROR(__xludf.DUMMYFUNCTION("""COMPUTED_VALUE"""),"Femenino")</f>
        <v>Femenino</v>
      </c>
      <c r="L80" s="23" t="str">
        <f>IFERROR(__xludf.DUMMYFUNCTION("""COMPUTED_VALUE"""),"CNA")</f>
        <v>CNA</v>
      </c>
      <c r="M80" s="20" t="str">
        <f>IFERROR(__xludf.DUMMYFUNCTION("""COMPUTED_VALUE"""),"Femenino")</f>
        <v>Femenino</v>
      </c>
      <c r="N80" s="21" t="str">
        <f>IFERROR(__xludf.DUMMYFUNCTION("""COMPUTED_VALUE"""),"OPTIMIST TIMONELES")</f>
        <v>OPTIMIST TIMONELES</v>
      </c>
      <c r="O80" s="21"/>
      <c r="P80" s="21">
        <f>IFERROR(__xludf.DUMMYFUNCTION("""COMPUTED_VALUE"""),4026.0)</f>
        <v>4026</v>
      </c>
      <c r="Q80" s="20" t="str">
        <f>IFERROR(__xludf.DUMMYFUNCTION("""COMPUTED_VALUE"""),"Desafiante")</f>
        <v>Desafiante</v>
      </c>
      <c r="R80" s="40"/>
      <c r="S80" s="20"/>
      <c r="T80" s="20"/>
      <c r="U80" s="20"/>
      <c r="V80" s="20"/>
      <c r="W80" s="20"/>
      <c r="X80" s="24">
        <f>IFERROR(__xludf.DUMMYFUNCTION("""COMPUTED_VALUE"""),6.123142703E9)</f>
        <v>6123142703</v>
      </c>
      <c r="Y80" s="21" t="str">
        <f>IFERROR(__xludf.DUMMYFUNCTION("""COMPUTED_VALUE"""),"Si")</f>
        <v>Si</v>
      </c>
      <c r="Z80" s="21" t="str">
        <f>IFERROR(__xludf.DUMMYFUNCTION("""COMPUTED_VALUE"""),"Acepto")</f>
        <v>Acepto</v>
      </c>
      <c r="AA80" s="25" t="str">
        <f>IFERROR(__xludf.DUMMYFUNCTION("""COMPUTED_VALUE"""),"Terminado")</f>
        <v>Terminado</v>
      </c>
      <c r="AB80" s="25">
        <f>IFERROR(__xludf.DUMMYFUNCTION("""COMPUTED_VALUE"""),50000.0)</f>
        <v>50000</v>
      </c>
      <c r="AC80" s="7">
        <f>IFERROR(__xludf.DUMMYFUNCTION("""COMPUTED_VALUE"""),205056.0)</f>
        <v>205056</v>
      </c>
      <c r="AD80" s="7" t="str">
        <f>IFERROR(__xludf.DUMMYFUNCTION("""COMPUTED_VALUE"""),"TRF 27-08")</f>
        <v>TRF 27-08</v>
      </c>
      <c r="AE80" s="7" t="str">
        <f>IFERROR(__xludf.DUMMYFUNCTION("""COMPUTED_VALUE"""),"OK")</f>
        <v>OK</v>
      </c>
      <c r="AF80" s="21"/>
      <c r="AG80" s="23"/>
    </row>
    <row r="81">
      <c r="A81" s="31">
        <f>IFERROR(__xludf.DUMMYFUNCTION("""COMPUTED_VALUE"""),45535.55740806713)</f>
        <v>45535.55741</v>
      </c>
      <c r="B81" s="12" t="str">
        <f>IFERROR(__xludf.DUMMYFUNCTION("""COMPUTED_VALUE"""),"Francisco")</f>
        <v>Francisco</v>
      </c>
      <c r="C81" s="12" t="str">
        <f>IFERROR(__xludf.DUMMYFUNCTION("""COMPUTED_VALUE"""),"Crespi")</f>
        <v>Crespi</v>
      </c>
      <c r="D81" s="12" t="str">
        <f>IFERROR(__xludf.DUMMYFUNCTION("""COMPUTED_VALUE"""),"Puerto Madryn")</f>
        <v>Puerto Madryn</v>
      </c>
      <c r="E81" s="13" t="str">
        <f>IFERROR(__xludf.DUMMYFUNCTION("""COMPUTED_VALUE"""),"ARG")</f>
        <v>ARG</v>
      </c>
      <c r="F81" s="13">
        <f>IFERROR(__xludf.DUMMYFUNCTION("""COMPUTED_VALUE"""),5.1104355E7)</f>
        <v>51104355</v>
      </c>
      <c r="G81" s="33">
        <f>IFERROR(__xludf.DUMMYFUNCTION("""COMPUTED_VALUE"""),40813.0)</f>
        <v>40813</v>
      </c>
      <c r="H81" s="13">
        <f>IFERROR(__xludf.DUMMYFUNCTION("""COMPUTED_VALUE"""),2.804567157E9)</f>
        <v>2804567157</v>
      </c>
      <c r="I81" s="13">
        <f>IFERROR(__xludf.DUMMYFUNCTION("""COMPUTED_VALUE"""),2.804567157E9)</f>
        <v>2804567157</v>
      </c>
      <c r="J81" s="13" t="str">
        <f>IFERROR(__xludf.DUMMYFUNCTION("""COMPUTED_VALUE"""),"augustocrespi@gmail.com")</f>
        <v>augustocrespi@gmail.com</v>
      </c>
      <c r="K81" s="13" t="str">
        <f>IFERROR(__xludf.DUMMYFUNCTION("""COMPUTED_VALUE"""),"Masculino")</f>
        <v>Masculino</v>
      </c>
      <c r="L81" s="16" t="str">
        <f>IFERROR(__xludf.DUMMYFUNCTION("""COMPUTED_VALUE"""),"CNAS")</f>
        <v>CNAS</v>
      </c>
      <c r="M81" s="12" t="str">
        <f>IFERROR(__xludf.DUMMYFUNCTION("""COMPUTED_VALUE"""),"Interior (Optimist)")</f>
        <v>Interior (Optimist)</v>
      </c>
      <c r="N81" s="13" t="str">
        <f>IFERROR(__xludf.DUMMYFUNCTION("""COMPUTED_VALUE"""),"OPTIMIST TIMONELES")</f>
        <v>OPTIMIST TIMONELES</v>
      </c>
      <c r="O81" s="13"/>
      <c r="P81" s="13">
        <f>IFERROR(__xludf.DUMMYFUNCTION("""COMPUTED_VALUE"""),3766.0)</f>
        <v>3766</v>
      </c>
      <c r="Q81" s="13" t="str">
        <f>IFERROR(__xludf.DUMMYFUNCTION("""COMPUTED_VALUE"""),"Hau Pai")</f>
        <v>Hau Pai</v>
      </c>
      <c r="R81" s="34"/>
      <c r="S81" s="13"/>
      <c r="T81" s="13"/>
      <c r="U81" s="13"/>
      <c r="V81" s="12"/>
      <c r="W81" s="12"/>
      <c r="X81" s="17" t="str">
        <f>IFERROR(__xludf.DUMMYFUNCTION("""COMPUTED_VALUE"""),"SEROS 51104355")</f>
        <v>SEROS 51104355</v>
      </c>
      <c r="Y81" s="13" t="str">
        <f>IFERROR(__xludf.DUMMYFUNCTION("""COMPUTED_VALUE"""),"Si")</f>
        <v>Si</v>
      </c>
      <c r="Z81" s="13" t="str">
        <f>IFERROR(__xludf.DUMMYFUNCTION("""COMPUTED_VALUE"""),"Acepto")</f>
        <v>Acepto</v>
      </c>
      <c r="AA81" s="25" t="str">
        <f>IFERROR(__xludf.DUMMYFUNCTION("""COMPUTED_VALUE"""),"Terminado")</f>
        <v>Terminado</v>
      </c>
      <c r="AB81" s="25">
        <f>IFERROR(__xludf.DUMMYFUNCTION("""COMPUTED_VALUE"""),42500.0)</f>
        <v>42500</v>
      </c>
      <c r="AC81" s="7">
        <f>IFERROR(__xludf.DUMMYFUNCTION("""COMPUTED_VALUE"""),205153.0)</f>
        <v>205153</v>
      </c>
      <c r="AD81" s="7" t="str">
        <f>IFERROR(__xludf.DUMMYFUNCTION("""COMPUTED_VALUE"""),"TRF 31-08")</f>
        <v>TRF 31-08</v>
      </c>
      <c r="AE81" s="7" t="str">
        <f>IFERROR(__xludf.DUMMYFUNCTION("""COMPUTED_VALUE"""),"OK")</f>
        <v>OK</v>
      </c>
      <c r="AF81" s="13"/>
      <c r="AG81" s="16"/>
    </row>
    <row r="82">
      <c r="A82" s="19">
        <f>IFERROR(__xludf.DUMMYFUNCTION("""COMPUTED_VALUE"""),45535.678526979165)</f>
        <v>45535.67853</v>
      </c>
      <c r="B82" s="20" t="str">
        <f>IFERROR(__xludf.DUMMYFUNCTION("""COMPUTED_VALUE"""),"Juana")</f>
        <v>Juana</v>
      </c>
      <c r="C82" s="20" t="str">
        <f>IFERROR(__xludf.DUMMYFUNCTION("""COMPUTED_VALUE"""),"Crola")</f>
        <v>Crola</v>
      </c>
      <c r="D82" s="20" t="str">
        <f>IFERROR(__xludf.DUMMYFUNCTION("""COMPUTED_VALUE"""),"La Plata")</f>
        <v>La Plata</v>
      </c>
      <c r="E82" s="21" t="str">
        <f>IFERROR(__xludf.DUMMYFUNCTION("""COMPUTED_VALUE"""),"ARG")</f>
        <v>ARG</v>
      </c>
      <c r="F82" s="21">
        <f>IFERROR(__xludf.DUMMYFUNCTION("""COMPUTED_VALUE"""),4.6269301E7)</f>
        <v>46269301</v>
      </c>
      <c r="G82" s="38">
        <f>IFERROR(__xludf.DUMMYFUNCTION("""COMPUTED_VALUE"""),38303.0)</f>
        <v>38303</v>
      </c>
      <c r="H82" s="20">
        <f>IFERROR(__xludf.DUMMYFUNCTION("""COMPUTED_VALUE"""),9.2214976531E10)</f>
        <v>92214976531</v>
      </c>
      <c r="I82" s="20">
        <f>IFERROR(__xludf.DUMMYFUNCTION("""COMPUTED_VALUE"""),9.2214976531E10)</f>
        <v>92214976531</v>
      </c>
      <c r="J82" s="20" t="str">
        <f>IFERROR(__xludf.DUMMYFUNCTION("""COMPUTED_VALUE"""),"juanacrola1@gmail.com")</f>
        <v>juanacrola1@gmail.com</v>
      </c>
      <c r="K82" s="20" t="str">
        <f>IFERROR(__xludf.DUMMYFUNCTION("""COMPUTED_VALUE"""),"Femenino")</f>
        <v>Femenino</v>
      </c>
      <c r="L82" s="23" t="str">
        <f>IFERROR(__xludf.DUMMYFUNCTION("""COMPUTED_VALUE"""),"CRLP")</f>
        <v>CRLP</v>
      </c>
      <c r="M82" s="20" t="str">
        <f>IFERROR(__xludf.DUMMYFUNCTION("""COMPUTED_VALUE"""),"Femenino")</f>
        <v>Femenino</v>
      </c>
      <c r="N82" s="21" t="str">
        <f>IFERROR(__xludf.DUMMYFUNCTION("""COMPUTED_VALUE"""),"ILCA 4")</f>
        <v>ILCA 4</v>
      </c>
      <c r="O82" s="21"/>
      <c r="P82" s="21">
        <f>IFERROR(__xludf.DUMMYFUNCTION("""COMPUTED_VALUE"""),195396.0)</f>
        <v>195396</v>
      </c>
      <c r="Q82" s="20"/>
      <c r="R82" s="20"/>
      <c r="S82" s="20"/>
      <c r="T82" s="20"/>
      <c r="U82" s="20"/>
      <c r="V82" s="20"/>
      <c r="W82" s="20"/>
      <c r="X82" s="24">
        <f>IFERROR(__xludf.DUMMYFUNCTION("""COMPUTED_VALUE"""),2.217367204E9)</f>
        <v>2217367204</v>
      </c>
      <c r="Y82" s="21" t="str">
        <f>IFERROR(__xludf.DUMMYFUNCTION("""COMPUTED_VALUE"""),"No")</f>
        <v>No</v>
      </c>
      <c r="Z82" s="21" t="str">
        <f>IFERROR(__xludf.DUMMYFUNCTION("""COMPUTED_VALUE"""),"Acepto")</f>
        <v>Acepto</v>
      </c>
      <c r="AA82" s="18" t="str">
        <f>IFERROR(__xludf.DUMMYFUNCTION("""COMPUTED_VALUE"""),"Terminado")</f>
        <v>Terminado</v>
      </c>
      <c r="AB82" s="18">
        <f>IFERROR(__xludf.DUMMYFUNCTION("""COMPUTED_VALUE"""),45000.0)</f>
        <v>45000</v>
      </c>
      <c r="AC82" s="7" t="str">
        <f>IFERROR(__xludf.DUMMYFUNCTION("""COMPUTED_VALUE"""),"205170/205365")</f>
        <v>205170/205365</v>
      </c>
      <c r="AD82" s="7" t="str">
        <f>IFERROR(__xludf.DUMMYFUNCTION("""COMPUTED_VALUE"""),"TRF 31-08")</f>
        <v>TRF 31-08</v>
      </c>
      <c r="AE82" s="7" t="str">
        <f>IFERROR(__xludf.DUMMYFUNCTION("""COMPUTED_VALUE"""),"No Corresp")</f>
        <v>No Corresp</v>
      </c>
      <c r="AF82" s="21"/>
      <c r="AG82" s="23"/>
    </row>
    <row r="83">
      <c r="A83" s="19">
        <f>IFERROR(__xludf.DUMMYFUNCTION("""COMPUTED_VALUE"""),45536.35924899306)</f>
        <v>45536.35925</v>
      </c>
      <c r="B83" s="20" t="str">
        <f>IFERROR(__xludf.DUMMYFUNCTION("""COMPUTED_VALUE"""),"Maria Emilia")</f>
        <v>Maria Emilia</v>
      </c>
      <c r="C83" s="20" t="str">
        <f>IFERROR(__xludf.DUMMYFUNCTION("""COMPUTED_VALUE"""),"D’Ottavio")</f>
        <v>D’Ottavio</v>
      </c>
      <c r="D83" s="20" t="str">
        <f>IFERROR(__xludf.DUMMYFUNCTION("""COMPUTED_VALUE"""),"Rosario")</f>
        <v>Rosario</v>
      </c>
      <c r="E83" s="21" t="str">
        <f>IFERROR(__xludf.DUMMYFUNCTION("""COMPUTED_VALUE"""),"ARG")</f>
        <v>ARG</v>
      </c>
      <c r="F83" s="21">
        <f>IFERROR(__xludf.DUMMYFUNCTION("""COMPUTED_VALUE"""),5.0240962E7)</f>
        <v>50240962</v>
      </c>
      <c r="G83" s="22">
        <f>IFERROR(__xludf.DUMMYFUNCTION("""COMPUTED_VALUE"""),40257.0)</f>
        <v>40257</v>
      </c>
      <c r="H83" s="21">
        <f>IFERROR(__xludf.DUMMYFUNCTION("""COMPUTED_VALUE"""),3.415694188E9)</f>
        <v>3415694188</v>
      </c>
      <c r="I83" s="51">
        <f>IFERROR(__xludf.DUMMYFUNCTION("""COMPUTED_VALUE"""),3.415694188E9)</f>
        <v>3415694188</v>
      </c>
      <c r="J83" s="29" t="str">
        <f>IFERROR(__xludf.DUMMYFUNCTION("""COMPUTED_VALUE"""),"gabrielavicentin@hotmail.com")</f>
        <v>gabrielavicentin@hotmail.com</v>
      </c>
      <c r="K83" s="21" t="str">
        <f>IFERROR(__xludf.DUMMYFUNCTION("""COMPUTED_VALUE"""),"Femenino")</f>
        <v>Femenino</v>
      </c>
      <c r="L83" s="23" t="str">
        <f>IFERROR(__xludf.DUMMYFUNCTION("""COMPUTED_VALUE"""),"CVR")</f>
        <v>CVR</v>
      </c>
      <c r="M83" s="20" t="str">
        <f>IFERROR(__xludf.DUMMYFUNCTION("""COMPUTED_VALUE"""),"Interior (Optimist)")</f>
        <v>Interior (Optimist)</v>
      </c>
      <c r="N83" s="21" t="str">
        <f>IFERROR(__xludf.DUMMYFUNCTION("""COMPUTED_VALUE"""),"OPTIMIST TIMONELES")</f>
        <v>OPTIMIST TIMONELES</v>
      </c>
      <c r="O83" s="21" t="str">
        <f>IFERROR(__xludf.DUMMYFUNCTION("""COMPUTED_VALUE"""),"Ni idea")</f>
        <v>Ni idea</v>
      </c>
      <c r="P83" s="21">
        <f>IFERROR(__xludf.DUMMYFUNCTION("""COMPUTED_VALUE"""),3984.0)</f>
        <v>3984</v>
      </c>
      <c r="Q83" s="20">
        <f>IFERROR(__xludf.DUMMYFUNCTION("""COMPUTED_VALUE"""),3984.0)</f>
        <v>3984</v>
      </c>
      <c r="R83" s="20"/>
      <c r="S83" s="20"/>
      <c r="T83" s="20"/>
      <c r="U83" s="20"/>
      <c r="V83" s="20"/>
      <c r="W83" s="20"/>
      <c r="X83" s="24" t="str">
        <f>IFERROR(__xludf.DUMMYFUNCTION("""COMPUTED_VALUE"""),"OSPAC")</f>
        <v>OSPAC</v>
      </c>
      <c r="Y83" s="21" t="str">
        <f>IFERROR(__xludf.DUMMYFUNCTION("""COMPUTED_VALUE"""),"No")</f>
        <v>No</v>
      </c>
      <c r="Z83" s="21" t="str">
        <f>IFERROR(__xludf.DUMMYFUNCTION("""COMPUTED_VALUE"""),"Acepto")</f>
        <v>Acepto</v>
      </c>
      <c r="AA83" s="18" t="str">
        <f>IFERROR(__xludf.DUMMYFUNCTION("""COMPUTED_VALUE"""),"Terminado")</f>
        <v>Terminado</v>
      </c>
      <c r="AB83" s="18">
        <f>IFERROR(__xludf.DUMMYFUNCTION("""COMPUTED_VALUE"""),70000.0)</f>
        <v>70000</v>
      </c>
      <c r="AC83" s="7">
        <f>IFERROR(__xludf.DUMMYFUNCTION("""COMPUTED_VALUE"""),205335.0)</f>
        <v>205335</v>
      </c>
      <c r="AD83" s="7" t="str">
        <f>IFERROR(__xludf.DUMMYFUNCTION("""COMPUTED_VALUE"""),"TRF 01-09")</f>
        <v>TRF 01-09</v>
      </c>
      <c r="AE83" s="7" t="str">
        <f>IFERROR(__xludf.DUMMYFUNCTION("""COMPUTED_VALUE"""),"Pendiente")</f>
        <v>Pendiente</v>
      </c>
      <c r="AF83" s="21"/>
      <c r="AG83" s="23"/>
    </row>
    <row r="84">
      <c r="A84" s="42">
        <f>IFERROR(__xludf.DUMMYFUNCTION("""COMPUTED_VALUE"""),45536.35672094907)</f>
        <v>45536.35672</v>
      </c>
      <c r="B84" s="43" t="str">
        <f>IFERROR(__xludf.DUMMYFUNCTION("""COMPUTED_VALUE"""),"Bautista ")</f>
        <v>Bautista </v>
      </c>
      <c r="C84" s="43" t="str">
        <f>IFERROR(__xludf.DUMMYFUNCTION("""COMPUTED_VALUE"""),"D’Ottavio ")</f>
        <v>D’Ottavio </v>
      </c>
      <c r="D84" s="43" t="str">
        <f>IFERROR(__xludf.DUMMYFUNCTION("""COMPUTED_VALUE"""),"Rosario")</f>
        <v>Rosario</v>
      </c>
      <c r="E84" s="7" t="str">
        <f>IFERROR(__xludf.DUMMYFUNCTION("""COMPUTED_VALUE"""),"ARG")</f>
        <v>ARG</v>
      </c>
      <c r="F84" s="7">
        <f>IFERROR(__xludf.DUMMYFUNCTION("""COMPUTED_VALUE"""),5.2366183E7)</f>
        <v>52366183</v>
      </c>
      <c r="G84" s="44">
        <f>IFERROR(__xludf.DUMMYFUNCTION("""COMPUTED_VALUE"""),40963.0)</f>
        <v>40963</v>
      </c>
      <c r="H84" s="45">
        <f>IFERROR(__xludf.DUMMYFUNCTION("""COMPUTED_VALUE"""),3.415694188E9)</f>
        <v>3415694188</v>
      </c>
      <c r="I84" s="46">
        <f>IFERROR(__xludf.DUMMYFUNCTION("""COMPUTED_VALUE"""),3.415694188E9)</f>
        <v>3415694188</v>
      </c>
      <c r="J84" s="45" t="str">
        <f>IFERROR(__xludf.DUMMYFUNCTION("""COMPUTED_VALUE"""),"gabrielavicentin@hotmail.com")</f>
        <v>gabrielavicentin@hotmail.com</v>
      </c>
      <c r="K84" s="45" t="str">
        <f>IFERROR(__xludf.DUMMYFUNCTION("""COMPUTED_VALUE"""),"Masculino")</f>
        <v>Masculino</v>
      </c>
      <c r="L84" s="43" t="str">
        <f>IFERROR(__xludf.DUMMYFUNCTION("""COMPUTED_VALUE"""),"CVR")</f>
        <v>CVR</v>
      </c>
      <c r="M84" s="45" t="str">
        <f>IFERROR(__xludf.DUMMYFUNCTION("""COMPUTED_VALUE"""),"Interior (Optimist)")</f>
        <v>Interior (Optimist)</v>
      </c>
      <c r="N84" s="7" t="str">
        <f>IFERROR(__xludf.DUMMYFUNCTION("""COMPUTED_VALUE"""),"OPTIMIST TIMONELES")</f>
        <v>OPTIMIST TIMONELES</v>
      </c>
      <c r="O84" s="7" t="str">
        <f>IFERROR(__xludf.DUMMYFUNCTION("""COMPUTED_VALUE"""),"Ni idea")</f>
        <v>Ni idea</v>
      </c>
      <c r="P84" s="7">
        <f>IFERROR(__xludf.DUMMYFUNCTION("""COMPUTED_VALUE"""),3996.0)</f>
        <v>3996</v>
      </c>
      <c r="Q84" s="45">
        <f>IFERROR(__xludf.DUMMYFUNCTION("""COMPUTED_VALUE"""),3996.0)</f>
        <v>3996</v>
      </c>
      <c r="R84" s="45"/>
      <c r="S84" s="45"/>
      <c r="T84" s="45"/>
      <c r="U84" s="45"/>
      <c r="V84" s="45"/>
      <c r="W84" s="45"/>
      <c r="X84" s="47" t="str">
        <f>IFERROR(__xludf.DUMMYFUNCTION("""COMPUTED_VALUE"""),"OSPAC ")</f>
        <v>OSPAC </v>
      </c>
      <c r="Y84" s="7" t="str">
        <f>IFERROR(__xludf.DUMMYFUNCTION("""COMPUTED_VALUE"""),"No")</f>
        <v>No</v>
      </c>
      <c r="Z84" s="7" t="str">
        <f>IFERROR(__xludf.DUMMYFUNCTION("""COMPUTED_VALUE"""),"Acepto")</f>
        <v>Acepto</v>
      </c>
      <c r="AA84" s="48" t="str">
        <f>IFERROR(__xludf.DUMMYFUNCTION("""COMPUTED_VALUE"""),"Terminado")</f>
        <v>Terminado</v>
      </c>
      <c r="AB84" s="48">
        <f>IFERROR(__xludf.DUMMYFUNCTION("""COMPUTED_VALUE"""),70000.0)</f>
        <v>70000</v>
      </c>
      <c r="AC84" s="7">
        <f>IFERROR(__xludf.DUMMYFUNCTION("""COMPUTED_VALUE"""),205335.0)</f>
        <v>205335</v>
      </c>
      <c r="AD84" s="7" t="str">
        <f>IFERROR(__xludf.DUMMYFUNCTION("""COMPUTED_VALUE"""),"TRF 01-09")</f>
        <v>TRF 01-09</v>
      </c>
      <c r="AE84" s="7" t="str">
        <f>IFERROR(__xludf.DUMMYFUNCTION("""COMPUTED_VALUE"""),"Pendiente")</f>
        <v>Pendiente</v>
      </c>
      <c r="AF84" s="7"/>
      <c r="AG84" s="43"/>
    </row>
    <row r="85">
      <c r="A85" s="31">
        <f>IFERROR(__xludf.DUMMYFUNCTION("""COMPUTED_VALUE"""),45536.71396243056)</f>
        <v>45536.71396</v>
      </c>
      <c r="B85" s="12" t="str">
        <f>IFERROR(__xludf.DUMMYFUNCTION("""COMPUTED_VALUE"""),"Oscar")</f>
        <v>Oscar</v>
      </c>
      <c r="C85" s="12" t="str">
        <f>IFERROR(__xludf.DUMMYFUNCTION("""COMPUTED_VALUE"""),"Dagnino")</f>
        <v>Dagnino</v>
      </c>
      <c r="D85" s="12" t="str">
        <f>IFERROR(__xludf.DUMMYFUNCTION("""COMPUTED_VALUE"""),"Caba")</f>
        <v>Caba</v>
      </c>
      <c r="E85" s="13" t="str">
        <f>IFERROR(__xludf.DUMMYFUNCTION("""COMPUTED_VALUE"""),"ARG")</f>
        <v>ARG</v>
      </c>
      <c r="F85" s="13">
        <f>IFERROR(__xludf.DUMMYFUNCTION("""COMPUTED_VALUE"""),2.6194526E7)</f>
        <v>26194526</v>
      </c>
      <c r="G85" s="14">
        <f>IFERROR(__xludf.DUMMYFUNCTION("""COMPUTED_VALUE"""),28349.0)</f>
        <v>28349</v>
      </c>
      <c r="H85" s="15">
        <f>IFERROR(__xludf.DUMMYFUNCTION("""COMPUTED_VALUE"""),1.151214394E9)</f>
        <v>1151214394</v>
      </c>
      <c r="I85" s="41"/>
      <c r="J85" s="12" t="str">
        <f>IFERROR(__xludf.DUMMYFUNCTION("""COMPUTED_VALUE"""),"ventas@yeseriadagnino.com.ar")</f>
        <v>ventas@yeseriadagnino.com.ar</v>
      </c>
      <c r="K85" s="12" t="str">
        <f>IFERROR(__xludf.DUMMYFUNCTION("""COMPUTED_VALUE"""),"Masculino")</f>
        <v>Masculino</v>
      </c>
      <c r="L85" s="16" t="str">
        <f>IFERROR(__xludf.DUMMYFUNCTION("""COMPUTED_VALUE"""),"Cno-Cngsm")</f>
        <v>Cno-Cngsm</v>
      </c>
      <c r="M85" s="12" t="str">
        <f>IFERROR(__xludf.DUMMYFUNCTION("""COMPUTED_VALUE"""),"Corinthians")</f>
        <v>Corinthians</v>
      </c>
      <c r="N85" s="13" t="str">
        <f>IFERROR(__xludf.DUMMYFUNCTION("""COMPUTED_VALUE"""),"J 70")</f>
        <v>J 70</v>
      </c>
      <c r="O85" s="13">
        <f>IFERROR(__xludf.DUMMYFUNCTION("""COMPUTED_VALUE"""),41.0)</f>
        <v>41</v>
      </c>
      <c r="P85" s="13">
        <f>IFERROR(__xludf.DUMMYFUNCTION("""COMPUTED_VALUE"""),1552.0)</f>
        <v>1552</v>
      </c>
      <c r="Q85" s="12" t="str">
        <f>IFERROR(__xludf.DUMMYFUNCTION("""COMPUTED_VALUE"""),"Project")</f>
        <v>Project</v>
      </c>
      <c r="R85" s="12" t="str">
        <f>IFERROR(__xludf.DUMMYFUNCTION("""COMPUTED_VALUE"""),"Pablo Giannavola ")</f>
        <v>Pablo Giannavola </v>
      </c>
      <c r="S85" s="12" t="str">
        <f>IFERROR(__xludf.DUMMYFUNCTION("""COMPUTED_VALUE"""),"Pablo Piñeyro ")</f>
        <v>Pablo Piñeyro </v>
      </c>
      <c r="T85" s="12" t="str">
        <f>IFERROR(__xludf.DUMMYFUNCTION("""COMPUTED_VALUE"""),"Anabella Dagnino")</f>
        <v>Anabella Dagnino</v>
      </c>
      <c r="U85" s="12"/>
      <c r="V85" s="12"/>
      <c r="W85" s="12"/>
      <c r="X85" s="17"/>
      <c r="Y85" s="13" t="str">
        <f>IFERROR(__xludf.DUMMYFUNCTION("""COMPUTED_VALUE"""),"No")</f>
        <v>No</v>
      </c>
      <c r="Z85" s="13" t="str">
        <f>IFERROR(__xludf.DUMMYFUNCTION("""COMPUTED_VALUE"""),"Acepto")</f>
        <v>Acepto</v>
      </c>
      <c r="AA85" s="25" t="str">
        <f>IFERROR(__xludf.DUMMYFUNCTION("""COMPUTED_VALUE"""),"Terminado")</f>
        <v>Terminado</v>
      </c>
      <c r="AB85" s="25">
        <f>IFERROR(__xludf.DUMMYFUNCTION("""COMPUTED_VALUE"""),80000.0)</f>
        <v>80000</v>
      </c>
      <c r="AC85" s="7">
        <f>IFERROR(__xludf.DUMMYFUNCTION("""COMPUTED_VALUE"""),205406.0)</f>
        <v>205406</v>
      </c>
      <c r="AD85" s="7" t="str">
        <f>IFERROR(__xludf.DUMMYFUNCTION("""COMPUTED_VALUE"""),"TRF 02-09")</f>
        <v>TRF 02-09</v>
      </c>
      <c r="AE85" s="7" t="str">
        <f>IFERROR(__xludf.DUMMYFUNCTION("""COMPUTED_VALUE"""),"No Corresp")</f>
        <v>No Corresp</v>
      </c>
      <c r="AF85" s="13" t="str">
        <f>IFERROR(__xludf.DUMMYFUNCTION("""COMPUTED_VALUE"""),"Si")</f>
        <v>Si</v>
      </c>
      <c r="AG85" s="16"/>
    </row>
    <row r="86">
      <c r="A86" s="19">
        <f>IFERROR(__xludf.DUMMYFUNCTION("""COMPUTED_VALUE"""),45531.78893083333)</f>
        <v>45531.78893</v>
      </c>
      <c r="B86" s="20" t="str">
        <f>IFERROR(__xludf.DUMMYFUNCTION("""COMPUTED_VALUE"""),"Isabel")</f>
        <v>Isabel</v>
      </c>
      <c r="C86" s="20" t="str">
        <f>IFERROR(__xludf.DUMMYFUNCTION("""COMPUTED_VALUE"""),"de Arriba")</f>
        <v>de Arriba</v>
      </c>
      <c r="D86" s="20" t="str">
        <f>IFERROR(__xludf.DUMMYFUNCTION("""COMPUTED_VALUE"""),"República de Saavedra, Capital Federal")</f>
        <v>República de Saavedra, Capital Federal</v>
      </c>
      <c r="E86" s="21" t="str">
        <f>IFERROR(__xludf.DUMMYFUNCTION("""COMPUTED_VALUE"""),"ARG")</f>
        <v>ARG</v>
      </c>
      <c r="F86" s="21">
        <f>IFERROR(__xludf.DUMMYFUNCTION("""COMPUTED_VALUE"""),5.244014E7)</f>
        <v>52440140</v>
      </c>
      <c r="G86" s="38">
        <f>IFERROR(__xludf.DUMMYFUNCTION("""COMPUTED_VALUE"""),41015.0)</f>
        <v>41015</v>
      </c>
      <c r="H86" s="20">
        <f>IFERROR(__xludf.DUMMYFUNCTION("""COMPUTED_VALUE"""),1.161681234E9)</f>
        <v>1161681234</v>
      </c>
      <c r="I86" s="20">
        <f>IFERROR(__xludf.DUMMYFUNCTION("""COMPUTED_VALUE"""),1.131710227E9)</f>
        <v>1131710227</v>
      </c>
      <c r="J86" s="20" t="str">
        <f>IFERROR(__xludf.DUMMYFUNCTION("""COMPUTED_VALUE"""),"dearribaisabel@gmail.com")</f>
        <v>dearribaisabel@gmail.com</v>
      </c>
      <c r="K86" s="20" t="str">
        <f>IFERROR(__xludf.DUMMYFUNCTION("""COMPUTED_VALUE"""),"Femenino")</f>
        <v>Femenino</v>
      </c>
      <c r="L86" s="23" t="str">
        <f>IFERROR(__xludf.DUMMYFUNCTION("""COMPUTED_VALUE"""),"CGLNM")</f>
        <v>CGLNM</v>
      </c>
      <c r="M86" s="20" t="str">
        <f>IFERROR(__xludf.DUMMYFUNCTION("""COMPUTED_VALUE"""),"Femenino")</f>
        <v>Femenino</v>
      </c>
      <c r="N86" s="21" t="str">
        <f>IFERROR(__xludf.DUMMYFUNCTION("""COMPUTED_VALUE"""),"OPTIMIST PRINCIPIANTES")</f>
        <v>OPTIMIST PRINCIPIANTES</v>
      </c>
      <c r="O86" s="21"/>
      <c r="P86" s="21">
        <f>IFERROR(__xludf.DUMMYFUNCTION("""COMPUTED_VALUE"""),3625.0)</f>
        <v>3625</v>
      </c>
      <c r="Q86" s="20" t="str">
        <f>IFERROR(__xludf.DUMMYFUNCTION("""COMPUTED_VALUE"""),"Merluza")</f>
        <v>Merluza</v>
      </c>
      <c r="R86" s="20" t="str">
        <f>IFERROR(__xludf.DUMMYFUNCTION("""COMPUTED_VALUE"""),"Isabel de Arriba")</f>
        <v>Isabel de Arriba</v>
      </c>
      <c r="S86" s="20"/>
      <c r="T86" s="20"/>
      <c r="U86" s="20"/>
      <c r="V86" s="20"/>
      <c r="W86" s="20"/>
      <c r="X86" s="24">
        <f>IFERROR(__xludf.DUMMYFUNCTION("""COMPUTED_VALUE"""),6.1407799002E10)</f>
        <v>61407799002</v>
      </c>
      <c r="Y86" s="21" t="str">
        <f>IFERROR(__xludf.DUMMYFUNCTION("""COMPUTED_VALUE"""),"Si")</f>
        <v>Si</v>
      </c>
      <c r="Z86" s="21" t="str">
        <f>IFERROR(__xludf.DUMMYFUNCTION("""COMPUTED_VALUE"""),"Acepto")</f>
        <v>Acepto</v>
      </c>
      <c r="AA86" s="18" t="str">
        <f>IFERROR(__xludf.DUMMYFUNCTION("""COMPUTED_VALUE"""),"Terminado")</f>
        <v>Terminado</v>
      </c>
      <c r="AB86" s="18">
        <f>IFERROR(__xludf.DUMMYFUNCTION("""COMPUTED_VALUE"""),50000.0)</f>
        <v>50000</v>
      </c>
      <c r="AC86" s="7">
        <f>IFERROR(__xludf.DUMMYFUNCTION("""COMPUTED_VALUE"""),205618.0)</f>
        <v>205618</v>
      </c>
      <c r="AD86" s="7" t="str">
        <f>IFERROR(__xludf.DUMMYFUNCTION("""COMPUTED_VALUE"""),"TRF 09-09")</f>
        <v>TRF 09-09</v>
      </c>
      <c r="AE86" s="7" t="str">
        <f>IFERROR(__xludf.DUMMYFUNCTION("""COMPUTED_VALUE"""),"OK")</f>
        <v>OK</v>
      </c>
      <c r="AF86" s="21"/>
      <c r="AG86" s="23"/>
    </row>
    <row r="87">
      <c r="A87" s="31">
        <f>IFERROR(__xludf.DUMMYFUNCTION("""COMPUTED_VALUE"""),45535.44696298611)</f>
        <v>45535.44696</v>
      </c>
      <c r="B87" s="12" t="str">
        <f>IFERROR(__xludf.DUMMYFUNCTION("""COMPUTED_VALUE"""),"Lautaro Julián")</f>
        <v>Lautaro Julián</v>
      </c>
      <c r="C87" s="12" t="str">
        <f>IFERROR(__xludf.DUMMYFUNCTION("""COMPUTED_VALUE"""),"DE BAGGE")</f>
        <v>DE BAGGE</v>
      </c>
      <c r="D87" s="12" t="str">
        <f>IFERROR(__xludf.DUMMYFUNCTION("""COMPUTED_VALUE"""),"CABA")</f>
        <v>CABA</v>
      </c>
      <c r="E87" s="13" t="str">
        <f>IFERROR(__xludf.DUMMYFUNCTION("""COMPUTED_VALUE"""),"ARG")</f>
        <v>ARG</v>
      </c>
      <c r="F87" s="13">
        <f>IFERROR(__xludf.DUMMYFUNCTION("""COMPUTED_VALUE"""),4.9961664E7)</f>
        <v>49961664</v>
      </c>
      <c r="G87" s="33">
        <f>IFERROR(__xludf.DUMMYFUNCTION("""COMPUTED_VALUE"""),40198.0)</f>
        <v>40198</v>
      </c>
      <c r="H87" s="13">
        <f>IFERROR(__xludf.DUMMYFUNCTION("""COMPUTED_VALUE"""),1.156549521E9)</f>
        <v>1156549521</v>
      </c>
      <c r="I87" s="13">
        <f>IFERROR(__xludf.DUMMYFUNCTION("""COMPUTED_VALUE"""),1.156549521E9)</f>
        <v>1156549521</v>
      </c>
      <c r="J87" s="34" t="str">
        <f>IFERROR(__xludf.DUMMYFUNCTION("""COMPUTED_VALUE"""),"mdebagge@hotmail.com")</f>
        <v>mdebagge@hotmail.com</v>
      </c>
      <c r="K87" s="13" t="str">
        <f>IFERROR(__xludf.DUMMYFUNCTION("""COMPUTED_VALUE"""),"Masculino")</f>
        <v>Masculino</v>
      </c>
      <c r="L87" s="16" t="str">
        <f>IFERROR(__xludf.DUMMYFUNCTION("""COMPUTED_VALUE"""),"SI")</f>
        <v>SI</v>
      </c>
      <c r="M87" s="12"/>
      <c r="N87" s="13" t="str">
        <f>IFERROR(__xludf.DUMMYFUNCTION("""COMPUTED_VALUE"""),"OPTIMIST TIMONELES")</f>
        <v>OPTIMIST TIMONELES</v>
      </c>
      <c r="O87" s="13"/>
      <c r="P87" s="13">
        <f>IFERROR(__xludf.DUMMYFUNCTION("""COMPUTED_VALUE"""),3712.0)</f>
        <v>3712</v>
      </c>
      <c r="Q87" s="13"/>
      <c r="R87" s="13"/>
      <c r="S87" s="13"/>
      <c r="T87" s="13"/>
      <c r="U87" s="13"/>
      <c r="V87" s="12"/>
      <c r="W87" s="12"/>
      <c r="X87" s="17">
        <f>IFERROR(__xludf.DUMMYFUNCTION("""COMPUTED_VALUE"""),6.1354126904E10)</f>
        <v>61354126904</v>
      </c>
      <c r="Y87" s="13" t="str">
        <f>IFERROR(__xludf.DUMMYFUNCTION("""COMPUTED_VALUE"""),"No")</f>
        <v>No</v>
      </c>
      <c r="Z87" s="13" t="str">
        <f>IFERROR(__xludf.DUMMYFUNCTION("""COMPUTED_VALUE"""),"Acepto")</f>
        <v>Acepto</v>
      </c>
      <c r="AA87" s="25" t="str">
        <f>IFERROR(__xludf.DUMMYFUNCTION("""COMPUTED_VALUE"""),"Terminado")</f>
        <v>Terminado</v>
      </c>
      <c r="AB87" s="25">
        <f>IFERROR(__xludf.DUMMYFUNCTION("""COMPUTED_VALUE"""),60000.0)</f>
        <v>60000</v>
      </c>
      <c r="AC87" s="7">
        <f>IFERROR(__xludf.DUMMYFUNCTION("""COMPUTED_VALUE"""),205167.0)</f>
        <v>205167</v>
      </c>
      <c r="AD87" s="7" t="str">
        <f>IFERROR(__xludf.DUMMYFUNCTION("""COMPUTED_VALUE"""),"TRF 31-08")</f>
        <v>TRF 31-08</v>
      </c>
      <c r="AE87" s="7" t="str">
        <f>IFERROR(__xludf.DUMMYFUNCTION("""COMPUTED_VALUE"""),"OK")</f>
        <v>OK</v>
      </c>
      <c r="AF87" s="13" t="str">
        <f>IFERROR(__xludf.DUMMYFUNCTION("""COMPUTED_VALUE"""),"SI")</f>
        <v>SI</v>
      </c>
      <c r="AG87" s="16"/>
    </row>
    <row r="88">
      <c r="A88" s="31">
        <f>IFERROR(__xludf.DUMMYFUNCTION("""COMPUTED_VALUE"""),45535.92234740741)</f>
        <v>45535.92235</v>
      </c>
      <c r="B88" s="12" t="str">
        <f>IFERROR(__xludf.DUMMYFUNCTION("""COMPUTED_VALUE"""),"Tomás ")</f>
        <v>Tomás </v>
      </c>
      <c r="C88" s="12" t="str">
        <f>IFERROR(__xludf.DUMMYFUNCTION("""COMPUTED_VALUE"""),"De ezcurra")</f>
        <v>De ezcurra</v>
      </c>
      <c r="D88" s="12" t="str">
        <f>IFERROR(__xludf.DUMMYFUNCTION("""COMPUTED_VALUE"""),"Bs as")</f>
        <v>Bs as</v>
      </c>
      <c r="E88" s="13" t="str">
        <f>IFERROR(__xludf.DUMMYFUNCTION("""COMPUTED_VALUE"""),"ARG")</f>
        <v>ARG</v>
      </c>
      <c r="F88" s="13">
        <f>IFERROR(__xludf.DUMMYFUNCTION("""COMPUTED_VALUE"""),4.9064224E7)</f>
        <v>49064224</v>
      </c>
      <c r="G88" s="14">
        <f>IFERROR(__xludf.DUMMYFUNCTION("""COMPUTED_VALUE"""),39731.0)</f>
        <v>39731</v>
      </c>
      <c r="H88" s="15">
        <f>IFERROR(__xludf.DUMMYFUNCTION("""COMPUTED_VALUE"""),1.540279334E9)</f>
        <v>1540279334</v>
      </c>
      <c r="I88" s="15">
        <f>IFERROR(__xludf.DUMMYFUNCTION("""COMPUTED_VALUE"""),1.540279334E9)</f>
        <v>1540279334</v>
      </c>
      <c r="J88" s="12" t="str">
        <f>IFERROR(__xludf.DUMMYFUNCTION("""COMPUTED_VALUE"""),"tdezcu@gmail.com")</f>
        <v>tdezcu@gmail.com</v>
      </c>
      <c r="K88" s="12" t="str">
        <f>IFERROR(__xludf.DUMMYFUNCTION("""COMPUTED_VALUE"""),"Masculino")</f>
        <v>Masculino</v>
      </c>
      <c r="L88" s="16" t="str">
        <f>IFERROR(__xludf.DUMMYFUNCTION("""COMPUTED_VALUE"""),"Cnsi")</f>
        <v>Cnsi</v>
      </c>
      <c r="M88" s="12"/>
      <c r="N88" s="13" t="str">
        <f>IFERROR(__xludf.DUMMYFUNCTION("""COMPUTED_VALUE"""),"ILCA 6")</f>
        <v>ILCA 6</v>
      </c>
      <c r="O88" s="13"/>
      <c r="P88" s="13">
        <f>IFERROR(__xludf.DUMMYFUNCTION("""COMPUTED_VALUE"""),222112.0)</f>
        <v>222112</v>
      </c>
      <c r="Q88" s="12"/>
      <c r="R88" s="12"/>
      <c r="S88" s="12"/>
      <c r="T88" s="12"/>
      <c r="U88" s="12"/>
      <c r="V88" s="12"/>
      <c r="W88" s="12"/>
      <c r="X88" s="17">
        <f>IFERROR(__xludf.DUMMYFUNCTION("""COMPUTED_VALUE"""),6.1721757103E10)</f>
        <v>61721757103</v>
      </c>
      <c r="Y88" s="13" t="str">
        <f>IFERROR(__xludf.DUMMYFUNCTION("""COMPUTED_VALUE"""),"No")</f>
        <v>No</v>
      </c>
      <c r="Z88" s="13" t="str">
        <f>IFERROR(__xludf.DUMMYFUNCTION("""COMPUTED_VALUE"""),"Acepto")</f>
        <v>Acepto</v>
      </c>
      <c r="AA88" s="25" t="str">
        <f>IFERROR(__xludf.DUMMYFUNCTION("""COMPUTED_VALUE"""),"Terminado")</f>
        <v>Terminado</v>
      </c>
      <c r="AB88" s="25">
        <f>IFERROR(__xludf.DUMMYFUNCTION("""COMPUTED_VALUE"""),45000.0)</f>
        <v>45000</v>
      </c>
      <c r="AC88" s="7">
        <f>IFERROR(__xludf.DUMMYFUNCTION("""COMPUTED_VALUE"""),205340.0)</f>
        <v>205340</v>
      </c>
      <c r="AD88" s="7" t="str">
        <f>IFERROR(__xludf.DUMMYFUNCTION("""COMPUTED_VALUE"""),"TRF 31-08")</f>
        <v>TRF 31-08</v>
      </c>
      <c r="AE88" s="7" t="str">
        <f>IFERROR(__xludf.DUMMYFUNCTION("""COMPUTED_VALUE"""),"OK")</f>
        <v>OK</v>
      </c>
      <c r="AF88" s="13" t="str">
        <f>IFERROR(__xludf.DUMMYFUNCTION("""COMPUTED_VALUE"""),"SI")</f>
        <v>SI</v>
      </c>
      <c r="AG88" s="16"/>
    </row>
    <row r="89">
      <c r="A89" s="19">
        <f>IFERROR(__xludf.DUMMYFUNCTION("""COMPUTED_VALUE"""),45533.63087804399)</f>
        <v>45533.63088</v>
      </c>
      <c r="B89" s="20" t="str">
        <f>IFERROR(__xludf.DUMMYFUNCTION("""COMPUTED_VALUE"""),"Juan cruz ")</f>
        <v>Juan cruz </v>
      </c>
      <c r="C89" s="20" t="str">
        <f>IFERROR(__xludf.DUMMYFUNCTION("""COMPUTED_VALUE"""),"De Valais ")</f>
        <v>De Valais </v>
      </c>
      <c r="D89" s="20" t="str">
        <f>IFERROR(__xludf.DUMMYFUNCTION("""COMPUTED_VALUE"""),"CABA")</f>
        <v>CABA</v>
      </c>
      <c r="E89" s="21" t="str">
        <f>IFERROR(__xludf.DUMMYFUNCTION("""COMPUTED_VALUE"""),"ARG")</f>
        <v>ARG</v>
      </c>
      <c r="F89" s="21">
        <f>IFERROR(__xludf.DUMMYFUNCTION("""COMPUTED_VALUE"""),5.0414789E7)</f>
        <v>50414789</v>
      </c>
      <c r="G89" s="22">
        <f>IFERROR(__xludf.DUMMYFUNCTION("""COMPUTED_VALUE"""),40367.0)</f>
        <v>40367</v>
      </c>
      <c r="H89" s="21">
        <f>IFERROR(__xludf.DUMMYFUNCTION("""COMPUTED_VALUE"""),1.144345575E9)</f>
        <v>1144345575</v>
      </c>
      <c r="I89" s="21">
        <f>IFERROR(__xludf.DUMMYFUNCTION("""COMPUTED_VALUE"""),1.140290151E9)</f>
        <v>1140290151</v>
      </c>
      <c r="J89" s="21" t="str">
        <f>IFERROR(__xludf.DUMMYFUNCTION("""COMPUTED_VALUE"""),"fmeiller@hotmail.com")</f>
        <v>fmeiller@hotmail.com</v>
      </c>
      <c r="K89" s="21" t="str">
        <f>IFERROR(__xludf.DUMMYFUNCTION("""COMPUTED_VALUE"""),"Masculino")</f>
        <v>Masculino</v>
      </c>
      <c r="L89" s="23" t="str">
        <f>IFERROR(__xludf.DUMMYFUNCTION("""COMPUTED_VALUE"""),"CVB")</f>
        <v>CVB</v>
      </c>
      <c r="M89" s="20" t="str">
        <f>IFERROR(__xludf.DUMMYFUNCTION("""COMPUTED_VALUE"""),"Interior (Optimist), Optimist timonel")</f>
        <v>Interior (Optimist), Optimist timonel</v>
      </c>
      <c r="N89" s="21" t="str">
        <f>IFERROR(__xludf.DUMMYFUNCTION("""COMPUTED_VALUE"""),"OPTIMIST TIMONELES")</f>
        <v>OPTIMIST TIMONELES</v>
      </c>
      <c r="O89" s="21"/>
      <c r="P89" s="21">
        <f>IFERROR(__xludf.DUMMYFUNCTION("""COMPUTED_VALUE"""),3852.0)</f>
        <v>3852</v>
      </c>
      <c r="Q89" s="20" t="str">
        <f>IFERROR(__xludf.DUMMYFUNCTION("""COMPUTED_VALUE"""),"Pájaro loco")</f>
        <v>Pájaro loco</v>
      </c>
      <c r="R89" s="20"/>
      <c r="S89" s="20"/>
      <c r="T89" s="20"/>
      <c r="U89" s="20"/>
      <c r="V89" s="20"/>
      <c r="W89" s="20"/>
      <c r="X89" s="24" t="str">
        <f>IFERROR(__xludf.DUMMYFUNCTION("""COMPUTED_VALUE"""),"Plan médico del hospital alemán ")</f>
        <v>Plan médico del hospital alemán </v>
      </c>
      <c r="Y89" s="21" t="str">
        <f>IFERROR(__xludf.DUMMYFUNCTION("""COMPUTED_VALUE"""),"Si")</f>
        <v>Si</v>
      </c>
      <c r="Z89" s="21" t="str">
        <f>IFERROR(__xludf.DUMMYFUNCTION("""COMPUTED_VALUE"""),"Acepto")</f>
        <v>Acepto</v>
      </c>
      <c r="AA89" s="25" t="str">
        <f>IFERROR(__xludf.DUMMYFUNCTION("""COMPUTED_VALUE"""),"Terminado")</f>
        <v>Terminado</v>
      </c>
      <c r="AB89" s="25">
        <f>IFERROR(__xludf.DUMMYFUNCTION("""COMPUTED_VALUE"""),50000.0)</f>
        <v>50000</v>
      </c>
      <c r="AC89" s="7">
        <f>IFERROR(__xludf.DUMMYFUNCTION("""COMPUTED_VALUE"""),205103.0)</f>
        <v>205103</v>
      </c>
      <c r="AD89" s="7" t="str">
        <f>IFERROR(__xludf.DUMMYFUNCTION("""COMPUTED_VALUE"""),"TRF 30-08")</f>
        <v>TRF 30-08</v>
      </c>
      <c r="AE89" s="7" t="str">
        <f>IFERROR(__xludf.DUMMYFUNCTION("""COMPUTED_VALUE"""),"OK")</f>
        <v>OK</v>
      </c>
      <c r="AF89" s="21" t="str">
        <f>IFERROR(__xludf.DUMMYFUNCTION("""COMPUTED_VALUE"""),"SI")</f>
        <v>SI</v>
      </c>
      <c r="AG89" s="23"/>
    </row>
    <row r="90">
      <c r="A90" s="42">
        <f>IFERROR(__xludf.DUMMYFUNCTION("""COMPUTED_VALUE"""),45537.414796875004)</f>
        <v>45537.4148</v>
      </c>
      <c r="B90" s="43" t="str">
        <f>IFERROR(__xludf.DUMMYFUNCTION("""COMPUTED_VALUE"""),"Camila")</f>
        <v>Camila</v>
      </c>
      <c r="C90" s="43" t="str">
        <f>IFERROR(__xludf.DUMMYFUNCTION("""COMPUTED_VALUE"""),"Del carril")</f>
        <v>Del carril</v>
      </c>
      <c r="D90" s="43" t="str">
        <f>IFERROR(__xludf.DUMMYFUNCTION("""COMPUTED_VALUE"""),"Buenos aires")</f>
        <v>Buenos aires</v>
      </c>
      <c r="E90" s="7" t="str">
        <f>IFERROR(__xludf.DUMMYFUNCTION("""COMPUTED_VALUE"""),"ARG")</f>
        <v>ARG</v>
      </c>
      <c r="F90" s="7">
        <f>IFERROR(__xludf.DUMMYFUNCTION("""COMPUTED_VALUE"""),4.8793632E7)</f>
        <v>48793632</v>
      </c>
      <c r="G90" s="44">
        <f>IFERROR(__xludf.DUMMYFUNCTION("""COMPUTED_VALUE"""),39631.0)</f>
        <v>39631</v>
      </c>
      <c r="H90" s="45">
        <f>IFERROR(__xludf.DUMMYFUNCTION("""COMPUTED_VALUE"""),1.165318147E9)</f>
        <v>1165318147</v>
      </c>
      <c r="I90" s="46">
        <f>IFERROR(__xludf.DUMMYFUNCTION("""COMPUTED_VALUE"""),1.50575173E8)</f>
        <v>150575173</v>
      </c>
      <c r="J90" s="45" t="str">
        <f>IFERROR(__xludf.DUMMYFUNCTION("""COMPUTED_VALUE"""),"camiladelcarril55@gmail.com")</f>
        <v>camiladelcarril55@gmail.com</v>
      </c>
      <c r="K90" s="45" t="str">
        <f>IFERROR(__xludf.DUMMYFUNCTION("""COMPUTED_VALUE"""),"Femenino")</f>
        <v>Femenino</v>
      </c>
      <c r="L90" s="43" t="str">
        <f>IFERROR(__xludf.DUMMYFUNCTION("""COMPUTED_VALUE"""),"CNSI")</f>
        <v>CNSI</v>
      </c>
      <c r="M90" s="45"/>
      <c r="N90" s="7">
        <f>IFERROR(__xludf.DUMMYFUNCTION("""COMPUTED_VALUE"""),420.0)</f>
        <v>420</v>
      </c>
      <c r="O90" s="7" t="str">
        <f>IFERROR(__xludf.DUMMYFUNCTION("""COMPUTED_VALUE"""),"04")</f>
        <v>04</v>
      </c>
      <c r="P90" s="7">
        <f>IFERROR(__xludf.DUMMYFUNCTION("""COMPUTED_VALUE"""),551819.0)</f>
        <v>551819</v>
      </c>
      <c r="Q90" s="45"/>
      <c r="R90" s="45" t="str">
        <f>IFERROR(__xludf.DUMMYFUNCTION("""COMPUTED_VALUE"""),"Eugenio bradley")</f>
        <v>Eugenio bradley</v>
      </c>
      <c r="S90" s="45"/>
      <c r="T90" s="45"/>
      <c r="U90" s="45"/>
      <c r="V90" s="45"/>
      <c r="W90" s="45"/>
      <c r="X90" s="47" t="str">
        <f>IFERROR(__xludf.DUMMYFUNCTION("""COMPUTED_VALUE"""),"Hospital alemán 10639810773803")</f>
        <v>Hospital alemán 10639810773803</v>
      </c>
      <c r="Y90" s="7" t="str">
        <f>IFERROR(__xludf.DUMMYFUNCTION("""COMPUTED_VALUE"""),"No")</f>
        <v>No</v>
      </c>
      <c r="Z90" s="7" t="str">
        <f>IFERROR(__xludf.DUMMYFUNCTION("""COMPUTED_VALUE"""),"Acepto")</f>
        <v>Acepto</v>
      </c>
      <c r="AA90" s="48" t="str">
        <f>IFERROR(__xludf.DUMMYFUNCTION("""COMPUTED_VALUE"""),"Pendiente")</f>
        <v>Pendiente</v>
      </c>
      <c r="AB90" s="48"/>
      <c r="AC90" s="7"/>
      <c r="AD90" s="7"/>
      <c r="AE90" s="7" t="str">
        <f>IFERROR(__xludf.DUMMYFUNCTION("""COMPUTED_VALUE"""),"OK")</f>
        <v>OK</v>
      </c>
      <c r="AF90" s="7"/>
      <c r="AG90" s="43"/>
    </row>
    <row r="91">
      <c r="A91" s="31">
        <f>IFERROR(__xludf.DUMMYFUNCTION("""COMPUTED_VALUE"""),45531.54145804398)</f>
        <v>45531.54146</v>
      </c>
      <c r="B91" s="12" t="str">
        <f>IFERROR(__xludf.DUMMYFUNCTION("""COMPUTED_VALUE"""),"Clara")</f>
        <v>Clara</v>
      </c>
      <c r="C91" s="12" t="str">
        <f>IFERROR(__xludf.DUMMYFUNCTION("""COMPUTED_VALUE"""),"Deleo")</f>
        <v>Deleo</v>
      </c>
      <c r="D91" s="12" t="str">
        <f>IFERROR(__xludf.DUMMYFUNCTION("""COMPUTED_VALUE"""),"La Plata")</f>
        <v>La Plata</v>
      </c>
      <c r="E91" s="13" t="str">
        <f>IFERROR(__xludf.DUMMYFUNCTION("""COMPUTED_VALUE"""),"ARG")</f>
        <v>ARG</v>
      </c>
      <c r="F91" s="13">
        <f>IFERROR(__xludf.DUMMYFUNCTION("""COMPUTED_VALUE"""),5.2725158E7)</f>
        <v>52725158</v>
      </c>
      <c r="G91" s="33">
        <f>IFERROR(__xludf.DUMMYFUNCTION("""COMPUTED_VALUE"""),41167.0)</f>
        <v>41167</v>
      </c>
      <c r="H91" s="13">
        <f>IFERROR(__xludf.DUMMYFUNCTION("""COMPUTED_VALUE"""),2.215909668E9)</f>
        <v>2215909668</v>
      </c>
      <c r="I91" s="13">
        <f>IFERROR(__xludf.DUMMYFUNCTION("""COMPUTED_VALUE"""),2.215909668E9)</f>
        <v>2215909668</v>
      </c>
      <c r="J91" s="13" t="str">
        <f>IFERROR(__xludf.DUMMYFUNCTION("""COMPUTED_VALUE"""),"deleosabino@gmail.com")</f>
        <v>deleosabino@gmail.com</v>
      </c>
      <c r="K91" s="13" t="str">
        <f>IFERROR(__xludf.DUMMYFUNCTION("""COMPUTED_VALUE"""),"Femenino")</f>
        <v>Femenino</v>
      </c>
      <c r="L91" s="16" t="str">
        <f>IFERROR(__xludf.DUMMYFUNCTION("""COMPUTED_VALUE"""),"CRLP")</f>
        <v>CRLP</v>
      </c>
      <c r="M91" s="12" t="str">
        <f>IFERROR(__xludf.DUMMYFUNCTION("""COMPUTED_VALUE"""),"Femenino")</f>
        <v>Femenino</v>
      </c>
      <c r="N91" s="13" t="str">
        <f>IFERROR(__xludf.DUMMYFUNCTION("""COMPUTED_VALUE"""),"OPTIMIST TIMONELES")</f>
        <v>OPTIMIST TIMONELES</v>
      </c>
      <c r="O91" s="13"/>
      <c r="P91" s="13">
        <f>IFERROR(__xludf.DUMMYFUNCTION("""COMPUTED_VALUE"""),4160.0)</f>
        <v>4160</v>
      </c>
      <c r="Q91" s="13"/>
      <c r="R91" s="50"/>
      <c r="S91" s="13"/>
      <c r="T91" s="13"/>
      <c r="U91" s="13"/>
      <c r="V91" s="12"/>
      <c r="W91" s="12"/>
      <c r="X91" s="17" t="str">
        <f>IFERROR(__xludf.DUMMYFUNCTION("""COMPUTED_VALUE"""),"IOMA")</f>
        <v>IOMA</v>
      </c>
      <c r="Y91" s="13" t="str">
        <f>IFERROR(__xludf.DUMMYFUNCTION("""COMPUTED_VALUE"""),"Si")</f>
        <v>Si</v>
      </c>
      <c r="Z91" s="13" t="str">
        <f>IFERROR(__xludf.DUMMYFUNCTION("""COMPUTED_VALUE"""),"Acepto")</f>
        <v>Acepto</v>
      </c>
      <c r="AA91" s="25" t="str">
        <f>IFERROR(__xludf.DUMMYFUNCTION("""COMPUTED_VALUE"""),"Terminado")</f>
        <v>Terminado</v>
      </c>
      <c r="AB91" s="25">
        <f>IFERROR(__xludf.DUMMYFUNCTION("""COMPUTED_VALUE"""),60000.0)</f>
        <v>60000</v>
      </c>
      <c r="AC91" s="49">
        <f>IFERROR(__xludf.DUMMYFUNCTION("""COMPUTED_VALUE"""),205057.0)</f>
        <v>205057</v>
      </c>
      <c r="AD91" s="7" t="str">
        <f>IFERROR(__xludf.DUMMYFUNCTION("""COMPUTED_VALUE"""),"TRF 27-08")</f>
        <v>TRF 27-08</v>
      </c>
      <c r="AE91" s="7" t="str">
        <f>IFERROR(__xludf.DUMMYFUNCTION("""COMPUTED_VALUE"""),"OK")</f>
        <v>OK</v>
      </c>
      <c r="AF91" s="13"/>
      <c r="AG91" s="16"/>
    </row>
    <row r="92">
      <c r="A92" s="19">
        <f>IFERROR(__xludf.DUMMYFUNCTION("""COMPUTED_VALUE"""),45534.67229256945)</f>
        <v>45534.67229</v>
      </c>
      <c r="B92" s="20" t="str">
        <f>IFERROR(__xludf.DUMMYFUNCTION("""COMPUTED_VALUE"""),"Gerardo ")</f>
        <v>Gerardo </v>
      </c>
      <c r="C92" s="20" t="str">
        <f>IFERROR(__xludf.DUMMYFUNCTION("""COMPUTED_VALUE"""),"Della torre ")</f>
        <v>Della torre </v>
      </c>
      <c r="D92" s="20" t="str">
        <f>IFERROR(__xludf.DUMMYFUNCTION("""COMPUTED_VALUE"""),"Caba")</f>
        <v>Caba</v>
      </c>
      <c r="E92" s="21" t="str">
        <f>IFERROR(__xludf.DUMMYFUNCTION("""COMPUTED_VALUE"""),"ARG")</f>
        <v>ARG</v>
      </c>
      <c r="F92" s="21">
        <f>IFERROR(__xludf.DUMMYFUNCTION("""COMPUTED_VALUE"""),1.761721E7)</f>
        <v>17617210</v>
      </c>
      <c r="G92" s="22">
        <f>IFERROR(__xludf.DUMMYFUNCTION("""COMPUTED_VALUE"""),24044.0)</f>
        <v>24044</v>
      </c>
      <c r="H92" s="21">
        <f>IFERROR(__xludf.DUMMYFUNCTION("""COMPUTED_VALUE"""),1.557174369E9)</f>
        <v>1557174369</v>
      </c>
      <c r="I92" s="21" t="str">
        <f>IFERROR(__xludf.DUMMYFUNCTION("""COMPUTED_VALUE"""),"1700-1800 ")</f>
        <v>1700-1800 </v>
      </c>
      <c r="J92" s="29" t="str">
        <f>IFERROR(__xludf.DUMMYFUNCTION("""COMPUTED_VALUE"""),"Gddellatorre@hotmail.com")</f>
        <v>Gddellatorre@hotmail.com</v>
      </c>
      <c r="K92" s="21" t="str">
        <f>IFERROR(__xludf.DUMMYFUNCTION("""COMPUTED_VALUE"""),"Masculino")</f>
        <v>Masculino</v>
      </c>
      <c r="L92" s="23" t="str">
        <f>IFERROR(__xludf.DUMMYFUNCTION("""COMPUTED_VALUE"""),"Yco")</f>
        <v>Yco</v>
      </c>
      <c r="M92" s="20" t="str">
        <f>IFERROR(__xludf.DUMMYFUNCTION("""COMPUTED_VALUE"""),"Máster ")</f>
        <v>Máster </v>
      </c>
      <c r="N92" s="21" t="str">
        <f>IFERROR(__xludf.DUMMYFUNCTION("""COMPUTED_VALUE"""),"STAR")</f>
        <v>STAR</v>
      </c>
      <c r="O92" s="21"/>
      <c r="P92" s="21">
        <f>IFERROR(__xludf.DUMMYFUNCTION("""COMPUTED_VALUE"""),7213.0)</f>
        <v>7213</v>
      </c>
      <c r="Q92" s="20" t="str">
        <f>IFERROR(__xludf.DUMMYFUNCTION("""COMPUTED_VALUE"""),"Sexagenario")</f>
        <v>Sexagenario</v>
      </c>
      <c r="R92" s="20" t="str">
        <f>IFERROR(__xludf.DUMMYFUNCTION("""COMPUTED_VALUE"""),"Latour")</f>
        <v>Latour</v>
      </c>
      <c r="S92" s="20"/>
      <c r="T92" s="20"/>
      <c r="U92" s="20"/>
      <c r="V92" s="20"/>
      <c r="W92" s="20"/>
      <c r="X92" s="24"/>
      <c r="Y92" s="21" t="str">
        <f>IFERROR(__xludf.DUMMYFUNCTION("""COMPUTED_VALUE"""),"Si")</f>
        <v>Si</v>
      </c>
      <c r="Z92" s="21" t="str">
        <f>IFERROR(__xludf.DUMMYFUNCTION("""COMPUTED_VALUE"""),"Acepto")</f>
        <v>Acepto</v>
      </c>
      <c r="AA92" s="25" t="str">
        <f>IFERROR(__xludf.DUMMYFUNCTION("""COMPUTED_VALUE"""),"Pendiente")</f>
        <v>Pendiente</v>
      </c>
      <c r="AB92" s="25"/>
      <c r="AC92" s="7"/>
      <c r="AD92" s="7"/>
      <c r="AE92" s="7" t="str">
        <f>IFERROR(__xludf.DUMMYFUNCTION("""COMPUTED_VALUE"""),"No Corresp")</f>
        <v>No Corresp</v>
      </c>
      <c r="AF92" s="21"/>
      <c r="AG92" s="23"/>
    </row>
    <row r="93">
      <c r="A93" s="42">
        <f>IFERROR(__xludf.DUMMYFUNCTION("""COMPUTED_VALUE"""),45537.348006307875)</f>
        <v>45537.34801</v>
      </c>
      <c r="B93" s="43" t="str">
        <f>IFERROR(__xludf.DUMMYFUNCTION("""COMPUTED_VALUE"""),"Abril")</f>
        <v>Abril</v>
      </c>
      <c r="C93" s="43" t="str">
        <f>IFERROR(__xludf.DUMMYFUNCTION("""COMPUTED_VALUE"""),"Della Vecchia")</f>
        <v>Della Vecchia</v>
      </c>
      <c r="D93" s="43" t="str">
        <f>IFERROR(__xludf.DUMMYFUNCTION("""COMPUTED_VALUE"""),"Caseros")</f>
        <v>Caseros</v>
      </c>
      <c r="E93" s="7" t="str">
        <f>IFERROR(__xludf.DUMMYFUNCTION("""COMPUTED_VALUE"""),"ARG")</f>
        <v>ARG</v>
      </c>
      <c r="F93" s="7">
        <f>IFERROR(__xludf.DUMMYFUNCTION("""COMPUTED_VALUE"""),4.9764378E7)</f>
        <v>49764378</v>
      </c>
      <c r="G93" s="44">
        <f>IFERROR(__xludf.DUMMYFUNCTION("""COMPUTED_VALUE"""),40085.0)</f>
        <v>40085</v>
      </c>
      <c r="H93" s="45">
        <f>IFERROR(__xludf.DUMMYFUNCTION("""COMPUTED_VALUE"""),1.56723917E9)</f>
        <v>1567239170</v>
      </c>
      <c r="I93" s="45">
        <f>IFERROR(__xludf.DUMMYFUNCTION("""COMPUTED_VALUE"""),1.56723917E9)</f>
        <v>1567239170</v>
      </c>
      <c r="J93" s="45" t="str">
        <f>IFERROR(__xludf.DUMMYFUNCTION("""COMPUTED_VALUE"""),"danisaolmedo@gmail.com")</f>
        <v>danisaolmedo@gmail.com</v>
      </c>
      <c r="K93" s="45" t="str">
        <f>IFERROR(__xludf.DUMMYFUNCTION("""COMPUTED_VALUE"""),"Femenino")</f>
        <v>Femenino</v>
      </c>
      <c r="L93" s="43" t="str">
        <f>IFERROR(__xludf.DUMMYFUNCTION("""COMPUTED_VALUE"""),"CPNLB")</f>
        <v>CPNLB</v>
      </c>
      <c r="M93" s="45" t="str">
        <f>IFERROR(__xludf.DUMMYFUNCTION("""COMPUTED_VALUE"""),"Femenino")</f>
        <v>Femenino</v>
      </c>
      <c r="N93" s="7" t="str">
        <f>IFERROR(__xludf.DUMMYFUNCTION("""COMPUTED_VALUE"""),"OPTIMIST TIMONELES")</f>
        <v>OPTIMIST TIMONELES</v>
      </c>
      <c r="O93" s="7"/>
      <c r="P93" s="7">
        <f>IFERROR(__xludf.DUMMYFUNCTION("""COMPUTED_VALUE"""),3680.0)</f>
        <v>3680</v>
      </c>
      <c r="Q93" s="45" t="str">
        <f>IFERROR(__xludf.DUMMYFUNCTION("""COMPUTED_VALUE"""),"Ocean")</f>
        <v>Ocean</v>
      </c>
      <c r="R93" s="45"/>
      <c r="S93" s="45"/>
      <c r="T93" s="45"/>
      <c r="U93" s="45"/>
      <c r="V93" s="45"/>
      <c r="W93" s="45"/>
      <c r="X93" s="47">
        <f>IFERROR(__xludf.DUMMYFUNCTION("""COMPUTED_VALUE"""),4.50090929004E11)</f>
        <v>450090929004</v>
      </c>
      <c r="Y93" s="7" t="str">
        <f>IFERROR(__xludf.DUMMYFUNCTION("""COMPUTED_VALUE"""),"Si")</f>
        <v>Si</v>
      </c>
      <c r="Z93" s="7" t="str">
        <f>IFERROR(__xludf.DUMMYFUNCTION("""COMPUTED_VALUE"""),"Acepto")</f>
        <v>Acepto</v>
      </c>
      <c r="AA93" s="48" t="str">
        <f>IFERROR(__xludf.DUMMYFUNCTION("""COMPUTED_VALUE"""),"Terminado")</f>
        <v>Terminado</v>
      </c>
      <c r="AB93" s="48">
        <f>IFERROR(__xludf.DUMMYFUNCTION("""COMPUTED_VALUE"""),50000.0)</f>
        <v>50000</v>
      </c>
      <c r="AC93" s="7">
        <f>IFERROR(__xludf.DUMMYFUNCTION("""COMPUTED_VALUE"""),205394.0)</f>
        <v>205394</v>
      </c>
      <c r="AD93" s="7" t="str">
        <f>IFERROR(__xludf.DUMMYFUNCTION("""COMPUTED_VALUE"""),"TRF 02-09")</f>
        <v>TRF 02-09</v>
      </c>
      <c r="AE93" s="7" t="str">
        <f>IFERROR(__xludf.DUMMYFUNCTION("""COMPUTED_VALUE"""),"OK")</f>
        <v>OK</v>
      </c>
      <c r="AF93" s="7" t="str">
        <f>IFERROR(__xludf.DUMMYFUNCTION("""COMPUTED_VALUE"""),"SI")</f>
        <v>SI</v>
      </c>
      <c r="AG93" s="43"/>
    </row>
    <row r="94">
      <c r="A94" s="42">
        <f>IFERROR(__xludf.DUMMYFUNCTION("""COMPUTED_VALUE"""),45538.41349423611)</f>
        <v>45538.41349</v>
      </c>
      <c r="B94" s="43" t="str">
        <f>IFERROR(__xludf.DUMMYFUNCTION("""COMPUTED_VALUE"""),"Adriana ")</f>
        <v>Adriana </v>
      </c>
      <c r="C94" s="43" t="str">
        <f>IFERROR(__xludf.DUMMYFUNCTION("""COMPUTED_VALUE"""),"Demaestri ")</f>
        <v>Demaestri </v>
      </c>
      <c r="D94" s="43" t="str">
        <f>IFERROR(__xludf.DUMMYFUNCTION("""COMPUTED_VALUE"""),"Bs as ")</f>
        <v>Bs as </v>
      </c>
      <c r="E94" s="7" t="str">
        <f>IFERROR(__xludf.DUMMYFUNCTION("""COMPUTED_VALUE"""),"ARG")</f>
        <v>ARG</v>
      </c>
      <c r="F94" s="7">
        <f>IFERROR(__xludf.DUMMYFUNCTION("""COMPUTED_VALUE"""),2.0383836E7)</f>
        <v>20383836</v>
      </c>
      <c r="G94" s="44">
        <f>IFERROR(__xludf.DUMMYFUNCTION("""COMPUTED_VALUE"""),-668975.0)</f>
        <v>-668975</v>
      </c>
      <c r="H94" s="45">
        <f>IFERROR(__xludf.DUMMYFUNCTION("""COMPUTED_VALUE"""),1.56610209E9)</f>
        <v>1566102090</v>
      </c>
      <c r="I94" s="46"/>
      <c r="J94" s="45" t="str">
        <f>IFERROR(__xludf.DUMMYFUNCTION("""COMPUTED_VALUE"""),"Adriobstdemaestri@gmail.com")</f>
        <v>Adriobstdemaestri@gmail.com</v>
      </c>
      <c r="K94" s="45" t="str">
        <f>IFERROR(__xludf.DUMMYFUNCTION("""COMPUTED_VALUE"""),"Femenino")</f>
        <v>Femenino</v>
      </c>
      <c r="L94" s="43" t="str">
        <f>IFERROR(__xludf.DUMMYFUNCTION("""COMPUTED_VALUE"""),"CNO")</f>
        <v>CNO</v>
      </c>
      <c r="M94" s="45" t="str">
        <f>IFERROR(__xludf.DUMMYFUNCTION("""COMPUTED_VALUE"""),"Femenino, Master (ILCA)")</f>
        <v>Femenino, Master (ILCA)</v>
      </c>
      <c r="N94" s="7" t="str">
        <f>IFERROR(__xludf.DUMMYFUNCTION("""COMPUTED_VALUE"""),"ILCA 6")</f>
        <v>ILCA 6</v>
      </c>
      <c r="O94" s="7"/>
      <c r="P94" s="7">
        <f>IFERROR(__xludf.DUMMYFUNCTION("""COMPUTED_VALUE"""),218280.0)</f>
        <v>218280</v>
      </c>
      <c r="Q94" s="45"/>
      <c r="R94" s="45"/>
      <c r="S94" s="45"/>
      <c r="T94" s="45"/>
      <c r="U94" s="45"/>
      <c r="V94" s="45"/>
      <c r="W94" s="45"/>
      <c r="X94" s="47"/>
      <c r="Y94" s="7" t="str">
        <f>IFERROR(__xludf.DUMMYFUNCTION("""COMPUTED_VALUE"""),"No")</f>
        <v>No</v>
      </c>
      <c r="Z94" s="7" t="str">
        <f>IFERROR(__xludf.DUMMYFUNCTION("""COMPUTED_VALUE"""),"Acepto")</f>
        <v>Acepto</v>
      </c>
      <c r="AA94" s="48" t="str">
        <f>IFERROR(__xludf.DUMMYFUNCTION("""COMPUTED_VALUE"""),"Pendiente")</f>
        <v>Pendiente</v>
      </c>
      <c r="AB94" s="48"/>
      <c r="AC94" s="49"/>
      <c r="AD94" s="49"/>
      <c r="AE94" s="7"/>
      <c r="AF94" s="7"/>
      <c r="AG94" s="43"/>
    </row>
    <row r="95">
      <c r="A95" s="42">
        <f>IFERROR(__xludf.DUMMYFUNCTION("""COMPUTED_VALUE"""),45535.60746813657)</f>
        <v>45535.60747</v>
      </c>
      <c r="B95" s="43" t="str">
        <f>IFERROR(__xludf.DUMMYFUNCTION("""COMPUTED_VALUE"""),"Vicente")</f>
        <v>Vicente</v>
      </c>
      <c r="C95" s="43" t="str">
        <f>IFERROR(__xludf.DUMMYFUNCTION("""COMPUTED_VALUE"""),"Di stefano")</f>
        <v>Di stefano</v>
      </c>
      <c r="D95" s="43" t="str">
        <f>IFERROR(__xludf.DUMMYFUNCTION("""COMPUTED_VALUE"""),"Buenos Aires")</f>
        <v>Buenos Aires</v>
      </c>
      <c r="E95" s="7" t="str">
        <f>IFERROR(__xludf.DUMMYFUNCTION("""COMPUTED_VALUE"""),"ARG")</f>
        <v>ARG</v>
      </c>
      <c r="F95" s="7">
        <f>IFERROR(__xludf.DUMMYFUNCTION("""COMPUTED_VALUE"""),4.8044836E7)</f>
        <v>48044836</v>
      </c>
      <c r="G95" s="44">
        <f>IFERROR(__xludf.DUMMYFUNCTION("""COMPUTED_VALUE"""),39305.0)</f>
        <v>39305</v>
      </c>
      <c r="H95" s="45">
        <f>IFERROR(__xludf.DUMMYFUNCTION("""COMPUTED_VALUE"""),1.130355629E9)</f>
        <v>1130355629</v>
      </c>
      <c r="I95" s="46">
        <f>IFERROR(__xludf.DUMMYFUNCTION("""COMPUTED_VALUE"""),1.125588407E9)</f>
        <v>1125588407</v>
      </c>
      <c r="J95" s="45" t="str">
        <f>IFERROR(__xludf.DUMMYFUNCTION("""COMPUTED_VALUE"""),"Fueguelvicente@gmail.com")</f>
        <v>Fueguelvicente@gmail.com</v>
      </c>
      <c r="K95" s="45" t="str">
        <f>IFERROR(__xludf.DUMMYFUNCTION("""COMPUTED_VALUE"""),"Masculino")</f>
        <v>Masculino</v>
      </c>
      <c r="L95" s="43" t="str">
        <f>IFERROR(__xludf.DUMMYFUNCTION("""COMPUTED_VALUE"""),"YCCN")</f>
        <v>YCCN</v>
      </c>
      <c r="M95" s="45" t="str">
        <f>IFERROR(__xludf.DUMMYFUNCTION("""COMPUTED_VALUE"""),"Cadet")</f>
        <v>Cadet</v>
      </c>
      <c r="N95" s="7" t="str">
        <f>IFERROR(__xludf.DUMMYFUNCTION("""COMPUTED_VALUE"""),"CADET")</f>
        <v>CADET</v>
      </c>
      <c r="O95" s="7"/>
      <c r="P95" s="7">
        <f>IFERROR(__xludf.DUMMYFUNCTION("""COMPUTED_VALUE"""),9473.0)</f>
        <v>9473</v>
      </c>
      <c r="Q95" s="45" t="str">
        <f>IFERROR(__xludf.DUMMYFUNCTION("""COMPUTED_VALUE"""),"El millonario")</f>
        <v>El millonario</v>
      </c>
      <c r="R95" s="45" t="str">
        <f>IFERROR(__xludf.DUMMYFUNCTION("""COMPUTED_VALUE"""),"Libertad Nandin")</f>
        <v>Libertad Nandin</v>
      </c>
      <c r="S95" s="45"/>
      <c r="T95" s="45"/>
      <c r="U95" s="45"/>
      <c r="V95" s="45"/>
      <c r="W95" s="45"/>
      <c r="X95" s="47" t="str">
        <f>IFERROR(__xludf.DUMMYFUNCTION("""COMPUTED_VALUE"""),"Osde 62 984177 1 02")</f>
        <v>Osde 62 984177 1 02</v>
      </c>
      <c r="Y95" s="7" t="str">
        <f>IFERROR(__xludf.DUMMYFUNCTION("""COMPUTED_VALUE"""),"No")</f>
        <v>No</v>
      </c>
      <c r="Z95" s="7" t="str">
        <f>IFERROR(__xludf.DUMMYFUNCTION("""COMPUTED_VALUE"""),"Acepto")</f>
        <v>Acepto</v>
      </c>
      <c r="AA95" s="48" t="str">
        <f>IFERROR(__xludf.DUMMYFUNCTION("""COMPUTED_VALUE"""),"Terminado")</f>
        <v>Terminado</v>
      </c>
      <c r="AB95" s="48">
        <f>IFERROR(__xludf.DUMMYFUNCTION("""COMPUTED_VALUE"""),55000.0)</f>
        <v>55000</v>
      </c>
      <c r="AC95" s="7">
        <f>IFERROR(__xludf.DUMMYFUNCTION("""COMPUTED_VALUE"""),205695.0)</f>
        <v>205695</v>
      </c>
      <c r="AD95" s="7" t="str">
        <f>IFERROR(__xludf.DUMMYFUNCTION("""COMPUTED_VALUE"""),"TRF 11-09")</f>
        <v>TRF 11-09</v>
      </c>
      <c r="AE95" s="7" t="str">
        <f>IFERROR(__xludf.DUMMYFUNCTION("""COMPUTED_VALUE"""),"OK")</f>
        <v>OK</v>
      </c>
      <c r="AF95" s="7"/>
      <c r="AG95" s="43"/>
    </row>
    <row r="96">
      <c r="A96" s="42">
        <f>IFERROR(__xludf.DUMMYFUNCTION("""COMPUTED_VALUE"""),45536.759121574076)</f>
        <v>45536.75912</v>
      </c>
      <c r="B96" s="43" t="str">
        <f>IFERROR(__xludf.DUMMYFUNCTION("""COMPUTED_VALUE"""),"Faustina")</f>
        <v>Faustina</v>
      </c>
      <c r="C96" s="43" t="str">
        <f>IFERROR(__xludf.DUMMYFUNCTION("""COMPUTED_VALUE"""),"Dianda")</f>
        <v>Dianda</v>
      </c>
      <c r="D96" s="43" t="str">
        <f>IFERROR(__xludf.DUMMYFUNCTION("""COMPUTED_VALUE"""),"bs as")</f>
        <v>bs as</v>
      </c>
      <c r="E96" s="7" t="str">
        <f>IFERROR(__xludf.DUMMYFUNCTION("""COMPUTED_VALUE"""),"ARG")</f>
        <v>ARG</v>
      </c>
      <c r="F96" s="7">
        <f>IFERROR(__xludf.DUMMYFUNCTION("""COMPUTED_VALUE"""),5.0324563E7)</f>
        <v>50324563</v>
      </c>
      <c r="G96" s="44">
        <f>IFERROR(__xludf.DUMMYFUNCTION("""COMPUTED_VALUE"""),40329.0)</f>
        <v>40329</v>
      </c>
      <c r="H96" s="45" t="str">
        <f>IFERROR(__xludf.DUMMYFUNCTION("""COMPUTED_VALUE"""),"54 911 3407-7629")</f>
        <v>54 911 3407-7629</v>
      </c>
      <c r="I96" s="46" t="str">
        <f>IFERROR(__xludf.DUMMYFUNCTION("""COMPUTED_VALUE"""),"54 911 55 65-1028")</f>
        <v>54 911 55 65-1028</v>
      </c>
      <c r="J96" s="45" t="str">
        <f>IFERROR(__xludf.DUMMYFUNCTION("""COMPUTED_VALUE"""),"tdianda@rems.com.ar")</f>
        <v>tdianda@rems.com.ar</v>
      </c>
      <c r="K96" s="45" t="str">
        <f>IFERROR(__xludf.DUMMYFUNCTION("""COMPUTED_VALUE"""),"Femenino")</f>
        <v>Femenino</v>
      </c>
      <c r="L96" s="43" t="str">
        <f>IFERROR(__xludf.DUMMYFUNCTION("""COMPUTED_VALUE"""),"CGLNM")</f>
        <v>CGLNM</v>
      </c>
      <c r="M96" s="45" t="str">
        <f>IFERROR(__xludf.DUMMYFUNCTION("""COMPUTED_VALUE"""),"Interior (Optimist)")</f>
        <v>Interior (Optimist)</v>
      </c>
      <c r="N96" s="7" t="str">
        <f>IFERROR(__xludf.DUMMYFUNCTION("""COMPUTED_VALUE"""),"OPTIMIST TIMONELES")</f>
        <v>OPTIMIST TIMONELES</v>
      </c>
      <c r="O96" s="7"/>
      <c r="P96" s="7">
        <f>IFERROR(__xludf.DUMMYFUNCTION("""COMPUTED_VALUE"""),4114.0)</f>
        <v>4114</v>
      </c>
      <c r="Q96" s="45" t="str">
        <f>IFERROR(__xludf.DUMMYFUNCTION("""COMPUTED_VALUE"""),"no tienen")</f>
        <v>no tienen</v>
      </c>
      <c r="R96" s="45"/>
      <c r="S96" s="45"/>
      <c r="T96" s="45"/>
      <c r="U96" s="45"/>
      <c r="V96" s="45"/>
      <c r="W96" s="45"/>
      <c r="X96" s="47" t="str">
        <f>IFERROR(__xludf.DUMMYFUNCTION("""COMPUTED_VALUE"""),"Poder Judicial - Plan Unico - Nro Afiliado 41641/31 ")</f>
        <v>Poder Judicial - Plan Unico - Nro Afiliado 41641/31 </v>
      </c>
      <c r="Y96" s="7" t="str">
        <f>IFERROR(__xludf.DUMMYFUNCTION("""COMPUTED_VALUE"""),"Si")</f>
        <v>Si</v>
      </c>
      <c r="Z96" s="7" t="str">
        <f>IFERROR(__xludf.DUMMYFUNCTION("""COMPUTED_VALUE"""),"Acepto")</f>
        <v>Acepto</v>
      </c>
      <c r="AA96" s="48" t="str">
        <f>IFERROR(__xludf.DUMMYFUNCTION("""COMPUTED_VALUE"""),"Terminado")</f>
        <v>Terminado</v>
      </c>
      <c r="AB96" s="48">
        <f>IFERROR(__xludf.DUMMYFUNCTION("""COMPUTED_VALUE"""),50000.0)</f>
        <v>50000</v>
      </c>
      <c r="AC96" s="7">
        <f>IFERROR(__xludf.DUMMYFUNCTION("""COMPUTED_VALUE"""),205390.0)</f>
        <v>205390</v>
      </c>
      <c r="AD96" s="7" t="str">
        <f>IFERROR(__xludf.DUMMYFUNCTION("""COMPUTED_VALUE"""),"TRF 02-09")</f>
        <v>TRF 02-09</v>
      </c>
      <c r="AE96" s="7" t="str">
        <f>IFERROR(__xludf.DUMMYFUNCTION("""COMPUTED_VALUE"""),"OK")</f>
        <v>OK</v>
      </c>
      <c r="AF96" s="7"/>
      <c r="AG96" s="43"/>
    </row>
    <row r="97">
      <c r="A97" s="42">
        <f>IFERROR(__xludf.DUMMYFUNCTION("""COMPUTED_VALUE"""),45538.47564040509)</f>
        <v>45538.47564</v>
      </c>
      <c r="B97" s="43" t="str">
        <f>IFERROR(__xludf.DUMMYFUNCTION("""COMPUTED_VALUE"""),"Braian")</f>
        <v>Braian</v>
      </c>
      <c r="C97" s="43" t="str">
        <f>IFERROR(__xludf.DUMMYFUNCTION("""COMPUTED_VALUE"""),"Diaz Basualdo")</f>
        <v>Diaz Basualdo</v>
      </c>
      <c r="D97" s="43" t="str">
        <f>IFERROR(__xludf.DUMMYFUNCTION("""COMPUTED_VALUE"""),"San Fernando")</f>
        <v>San Fernando</v>
      </c>
      <c r="E97" s="7" t="str">
        <f>IFERROR(__xludf.DUMMYFUNCTION("""COMPUTED_VALUE"""),"ARG")</f>
        <v>ARG</v>
      </c>
      <c r="F97" s="7">
        <f>IFERROR(__xludf.DUMMYFUNCTION("""COMPUTED_VALUE"""),5.2619617E7)</f>
        <v>52619617</v>
      </c>
      <c r="G97" s="44">
        <f>IFERROR(__xludf.DUMMYFUNCTION("""COMPUTED_VALUE"""),41038.0)</f>
        <v>41038</v>
      </c>
      <c r="H97" s="45" t="str">
        <f>IFERROR(__xludf.DUMMYFUNCTION("""COMPUTED_VALUE"""),"+54 9 11 3394-3846")</f>
        <v>+54 9 11 3394-3846</v>
      </c>
      <c r="I97" s="45"/>
      <c r="J97" s="45" t="str">
        <f>IFERROR(__xludf.DUMMYFUNCTION("""COMPUTED_VALUE"""),"ignacio.varisco@gmail.com")</f>
        <v>ignacio.varisco@gmail.com</v>
      </c>
      <c r="K97" s="45" t="str">
        <f>IFERROR(__xludf.DUMMYFUNCTION("""COMPUTED_VALUE"""),"Masculino")</f>
        <v>Masculino</v>
      </c>
      <c r="L97" s="43" t="str">
        <f>IFERROR(__xludf.DUMMYFUNCTION("""COMPUTED_VALUE"""),"CPNLB- CBRIO")</f>
        <v>CPNLB- CBRIO</v>
      </c>
      <c r="M97" s="45"/>
      <c r="N97" s="7" t="str">
        <f>IFERROR(__xludf.DUMMYFUNCTION("""COMPUTED_VALUE"""),"OPTIMIST TIMONELES")</f>
        <v>OPTIMIST TIMONELES</v>
      </c>
      <c r="O97" s="7"/>
      <c r="P97" s="7" t="str">
        <f>IFERROR(__xludf.DUMMYFUNCTION("""COMPUTED_VALUE"""),"ARG 384")</f>
        <v>ARG 384</v>
      </c>
      <c r="Q97" s="45"/>
      <c r="R97" s="45"/>
      <c r="S97" s="45"/>
      <c r="T97" s="45"/>
      <c r="U97" s="45"/>
      <c r="V97" s="45"/>
      <c r="W97" s="45"/>
      <c r="X97" s="47"/>
      <c r="Y97" s="7" t="str">
        <f>IFERROR(__xludf.DUMMYFUNCTION("""COMPUTED_VALUE"""),"Si")</f>
        <v>Si</v>
      </c>
      <c r="Z97" s="7" t="str">
        <f>IFERROR(__xludf.DUMMYFUNCTION("""COMPUTED_VALUE"""),"Acepto")</f>
        <v>Acepto</v>
      </c>
      <c r="AA97" s="48" t="str">
        <f>IFERROR(__xludf.DUMMYFUNCTION("""COMPUTED_VALUE"""),"Pendiente")</f>
        <v>Pendiente</v>
      </c>
      <c r="AB97" s="48"/>
      <c r="AC97" s="7"/>
      <c r="AD97" s="7"/>
      <c r="AE97" s="7" t="str">
        <f>IFERROR(__xludf.DUMMYFUNCTION("""COMPUTED_VALUE"""),"OK")</f>
        <v>OK</v>
      </c>
      <c r="AF97" s="21" t="str">
        <f>IFERROR(__xludf.DUMMYFUNCTION("""COMPUTED_VALUE"""),"SI")</f>
        <v>SI</v>
      </c>
      <c r="AG97" s="23"/>
    </row>
    <row r="98">
      <c r="A98" s="19">
        <f>IFERROR(__xludf.DUMMYFUNCTION("""COMPUTED_VALUE"""),45538.47978521991)</f>
        <v>45538.47979</v>
      </c>
      <c r="B98" s="20" t="str">
        <f>IFERROR(__xludf.DUMMYFUNCTION("""COMPUTED_VALUE"""),"Bastian")</f>
        <v>Bastian</v>
      </c>
      <c r="C98" s="20" t="str">
        <f>IFERROR(__xludf.DUMMYFUNCTION("""COMPUTED_VALUE"""),"Distefani")</f>
        <v>Distefani</v>
      </c>
      <c r="D98" s="20" t="str">
        <f>IFERROR(__xludf.DUMMYFUNCTION("""COMPUTED_VALUE"""),"San Isidro")</f>
        <v>San Isidro</v>
      </c>
      <c r="E98" s="21" t="str">
        <f>IFERROR(__xludf.DUMMYFUNCTION("""COMPUTED_VALUE"""),"ARG")</f>
        <v>ARG</v>
      </c>
      <c r="F98" s="21">
        <f>IFERROR(__xludf.DUMMYFUNCTION("""COMPUTED_VALUE"""),5.3820941E7)</f>
        <v>53820941</v>
      </c>
      <c r="G98" s="38">
        <f>IFERROR(__xludf.DUMMYFUNCTION("""COMPUTED_VALUE"""),41668.0)</f>
        <v>41668</v>
      </c>
      <c r="H98" s="20" t="str">
        <f>IFERROR(__xludf.DUMMYFUNCTION("""COMPUTED_VALUE"""),"+54 9 11 3394-3846")</f>
        <v>+54 9 11 3394-3846</v>
      </c>
      <c r="I98" s="20"/>
      <c r="J98" s="20" t="str">
        <f>IFERROR(__xludf.DUMMYFUNCTION("""COMPUTED_VALUE"""),"ignacio.varisco@gmail.com")</f>
        <v>ignacio.varisco@gmail.com</v>
      </c>
      <c r="K98" s="20" t="str">
        <f>IFERROR(__xludf.DUMMYFUNCTION("""COMPUTED_VALUE"""),"Masculino")</f>
        <v>Masculino</v>
      </c>
      <c r="L98" s="23" t="str">
        <f>IFERROR(__xludf.DUMMYFUNCTION("""COMPUTED_VALUE"""),"CPNLB- CBRIO")</f>
        <v>CPNLB- CBRIO</v>
      </c>
      <c r="M98" s="20"/>
      <c r="N98" s="21" t="str">
        <f>IFERROR(__xludf.DUMMYFUNCTION("""COMPUTED_VALUE"""),"OPTIMIST PRINCIPIANTES")</f>
        <v>OPTIMIST PRINCIPIANTES</v>
      </c>
      <c r="O98" s="21"/>
      <c r="P98" s="21" t="str">
        <f>IFERROR(__xludf.DUMMYFUNCTION("""COMPUTED_VALUE"""),"USA 12804")</f>
        <v>USA 12804</v>
      </c>
      <c r="Q98" s="20" t="str">
        <f>IFERROR(__xludf.DUMMYFUNCTION("""COMPUTED_VALUE"""),"Ninja")</f>
        <v>Ninja</v>
      </c>
      <c r="R98" s="20"/>
      <c r="S98" s="20"/>
      <c r="T98" s="20"/>
      <c r="U98" s="20"/>
      <c r="V98" s="20"/>
      <c r="W98" s="20"/>
      <c r="X98" s="24"/>
      <c r="Y98" s="21" t="str">
        <f>IFERROR(__xludf.DUMMYFUNCTION("""COMPUTED_VALUE"""),"Si")</f>
        <v>Si</v>
      </c>
      <c r="Z98" s="21" t="str">
        <f>IFERROR(__xludf.DUMMYFUNCTION("""COMPUTED_VALUE"""),"Acepto")</f>
        <v>Acepto</v>
      </c>
      <c r="AA98" s="18" t="str">
        <f>IFERROR(__xludf.DUMMYFUNCTION("""COMPUTED_VALUE"""),"Terminado")</f>
        <v>Terminado</v>
      </c>
      <c r="AB98" s="18"/>
      <c r="AC98" s="7"/>
      <c r="AD98" s="7" t="str">
        <f>IFERROR(__xludf.DUMMYFUNCTION("""COMPUTED_VALUE"""),"Beca CBrrio")</f>
        <v>Beca CBrrio</v>
      </c>
      <c r="AE98" s="7" t="str">
        <f>IFERROR(__xludf.DUMMYFUNCTION("""COMPUTED_VALUE"""),"OK")</f>
        <v>OK</v>
      </c>
      <c r="AF98" s="21" t="str">
        <f>IFERROR(__xludf.DUMMYFUNCTION("""COMPUTED_VALUE"""),"SI")</f>
        <v>SI</v>
      </c>
      <c r="AG98" s="23"/>
    </row>
    <row r="99">
      <c r="A99" s="19">
        <f>IFERROR(__xludf.DUMMYFUNCTION("""COMPUTED_VALUE"""),45535.253257268516)</f>
        <v>45535.25326</v>
      </c>
      <c r="B99" s="20" t="str">
        <f>IFERROR(__xludf.DUMMYFUNCTION("""COMPUTED_VALUE"""),"Luca")</f>
        <v>Luca</v>
      </c>
      <c r="C99" s="20" t="str">
        <f>IFERROR(__xludf.DUMMYFUNCTION("""COMPUTED_VALUE"""),"Donato")</f>
        <v>Donato</v>
      </c>
      <c r="D99" s="20" t="str">
        <f>IFERROR(__xludf.DUMMYFUNCTION("""COMPUTED_VALUE"""),"La Plata")</f>
        <v>La Plata</v>
      </c>
      <c r="E99" s="21" t="str">
        <f>IFERROR(__xludf.DUMMYFUNCTION("""COMPUTED_VALUE"""),"ARG")</f>
        <v>ARG</v>
      </c>
      <c r="F99" s="21">
        <f>IFERROR(__xludf.DUMMYFUNCTION("""COMPUTED_VALUE"""),4.9802533E7)</f>
        <v>49802533</v>
      </c>
      <c r="G99" s="38">
        <f>IFERROR(__xludf.DUMMYFUNCTION("""COMPUTED_VALUE"""),40065.0)</f>
        <v>40065</v>
      </c>
      <c r="H99" s="39">
        <f>IFERROR(__xludf.DUMMYFUNCTION("""COMPUTED_VALUE"""),2.214193683E9)</f>
        <v>2214193683</v>
      </c>
      <c r="I99" s="20"/>
      <c r="J99" s="20" t="str">
        <f>IFERROR(__xludf.DUMMYFUNCTION("""COMPUTED_VALUE"""),"mdonato@fcnym.unlp.edu.ar")</f>
        <v>mdonato@fcnym.unlp.edu.ar</v>
      </c>
      <c r="K99" s="20" t="str">
        <f>IFERROR(__xludf.DUMMYFUNCTION("""COMPUTED_VALUE"""),"Masculino")</f>
        <v>Masculino</v>
      </c>
      <c r="L99" s="23" t="str">
        <f>IFERROR(__xludf.DUMMYFUNCTION("""COMPUTED_VALUE"""),"CRLP")</f>
        <v>CRLP</v>
      </c>
      <c r="M99" s="20"/>
      <c r="N99" s="21" t="str">
        <f>IFERROR(__xludf.DUMMYFUNCTION("""COMPUTED_VALUE"""),"OPTIMIST TIMONELES")</f>
        <v>OPTIMIST TIMONELES</v>
      </c>
      <c r="O99" s="21"/>
      <c r="P99" s="21">
        <f>IFERROR(__xludf.DUMMYFUNCTION("""COMPUTED_VALUE"""),3061.0)</f>
        <v>3061</v>
      </c>
      <c r="Q99" s="20" t="str">
        <f>IFERROR(__xludf.DUMMYFUNCTION("""COMPUTED_VALUE"""),"Deja Vu")</f>
        <v>Deja Vu</v>
      </c>
      <c r="R99" s="20"/>
      <c r="S99" s="20"/>
      <c r="T99" s="20"/>
      <c r="U99" s="20"/>
      <c r="V99" s="20"/>
      <c r="W99" s="20"/>
      <c r="X99" s="24" t="str">
        <f>IFERROR(__xludf.DUMMYFUNCTION("""COMPUTED_VALUE"""),"OSDE/61500367104")</f>
        <v>OSDE/61500367104</v>
      </c>
      <c r="Y99" s="21" t="str">
        <f>IFERROR(__xludf.DUMMYFUNCTION("""COMPUTED_VALUE"""),"Si")</f>
        <v>Si</v>
      </c>
      <c r="Z99" s="21" t="str">
        <f>IFERROR(__xludf.DUMMYFUNCTION("""COMPUTED_VALUE"""),"Acepto")</f>
        <v>Acepto</v>
      </c>
      <c r="AA99" s="18" t="str">
        <f>IFERROR(__xludf.DUMMYFUNCTION("""COMPUTED_VALUE"""),"Terminado")</f>
        <v>Terminado</v>
      </c>
      <c r="AB99" s="18">
        <f>IFERROR(__xludf.DUMMYFUNCTION("""COMPUTED_VALUE"""),50000.0)</f>
        <v>50000</v>
      </c>
      <c r="AC99" s="7">
        <f>IFERROR(__xludf.DUMMYFUNCTION("""COMPUTED_VALUE"""),205141.0)</f>
        <v>205141</v>
      </c>
      <c r="AD99" s="7" t="str">
        <f>IFERROR(__xludf.DUMMYFUNCTION("""COMPUTED_VALUE"""),"TRF 31-08")</f>
        <v>TRF 31-08</v>
      </c>
      <c r="AE99" s="7" t="str">
        <f>IFERROR(__xludf.DUMMYFUNCTION("""COMPUTED_VALUE"""),"OK")</f>
        <v>OK</v>
      </c>
      <c r="AF99" s="21"/>
      <c r="AG99" s="23"/>
    </row>
    <row r="100">
      <c r="A100" s="19">
        <f>IFERROR(__xludf.DUMMYFUNCTION("""COMPUTED_VALUE"""),45535.56714788194)</f>
        <v>45535.56715</v>
      </c>
      <c r="B100" s="20" t="str">
        <f>IFERROR(__xludf.DUMMYFUNCTION("""COMPUTED_VALUE"""),"Janko")</f>
        <v>Janko</v>
      </c>
      <c r="C100" s="20" t="str">
        <f>IFERROR(__xludf.DUMMYFUNCTION("""COMPUTED_VALUE"""),"DONOFRIO FREYTES")</f>
        <v>DONOFRIO FREYTES</v>
      </c>
      <c r="D100" s="20" t="str">
        <f>IFERROR(__xludf.DUMMYFUNCTION("""COMPUTED_VALUE"""),"CABA")</f>
        <v>CABA</v>
      </c>
      <c r="E100" s="21" t="str">
        <f>IFERROR(__xludf.DUMMYFUNCTION("""COMPUTED_VALUE"""),"ARG")</f>
        <v>ARG</v>
      </c>
      <c r="F100" s="21">
        <f>IFERROR(__xludf.DUMMYFUNCTION("""COMPUTED_VALUE"""),5.0671157E7)</f>
        <v>50671157</v>
      </c>
      <c r="G100" s="22">
        <f>IFERROR(__xludf.DUMMYFUNCTION("""COMPUTED_VALUE"""),40841.0)</f>
        <v>40841</v>
      </c>
      <c r="H100" s="21">
        <f>IFERROR(__xludf.DUMMYFUNCTION("""COMPUTED_VALUE"""),1.536571538E9)</f>
        <v>1536571538</v>
      </c>
      <c r="I100" s="21">
        <f>IFERROR(__xludf.DUMMYFUNCTION("""COMPUTED_VALUE"""),1.540654972E9)</f>
        <v>1540654972</v>
      </c>
      <c r="J100" s="21" t="str">
        <f>IFERROR(__xludf.DUMMYFUNCTION("""COMPUTED_VALUE"""),"adonofr@gmail.com")</f>
        <v>adonofr@gmail.com</v>
      </c>
      <c r="K100" s="21" t="str">
        <f>IFERROR(__xludf.DUMMYFUNCTION("""COMPUTED_VALUE"""),"Masculino")</f>
        <v>Masculino</v>
      </c>
      <c r="L100" s="23" t="str">
        <f>IFERROR(__xludf.DUMMYFUNCTION("""COMPUTED_VALUE"""),"YCCN")</f>
        <v>YCCN</v>
      </c>
      <c r="M100" s="20" t="str">
        <f>IFERROR(__xludf.DUMMYFUNCTION("""COMPUTED_VALUE"""),"Interior (Optimist)")</f>
        <v>Interior (Optimist)</v>
      </c>
      <c r="N100" s="21" t="str">
        <f>IFERROR(__xludf.DUMMYFUNCTION("""COMPUTED_VALUE"""),"OPTIMIST TIMONELES")</f>
        <v>OPTIMIST TIMONELES</v>
      </c>
      <c r="O100" s="21"/>
      <c r="P100" s="21">
        <f>IFERROR(__xludf.DUMMYFUNCTION("""COMPUTED_VALUE"""),3876.0)</f>
        <v>3876</v>
      </c>
      <c r="Q100" s="20"/>
      <c r="R100" s="20"/>
      <c r="S100" s="20"/>
      <c r="T100" s="20"/>
      <c r="U100" s="20"/>
      <c r="V100" s="20"/>
      <c r="W100" s="20"/>
      <c r="X100" s="24"/>
      <c r="Y100" s="21" t="str">
        <f>IFERROR(__xludf.DUMMYFUNCTION("""COMPUTED_VALUE"""),"No")</f>
        <v>No</v>
      </c>
      <c r="Z100" s="21" t="str">
        <f>IFERROR(__xludf.DUMMYFUNCTION("""COMPUTED_VALUE"""),"Acepto")</f>
        <v>Acepto</v>
      </c>
      <c r="AA100" s="25" t="str">
        <f>IFERROR(__xludf.DUMMYFUNCTION("""COMPUTED_VALUE"""),"Terminado")</f>
        <v>Terminado</v>
      </c>
      <c r="AB100" s="25">
        <f>IFERROR(__xludf.DUMMYFUNCTION("""COMPUTED_VALUE"""),60000.0)</f>
        <v>60000</v>
      </c>
      <c r="AC100" s="7">
        <f>IFERROR(__xludf.DUMMYFUNCTION("""COMPUTED_VALUE"""),205156.0)</f>
        <v>205156</v>
      </c>
      <c r="AD100" s="7" t="str">
        <f>IFERROR(__xludf.DUMMYFUNCTION("""COMPUTED_VALUE"""),"TRF 31-08")</f>
        <v>TRF 31-08</v>
      </c>
      <c r="AE100" s="7" t="str">
        <f>IFERROR(__xludf.DUMMYFUNCTION("""COMPUTED_VALUE"""),"Pendiente")</f>
        <v>Pendiente</v>
      </c>
      <c r="AF100" s="21"/>
      <c r="AG100" s="23"/>
    </row>
    <row r="101">
      <c r="A101" s="36">
        <f>IFERROR(__xludf.DUMMYFUNCTION("""COMPUTED_VALUE"""),45538.41949064815)</f>
        <v>45538.41949</v>
      </c>
      <c r="B101" s="20" t="str">
        <f>IFERROR(__xludf.DUMMYFUNCTION("""COMPUTED_VALUE"""),"Felix")</f>
        <v>Felix</v>
      </c>
      <c r="C101" s="20" t="str">
        <f>IFERROR(__xludf.DUMMYFUNCTION("""COMPUTED_VALUE"""),"Doval")</f>
        <v>Doval</v>
      </c>
      <c r="D101" s="20" t="str">
        <f>IFERROR(__xludf.DUMMYFUNCTION("""COMPUTED_VALUE"""),"San Isidro")</f>
        <v>San Isidro</v>
      </c>
      <c r="E101" s="21" t="str">
        <f>IFERROR(__xludf.DUMMYFUNCTION("""COMPUTED_VALUE"""),"ARG")</f>
        <v>ARG</v>
      </c>
      <c r="F101" s="21">
        <f>IFERROR(__xludf.DUMMYFUNCTION("""COMPUTED_VALUE"""),5.3454414E7)</f>
        <v>53454414</v>
      </c>
      <c r="G101" s="22">
        <f>IFERROR(__xludf.DUMMYFUNCTION("""COMPUTED_VALUE"""),41515.0)</f>
        <v>41515</v>
      </c>
      <c r="H101" s="21">
        <f>IFERROR(__xludf.DUMMYFUNCTION("""COMPUTED_VALUE"""),1.150022001E9)</f>
        <v>1150022001</v>
      </c>
      <c r="I101" s="51">
        <f>IFERROR(__xludf.DUMMYFUNCTION("""COMPUTED_VALUE"""),1.150022001E9)</f>
        <v>1150022001</v>
      </c>
      <c r="J101" s="29" t="str">
        <f>IFERROR(__xludf.DUMMYFUNCTION("""COMPUTED_VALUE"""),"Santiago.doval@dovamar.com.ar")</f>
        <v>Santiago.doval@dovamar.com.ar</v>
      </c>
      <c r="K101" s="21" t="str">
        <f>IFERROR(__xludf.DUMMYFUNCTION("""COMPUTED_VALUE"""),"Masculino")</f>
        <v>Masculino</v>
      </c>
      <c r="L101" s="23" t="str">
        <f>IFERROR(__xludf.DUMMYFUNCTION("""COMPUTED_VALUE"""),"YCA")</f>
        <v>YCA</v>
      </c>
      <c r="M101" s="20" t="str">
        <f>IFERROR(__xludf.DUMMYFUNCTION("""COMPUTED_VALUE"""),"Optimist principiante")</f>
        <v>Optimist principiante</v>
      </c>
      <c r="N101" s="21" t="str">
        <f>IFERROR(__xludf.DUMMYFUNCTION("""COMPUTED_VALUE"""),"OPTIMIST PRINCIPIANTES")</f>
        <v>OPTIMIST PRINCIPIANTES</v>
      </c>
      <c r="O101" s="21"/>
      <c r="P101" s="21" t="str">
        <f>IFERROR(__xludf.DUMMYFUNCTION("""COMPUTED_VALUE"""),"Arg 3677")</f>
        <v>Arg 3677</v>
      </c>
      <c r="Q101" s="20" t="str">
        <f>IFERROR(__xludf.DUMMYFUNCTION("""COMPUTED_VALUE"""),"Lobuno")</f>
        <v>Lobuno</v>
      </c>
      <c r="R101" s="20"/>
      <c r="S101" s="20"/>
      <c r="T101" s="20"/>
      <c r="U101" s="20"/>
      <c r="V101" s="20"/>
      <c r="W101" s="20"/>
      <c r="X101" s="24" t="str">
        <f>IFERROR(__xludf.DUMMYFUNCTION("""COMPUTED_VALUE"""),"Osde / 60875617103")</f>
        <v>Osde / 60875617103</v>
      </c>
      <c r="Y101" s="21" t="str">
        <f>IFERROR(__xludf.DUMMYFUNCTION("""COMPUTED_VALUE"""),"No")</f>
        <v>No</v>
      </c>
      <c r="Z101" s="21" t="str">
        <f>IFERROR(__xludf.DUMMYFUNCTION("""COMPUTED_VALUE"""),"Acepto")</f>
        <v>Acepto</v>
      </c>
      <c r="AA101" s="18" t="str">
        <f>IFERROR(__xludf.DUMMYFUNCTION("""COMPUTED_VALUE"""),"Terminado")</f>
        <v>Terminado</v>
      </c>
      <c r="AB101" s="18">
        <f>IFERROR(__xludf.DUMMYFUNCTION("""COMPUTED_VALUE"""),50000.0)</f>
        <v>50000</v>
      </c>
      <c r="AC101" s="7">
        <f>IFERROR(__xludf.DUMMYFUNCTION("""COMPUTED_VALUE"""),205408.0)</f>
        <v>205408</v>
      </c>
      <c r="AD101" s="7" t="str">
        <f>IFERROR(__xludf.DUMMYFUNCTION("""COMPUTED_VALUE"""),"TRF 03-09")</f>
        <v>TRF 03-09</v>
      </c>
      <c r="AE101" s="7" t="str">
        <f>IFERROR(__xludf.DUMMYFUNCTION("""COMPUTED_VALUE"""),"OK")</f>
        <v>OK</v>
      </c>
      <c r="AF101" s="21"/>
      <c r="AG101" s="23"/>
    </row>
    <row r="102">
      <c r="A102" s="52">
        <f>IFERROR(__xludf.DUMMYFUNCTION("""COMPUTED_VALUE"""),45519.71777422454)</f>
        <v>45519.71777</v>
      </c>
      <c r="B102" s="43" t="str">
        <f>IFERROR(__xludf.DUMMYFUNCTION("""COMPUTED_VALUE"""),"Julian Maria")</f>
        <v>Julian Maria</v>
      </c>
      <c r="C102" s="43" t="str">
        <f>IFERROR(__xludf.DUMMYFUNCTION("""COMPUTED_VALUE"""),"Duarte Argerich")</f>
        <v>Duarte Argerich</v>
      </c>
      <c r="D102" s="43" t="str">
        <f>IFERROR(__xludf.DUMMYFUNCTION("""COMPUTED_VALUE"""),"Buenos Aires")</f>
        <v>Buenos Aires</v>
      </c>
      <c r="E102" s="7" t="str">
        <f>IFERROR(__xludf.DUMMYFUNCTION("""COMPUTED_VALUE"""),"ARG")</f>
        <v>ARG</v>
      </c>
      <c r="F102" s="7">
        <f>IFERROR(__xludf.DUMMYFUNCTION("""COMPUTED_VALUE"""),4.0133927E7)</f>
        <v>40133927</v>
      </c>
      <c r="G102" s="53">
        <f>IFERROR(__xludf.DUMMYFUNCTION("""COMPUTED_VALUE"""),35446.0)</f>
        <v>35446</v>
      </c>
      <c r="H102" s="7">
        <f>IFERROR(__xludf.DUMMYFUNCTION("""COMPUTED_VALUE"""),1.140504328E9)</f>
        <v>1140504328</v>
      </c>
      <c r="I102" s="7"/>
      <c r="J102" s="7" t="str">
        <f>IFERROR(__xludf.DUMMYFUNCTION("""COMPUTED_VALUE"""),"jmdargerich@gmail.com")</f>
        <v>jmdargerich@gmail.com</v>
      </c>
      <c r="K102" s="7" t="str">
        <f>IFERROR(__xludf.DUMMYFUNCTION("""COMPUTED_VALUE"""),"Masculino")</f>
        <v>Masculino</v>
      </c>
      <c r="L102" s="43" t="str">
        <f>IFERROR(__xludf.DUMMYFUNCTION("""COMPUTED_VALUE"""),"CUBA")</f>
        <v>CUBA</v>
      </c>
      <c r="M102" s="43"/>
      <c r="N102" s="7" t="str">
        <f>IFERROR(__xludf.DUMMYFUNCTION("""COMPUTED_VALUE"""),"WING FOIL")</f>
        <v>WING FOIL</v>
      </c>
      <c r="O102" s="7"/>
      <c r="P102" s="7">
        <f>IFERROR(__xludf.DUMMYFUNCTION("""COMPUTED_VALUE"""),21.0)</f>
        <v>21</v>
      </c>
      <c r="Q102" s="7"/>
      <c r="R102" s="55"/>
      <c r="S102" s="7"/>
      <c r="T102" s="7"/>
      <c r="U102" s="7"/>
      <c r="V102" s="45"/>
      <c r="W102" s="45"/>
      <c r="X102" s="47" t="str">
        <f>IFERROR(__xludf.DUMMYFUNCTION("""COMPUTED_VALUE"""),"OSDE ")</f>
        <v>OSDE </v>
      </c>
      <c r="Y102" s="7" t="str">
        <f>IFERROR(__xludf.DUMMYFUNCTION("""COMPUTED_VALUE"""),"No")</f>
        <v>No</v>
      </c>
      <c r="Z102" s="7" t="str">
        <f>IFERROR(__xludf.DUMMYFUNCTION("""COMPUTED_VALUE"""),"Acepto")</f>
        <v>Acepto</v>
      </c>
      <c r="AA102" s="48" t="str">
        <f>IFERROR(__xludf.DUMMYFUNCTION("""COMPUTED_VALUE"""),"Pendiente")</f>
        <v>Pendiente</v>
      </c>
      <c r="AB102" s="48"/>
      <c r="AC102" s="49"/>
      <c r="AD102" s="7"/>
      <c r="AE102" s="7" t="str">
        <f>IFERROR(__xludf.DUMMYFUNCTION("""COMPUTED_VALUE"""),"No Corresp")</f>
        <v>No Corresp</v>
      </c>
      <c r="AF102" s="7"/>
      <c r="AG102" s="43"/>
    </row>
    <row r="103">
      <c r="A103" s="42">
        <f>IFERROR(__xludf.DUMMYFUNCTION("""COMPUTED_VALUE"""),45535.49440872685)</f>
        <v>45535.49441</v>
      </c>
      <c r="B103" s="43" t="str">
        <f>IFERROR(__xludf.DUMMYFUNCTION("""COMPUTED_VALUE"""),"Tomas ")</f>
        <v>Tomas </v>
      </c>
      <c r="C103" s="43" t="str">
        <f>IFERROR(__xludf.DUMMYFUNCTION("""COMPUTED_VALUE"""),"Elias")</f>
        <v>Elias</v>
      </c>
      <c r="D103" s="43" t="str">
        <f>IFERROR(__xludf.DUMMYFUNCTION("""COMPUTED_VALUE"""),"CABA ")</f>
        <v>CABA </v>
      </c>
      <c r="E103" s="45" t="str">
        <f>IFERROR(__xludf.DUMMYFUNCTION("""COMPUTED_VALUE"""),"ARG")</f>
        <v>ARG</v>
      </c>
      <c r="F103" s="45">
        <f>IFERROR(__xludf.DUMMYFUNCTION("""COMPUTED_VALUE"""),4.7866955E7)</f>
        <v>47866955</v>
      </c>
      <c r="G103" s="44">
        <f>IFERROR(__xludf.DUMMYFUNCTION("""COMPUTED_VALUE"""),39329.0)</f>
        <v>39329</v>
      </c>
      <c r="H103" s="45" t="str">
        <f>IFERROR(__xludf.DUMMYFUNCTION("""COMPUTED_VALUE"""),"‪+54 9 11 4079‑2894‬")</f>
        <v>‪+54 9 11 4079‑2894‬</v>
      </c>
      <c r="I103" s="45">
        <f>IFERROR(__xludf.DUMMYFUNCTION("""COMPUTED_VALUE"""),1.149936115E9)</f>
        <v>1149936115</v>
      </c>
      <c r="J103" s="45" t="str">
        <f>IFERROR(__xludf.DUMMYFUNCTION("""COMPUTED_VALUE"""),"tomaselias@educacioncopello.com.ar")</f>
        <v>tomaselias@educacioncopello.com.ar</v>
      </c>
      <c r="K103" s="45" t="str">
        <f>IFERROR(__xludf.DUMMYFUNCTION("""COMPUTED_VALUE"""),"Masculino")</f>
        <v>Masculino</v>
      </c>
      <c r="L103" s="45" t="str">
        <f>IFERROR(__xludf.DUMMYFUNCTION("""COMPUTED_VALUE"""),"CUBA")</f>
        <v>CUBA</v>
      </c>
      <c r="M103" s="45" t="str">
        <f>IFERROR(__xludf.DUMMYFUNCTION("""COMPUTED_VALUE"""),"Junior")</f>
        <v>Junior</v>
      </c>
      <c r="N103" s="7" t="str">
        <f>IFERROR(__xludf.DUMMYFUNCTION("""COMPUTED_VALUE"""),"ILCA 6")</f>
        <v>ILCA 6</v>
      </c>
      <c r="O103" s="7"/>
      <c r="P103" s="7">
        <f>IFERROR(__xludf.DUMMYFUNCTION("""COMPUTED_VALUE"""),223031.0)</f>
        <v>223031</v>
      </c>
      <c r="Q103" s="45"/>
      <c r="R103" s="45"/>
      <c r="S103" s="45"/>
      <c r="T103" s="45"/>
      <c r="U103" s="45"/>
      <c r="V103" s="45"/>
      <c r="W103" s="45"/>
      <c r="X103" s="47" t="str">
        <f>IFERROR(__xludf.DUMMYFUNCTION("""COMPUTED_VALUE"""),"Hospital Alemán ")</f>
        <v>Hospital Alemán </v>
      </c>
      <c r="Y103" s="7" t="str">
        <f>IFERROR(__xludf.DUMMYFUNCTION("""COMPUTED_VALUE"""),"No")</f>
        <v>No</v>
      </c>
      <c r="Z103" s="45" t="str">
        <f>IFERROR(__xludf.DUMMYFUNCTION("""COMPUTED_VALUE"""),"Acepto")</f>
        <v>Acepto</v>
      </c>
      <c r="AA103" s="45" t="str">
        <f>IFERROR(__xludf.DUMMYFUNCTION("""COMPUTED_VALUE"""),"Terminado")</f>
        <v>Terminado</v>
      </c>
      <c r="AB103" s="45">
        <f>IFERROR(__xludf.DUMMYFUNCTION("""COMPUTED_VALUE"""),45000.0)</f>
        <v>45000</v>
      </c>
      <c r="AC103" s="7">
        <f>IFERROR(__xludf.DUMMYFUNCTION("""COMPUTED_VALUE"""),205481.0)</f>
        <v>205481</v>
      </c>
      <c r="AD103" s="7" t="str">
        <f>IFERROR(__xludf.DUMMYFUNCTION("""COMPUTED_VALUE"""),"TRF 05-09")</f>
        <v>TRF 05-09</v>
      </c>
      <c r="AE103" s="7" t="str">
        <f>IFERROR(__xludf.DUMMYFUNCTION("""COMPUTED_VALUE"""),"OK")</f>
        <v>OK</v>
      </c>
      <c r="AF103" s="7"/>
      <c r="AG103" s="43"/>
    </row>
    <row r="104">
      <c r="A104" s="42">
        <f>IFERROR(__xludf.DUMMYFUNCTION("""COMPUTED_VALUE"""),45539.91855195602)</f>
        <v>45539.91855</v>
      </c>
      <c r="B104" s="43" t="str">
        <f>IFERROR(__xludf.DUMMYFUNCTION("""COMPUTED_VALUE"""),"Gael")</f>
        <v>Gael</v>
      </c>
      <c r="C104" s="43" t="str">
        <f>IFERROR(__xludf.DUMMYFUNCTION("""COMPUTED_VALUE"""),"Elkayam")</f>
        <v>Elkayam</v>
      </c>
      <c r="D104" s="43" t="str">
        <f>IFERROR(__xludf.DUMMYFUNCTION("""COMPUTED_VALUE"""),"Caba")</f>
        <v>Caba</v>
      </c>
      <c r="E104" s="45" t="str">
        <f>IFERROR(__xludf.DUMMYFUNCTION("""COMPUTED_VALUE"""),"ARG")</f>
        <v>ARG</v>
      </c>
      <c r="F104" s="45">
        <f>IFERROR(__xludf.DUMMYFUNCTION("""COMPUTED_VALUE"""),5.3583314E7)</f>
        <v>53583314</v>
      </c>
      <c r="G104" s="44">
        <f>IFERROR(__xludf.DUMMYFUNCTION("""COMPUTED_VALUE"""),41554.0)</f>
        <v>41554</v>
      </c>
      <c r="H104" s="45">
        <f>IFERROR(__xludf.DUMMYFUNCTION("""COMPUTED_VALUE"""),1.1680202848E10)</f>
        <v>11680202848</v>
      </c>
      <c r="I104" s="45">
        <f>IFERROR(__xludf.DUMMYFUNCTION("""COMPUTED_VALUE"""),1.154785001E9)</f>
        <v>1154785001</v>
      </c>
      <c r="J104" s="45" t="str">
        <f>IFERROR(__xludf.DUMMYFUNCTION("""COMPUTED_VALUE"""),"Glenda00@gmail.com")</f>
        <v>Glenda00@gmail.com</v>
      </c>
      <c r="K104" s="45" t="str">
        <f>IFERROR(__xludf.DUMMYFUNCTION("""COMPUTED_VALUE"""),"Masculino")</f>
        <v>Masculino</v>
      </c>
      <c r="L104" s="45" t="str">
        <f>IFERROR(__xludf.DUMMYFUNCTION("""COMPUTED_VALUE"""),"CNA")</f>
        <v>CNA</v>
      </c>
      <c r="M104" s="45" t="str">
        <f>IFERROR(__xludf.DUMMYFUNCTION("""COMPUTED_VALUE"""),"Interior (Optimist)")</f>
        <v>Interior (Optimist)</v>
      </c>
      <c r="N104" s="7" t="str">
        <f>IFERROR(__xludf.DUMMYFUNCTION("""COMPUTED_VALUE"""),"OPTIMIST PRINCIPIANTES")</f>
        <v>OPTIMIST PRINCIPIANTES</v>
      </c>
      <c r="O104" s="7"/>
      <c r="P104" s="7">
        <f>IFERROR(__xludf.DUMMYFUNCTION("""COMPUTED_VALUE"""),2956.0)</f>
        <v>2956</v>
      </c>
      <c r="Q104" s="45" t="str">
        <f>IFERROR(__xludf.DUMMYFUNCTION("""COMPUTED_VALUE"""),"Ensueño")</f>
        <v>Ensueño</v>
      </c>
      <c r="R104" s="45" t="str">
        <f>IFERROR(__xludf.DUMMYFUNCTION("""COMPUTED_VALUE"""),"Gael Elkayam")</f>
        <v>Gael Elkayam</v>
      </c>
      <c r="S104" s="45"/>
      <c r="T104" s="45"/>
      <c r="U104" s="45"/>
      <c r="V104" s="45"/>
      <c r="W104" s="45"/>
      <c r="X104" s="47" t="str">
        <f>IFERROR(__xludf.DUMMYFUNCTION("""COMPUTED_VALUE"""),"Gael Elkayam")</f>
        <v>Gael Elkayam</v>
      </c>
      <c r="Y104" s="7" t="str">
        <f>IFERROR(__xludf.DUMMYFUNCTION("""COMPUTED_VALUE"""),"Si")</f>
        <v>Si</v>
      </c>
      <c r="Z104" s="45" t="str">
        <f>IFERROR(__xludf.DUMMYFUNCTION("""COMPUTED_VALUE"""),"Acepto")</f>
        <v>Acepto</v>
      </c>
      <c r="AA104" s="45" t="str">
        <f>IFERROR(__xludf.DUMMYFUNCTION("""COMPUTED_VALUE"""),"Terminado")</f>
        <v>Terminado</v>
      </c>
      <c r="AB104" s="45">
        <f>IFERROR(__xludf.DUMMYFUNCTION("""COMPUTED_VALUE"""),50000.0)</f>
        <v>50000</v>
      </c>
      <c r="AC104" s="7">
        <f>IFERROR(__xludf.DUMMYFUNCTION("""COMPUTED_VALUE"""),205696.0)</f>
        <v>205696</v>
      </c>
      <c r="AD104" s="7" t="str">
        <f>IFERROR(__xludf.DUMMYFUNCTION("""COMPUTED_VALUE"""),"TRF 11-09")</f>
        <v>TRF 11-09</v>
      </c>
      <c r="AE104" s="7" t="str">
        <f>IFERROR(__xludf.DUMMYFUNCTION("""COMPUTED_VALUE"""),"OK")</f>
        <v>OK</v>
      </c>
      <c r="AF104" s="7"/>
      <c r="AG104" s="43"/>
    </row>
    <row r="105">
      <c r="A105" s="42">
        <f>IFERROR(__xludf.DUMMYFUNCTION("""COMPUTED_VALUE"""),45535.700232337964)</f>
        <v>45535.70023</v>
      </c>
      <c r="B105" s="43" t="str">
        <f>IFERROR(__xludf.DUMMYFUNCTION("""COMPUTED_VALUE"""),"Felipe")</f>
        <v>Felipe</v>
      </c>
      <c r="C105" s="43" t="str">
        <f>IFERROR(__xludf.DUMMYFUNCTION("""COMPUTED_VALUE"""),"Elorriaga")</f>
        <v>Elorriaga</v>
      </c>
      <c r="D105" s="43" t="str">
        <f>IFERROR(__xludf.DUMMYFUNCTION("""COMPUTED_VALUE"""),"Zarate")</f>
        <v>Zarate</v>
      </c>
      <c r="E105" s="45" t="str">
        <f>IFERROR(__xludf.DUMMYFUNCTION("""COMPUTED_VALUE"""),"ARG")</f>
        <v>ARG</v>
      </c>
      <c r="F105" s="45">
        <f>IFERROR(__xludf.DUMMYFUNCTION("""COMPUTED_VALUE"""),5.4099646E7)</f>
        <v>54099646</v>
      </c>
      <c r="G105" s="44">
        <f>IFERROR(__xludf.DUMMYFUNCTION("""COMPUTED_VALUE"""),41800.0)</f>
        <v>41800</v>
      </c>
      <c r="H105" s="45" t="str">
        <f>IFERROR(__xludf.DUMMYFUNCTION("""COMPUTED_VALUE"""),"03487302617")</f>
        <v>03487302617</v>
      </c>
      <c r="I105" s="45" t="str">
        <f>IFERROR(__xludf.DUMMYFUNCTION("""COMPUTED_VALUE"""),"03487302617")</f>
        <v>03487302617</v>
      </c>
      <c r="J105" s="45" t="str">
        <f>IFERROR(__xludf.DUMMYFUNCTION("""COMPUTED_VALUE"""),"mingote_elo@hotmail.com")</f>
        <v>mingote_elo@hotmail.com</v>
      </c>
      <c r="K105" s="45" t="str">
        <f>IFERROR(__xludf.DUMMYFUNCTION("""COMPUTED_VALUE"""),"Masculino")</f>
        <v>Masculino</v>
      </c>
      <c r="L105" s="45" t="str">
        <f>IFERROR(__xludf.DUMMYFUNCTION("""COMPUTED_VALUE"""),"CNZ")</f>
        <v>CNZ</v>
      </c>
      <c r="M105" s="45"/>
      <c r="N105" s="7" t="str">
        <f>IFERROR(__xludf.DUMMYFUNCTION("""COMPUTED_VALUE"""),"OPTIMIST PRINCIPIANTES")</f>
        <v>OPTIMIST PRINCIPIANTES</v>
      </c>
      <c r="O105" s="7"/>
      <c r="P105" s="7" t="str">
        <f>IFERROR(__xludf.DUMMYFUNCTION("""COMPUTED_VALUE"""),"ARG 4116")</f>
        <v>ARG 4116</v>
      </c>
      <c r="Q105" s="45" t="str">
        <f>IFERROR(__xludf.DUMMYFUNCTION("""COMPUTED_VALUE"""),"Basta!!!")</f>
        <v>Basta!!!</v>
      </c>
      <c r="R105" s="45"/>
      <c r="S105" s="45"/>
      <c r="T105" s="45"/>
      <c r="U105" s="45"/>
      <c r="V105" s="45"/>
      <c r="W105" s="45"/>
      <c r="X105" s="47" t="str">
        <f>IFERROR(__xludf.DUMMYFUNCTION("""COMPUTED_VALUE"""),"Swiss Medical")</f>
        <v>Swiss Medical</v>
      </c>
      <c r="Y105" s="7" t="str">
        <f>IFERROR(__xludf.DUMMYFUNCTION("""COMPUTED_VALUE"""),"Si")</f>
        <v>Si</v>
      </c>
      <c r="Z105" s="45" t="str">
        <f>IFERROR(__xludf.DUMMYFUNCTION("""COMPUTED_VALUE"""),"Acepto")</f>
        <v>Acepto</v>
      </c>
      <c r="AA105" s="45" t="str">
        <f>IFERROR(__xludf.DUMMYFUNCTION("""COMPUTED_VALUE"""),"Terminado")</f>
        <v>Terminado</v>
      </c>
      <c r="AB105" s="45">
        <f>IFERROR(__xludf.DUMMYFUNCTION("""COMPUTED_VALUE"""),50000.0)</f>
        <v>50000</v>
      </c>
      <c r="AC105" s="7">
        <f>IFERROR(__xludf.DUMMYFUNCTION("""COMPUTED_VALUE"""),205368.0)</f>
        <v>205368</v>
      </c>
      <c r="AD105" s="7" t="str">
        <f>IFERROR(__xludf.DUMMYFUNCTION("""COMPUTED_VALUE"""),"TRF 31-08")</f>
        <v>TRF 31-08</v>
      </c>
      <c r="AE105" s="7" t="str">
        <f>IFERROR(__xludf.DUMMYFUNCTION("""COMPUTED_VALUE"""),"OK")</f>
        <v>OK</v>
      </c>
      <c r="AF105" s="7"/>
      <c r="AG105" s="43"/>
    </row>
    <row r="106">
      <c r="A106" s="42">
        <f>IFERROR(__xludf.DUMMYFUNCTION("""COMPUTED_VALUE"""),45526.77635443287)</f>
        <v>45526.77635</v>
      </c>
      <c r="B106" s="43" t="str">
        <f>IFERROR(__xludf.DUMMYFUNCTION("""COMPUTED_VALUE"""),"Fernando")</f>
        <v>Fernando</v>
      </c>
      <c r="C106" s="43" t="str">
        <f>IFERROR(__xludf.DUMMYFUNCTION("""COMPUTED_VALUE"""),"Esquivo")</f>
        <v>Esquivo</v>
      </c>
      <c r="D106" s="43" t="str">
        <f>IFERROR(__xludf.DUMMYFUNCTION("""COMPUTED_VALUE"""),"Concepcion del Uruguay")</f>
        <v>Concepcion del Uruguay</v>
      </c>
      <c r="E106" s="45" t="str">
        <f>IFERROR(__xludf.DUMMYFUNCTION("""COMPUTED_VALUE"""),"ARG")</f>
        <v>ARG</v>
      </c>
      <c r="F106" s="45">
        <f>IFERROR(__xludf.DUMMYFUNCTION("""COMPUTED_VALUE"""),1.7552302E7)</f>
        <v>17552302</v>
      </c>
      <c r="G106" s="44">
        <f>IFERROR(__xludf.DUMMYFUNCTION("""COMPUTED_VALUE"""),45526.0)</f>
        <v>45526</v>
      </c>
      <c r="H106" s="45">
        <f>IFERROR(__xludf.DUMMYFUNCTION("""COMPUTED_VALUE"""),3.442479756E9)</f>
        <v>3442479756</v>
      </c>
      <c r="I106" s="45">
        <f>IFERROR(__xludf.DUMMYFUNCTION("""COMPUTED_VALUE"""),3.442479756E9)</f>
        <v>3442479756</v>
      </c>
      <c r="J106" s="45" t="str">
        <f>IFERROR(__xludf.DUMMYFUNCTION("""COMPUTED_VALUE"""),"Fernandoesquivo@hotmail.com")</f>
        <v>Fernandoesquivo@hotmail.com</v>
      </c>
      <c r="K106" s="45" t="str">
        <f>IFERROR(__xludf.DUMMYFUNCTION("""COMPUTED_VALUE"""),"Masculino")</f>
        <v>Masculino</v>
      </c>
      <c r="L106" s="45" t="str">
        <f>IFERROR(__xludf.DUMMYFUNCTION("""COMPUTED_VALUE"""),"YCE")</f>
        <v>YCE</v>
      </c>
      <c r="M106" s="45" t="str">
        <f>IFERROR(__xludf.DUMMYFUNCTION("""COMPUTED_VALUE"""),"Master Pampero")</f>
        <v>Master Pampero</v>
      </c>
      <c r="N106" s="7" t="str">
        <f>IFERROR(__xludf.DUMMYFUNCTION("""COMPUTED_VALUE"""),"PAMPERO")</f>
        <v>PAMPERO</v>
      </c>
      <c r="O106" s="7"/>
      <c r="P106" s="7">
        <f>IFERROR(__xludf.DUMMYFUNCTION("""COMPUTED_VALUE"""),56.0)</f>
        <v>56</v>
      </c>
      <c r="Q106" s="45" t="str">
        <f>IFERROR(__xludf.DUMMYFUNCTION("""COMPUTED_VALUE"""),"Otro falso contacto")</f>
        <v>Otro falso contacto</v>
      </c>
      <c r="R106" s="45" t="str">
        <f>IFERROR(__xludf.DUMMYFUNCTION("""COMPUTED_VALUE"""),"Juan Sebastian Marco")</f>
        <v>Juan Sebastian Marco</v>
      </c>
      <c r="S106" s="45"/>
      <c r="T106" s="45"/>
      <c r="U106" s="45"/>
      <c r="V106" s="45"/>
      <c r="W106" s="45"/>
      <c r="X106" s="47" t="str">
        <f>IFERROR(__xludf.DUMMYFUNCTION("""COMPUTED_VALUE"""),"Ospe")</f>
        <v>Ospe</v>
      </c>
      <c r="Y106" s="7" t="str">
        <f>IFERROR(__xludf.DUMMYFUNCTION("""COMPUTED_VALUE"""),"Si")</f>
        <v>Si</v>
      </c>
      <c r="Z106" s="45" t="str">
        <f>IFERROR(__xludf.DUMMYFUNCTION("""COMPUTED_VALUE"""),"Acepto")</f>
        <v>Acepto</v>
      </c>
      <c r="AA106" s="45" t="str">
        <f>IFERROR(__xludf.DUMMYFUNCTION("""COMPUTED_VALUE"""),"Terminado")</f>
        <v>Terminado</v>
      </c>
      <c r="AB106" s="45">
        <f>IFERROR(__xludf.DUMMYFUNCTION("""COMPUTED_VALUE"""),51000.0)</f>
        <v>51000</v>
      </c>
      <c r="AC106" s="7">
        <f>IFERROR(__xludf.DUMMYFUNCTION("""COMPUTED_VALUE"""),205043.0)</f>
        <v>205043</v>
      </c>
      <c r="AD106" s="7" t="str">
        <f>IFERROR(__xludf.DUMMYFUNCTION("""COMPUTED_VALUE"""),"TRF 23-08")</f>
        <v>TRF 23-08</v>
      </c>
      <c r="AE106" s="7" t="str">
        <f>IFERROR(__xludf.DUMMYFUNCTION("""COMPUTED_VALUE"""),"No Corresp")</f>
        <v>No Corresp</v>
      </c>
      <c r="AF106" s="7" t="str">
        <f>IFERROR(__xludf.DUMMYFUNCTION("""COMPUTED_VALUE"""),"Si")</f>
        <v>Si</v>
      </c>
      <c r="AG106" s="43"/>
    </row>
    <row r="107">
      <c r="A107" s="42">
        <f>IFERROR(__xludf.DUMMYFUNCTION("""COMPUTED_VALUE"""),45535.57549873843)</f>
        <v>45535.5755</v>
      </c>
      <c r="B107" s="43" t="str">
        <f>IFERROR(__xludf.DUMMYFUNCTION("""COMPUTED_VALUE"""),"Polo")</f>
        <v>Polo</v>
      </c>
      <c r="C107" s="43" t="str">
        <f>IFERROR(__xludf.DUMMYFUNCTION("""COMPUTED_VALUE"""),"Eusebi")</f>
        <v>Eusebi</v>
      </c>
      <c r="D107" s="43" t="str">
        <f>IFERROR(__xludf.DUMMYFUNCTION("""COMPUTED_VALUE"""),"Quilmes")</f>
        <v>Quilmes</v>
      </c>
      <c r="E107" s="45" t="str">
        <f>IFERROR(__xludf.DUMMYFUNCTION("""COMPUTED_VALUE"""),"ARG")</f>
        <v>ARG</v>
      </c>
      <c r="F107" s="45">
        <f>IFERROR(__xludf.DUMMYFUNCTION("""COMPUTED_VALUE"""),5.2663848E7)</f>
        <v>52663848</v>
      </c>
      <c r="G107" s="44">
        <f>IFERROR(__xludf.DUMMYFUNCTION("""COMPUTED_VALUE"""),41133.0)</f>
        <v>41133</v>
      </c>
      <c r="H107" s="45">
        <f>IFERROR(__xludf.DUMMYFUNCTION("""COMPUTED_VALUE"""),3.8855464E7)</f>
        <v>38855464</v>
      </c>
      <c r="I107" s="45">
        <f>IFERROR(__xludf.DUMMYFUNCTION("""COMPUTED_VALUE"""),3.8855734E7)</f>
        <v>38855734</v>
      </c>
      <c r="J107" s="45" t="str">
        <f>IFERROR(__xludf.DUMMYFUNCTION("""COMPUTED_VALUE"""),"luiseusebi@googlemail.com")</f>
        <v>luiseusebi@googlemail.com</v>
      </c>
      <c r="K107" s="45" t="str">
        <f>IFERROR(__xludf.DUMMYFUNCTION("""COMPUTED_VALUE"""),"Masculino")</f>
        <v>Masculino</v>
      </c>
      <c r="L107" s="45" t="str">
        <f>IFERROR(__xludf.DUMMYFUNCTION("""COMPUTED_VALUE"""),"CNQ")</f>
        <v>CNQ</v>
      </c>
      <c r="M107" s="45" t="str">
        <f>IFERROR(__xludf.DUMMYFUNCTION("""COMPUTED_VALUE"""),"Interior (Optimist)")</f>
        <v>Interior (Optimist)</v>
      </c>
      <c r="N107" s="7" t="str">
        <f>IFERROR(__xludf.DUMMYFUNCTION("""COMPUTED_VALUE"""),"OPTIMIST PRINCIPIANTES")</f>
        <v>OPTIMIST PRINCIPIANTES</v>
      </c>
      <c r="O107" s="7" t="str">
        <f>IFERROR(__xludf.DUMMYFUNCTION("""COMPUTED_VALUE"""),"Polo")</f>
        <v>Polo</v>
      </c>
      <c r="P107" s="7">
        <f>IFERROR(__xludf.DUMMYFUNCTION("""COMPUTED_VALUE"""),3092.0)</f>
        <v>3092</v>
      </c>
      <c r="Q107" s="45" t="str">
        <f>IFERROR(__xludf.DUMMYFUNCTION("""COMPUTED_VALUE"""),"Polo")</f>
        <v>Polo</v>
      </c>
      <c r="R107" s="45"/>
      <c r="S107" s="45"/>
      <c r="T107" s="45"/>
      <c r="U107" s="45"/>
      <c r="V107" s="45"/>
      <c r="W107" s="45"/>
      <c r="X107" s="47" t="str">
        <f>IFERROR(__xludf.DUMMYFUNCTION("""COMPUTED_VALUE"""),"Ioma 227264668302")</f>
        <v>Ioma 227264668302</v>
      </c>
      <c r="Y107" s="7" t="str">
        <f>IFERROR(__xludf.DUMMYFUNCTION("""COMPUTED_VALUE"""),"Si")</f>
        <v>Si</v>
      </c>
      <c r="Z107" s="45" t="str">
        <f>IFERROR(__xludf.DUMMYFUNCTION("""COMPUTED_VALUE"""),"Acepto")</f>
        <v>Acepto</v>
      </c>
      <c r="AA107" s="45" t="str">
        <f>IFERROR(__xludf.DUMMYFUNCTION("""COMPUTED_VALUE"""),"Terminado")</f>
        <v>Terminado</v>
      </c>
      <c r="AB107" s="45">
        <f>IFERROR(__xludf.DUMMYFUNCTION("""COMPUTED_VALUE"""),50000.0)</f>
        <v>50000</v>
      </c>
      <c r="AC107" s="7">
        <f>IFERROR(__xludf.DUMMYFUNCTION("""COMPUTED_VALUE"""),205146.0)</f>
        <v>205146</v>
      </c>
      <c r="AD107" s="7" t="str">
        <f>IFERROR(__xludf.DUMMYFUNCTION("""COMPUTED_VALUE"""),"TRF 31-08")</f>
        <v>TRF 31-08</v>
      </c>
      <c r="AE107" s="7" t="str">
        <f>IFERROR(__xludf.DUMMYFUNCTION("""COMPUTED_VALUE"""),"OK")</f>
        <v>OK</v>
      </c>
      <c r="AF107" s="7" t="str">
        <f>IFERROR(__xludf.DUMMYFUNCTION("""COMPUTED_VALUE"""),"SI")</f>
        <v>SI</v>
      </c>
    </row>
    <row r="108">
      <c r="A108" s="42">
        <f>IFERROR(__xludf.DUMMYFUNCTION("""COMPUTED_VALUE"""),45537.73708496528)</f>
        <v>45537.73708</v>
      </c>
      <c r="B108" s="43" t="str">
        <f>IFERROR(__xludf.DUMMYFUNCTION("""COMPUTED_VALUE"""),"Milagros")</f>
        <v>Milagros</v>
      </c>
      <c r="C108" s="43" t="str">
        <f>IFERROR(__xludf.DUMMYFUNCTION("""COMPUTED_VALUE"""),"Fagundez Schroder")</f>
        <v>Fagundez Schroder</v>
      </c>
      <c r="D108" s="43" t="str">
        <f>IFERROR(__xludf.DUMMYFUNCTION("""COMPUTED_VALUE"""),"Montevideo")</f>
        <v>Montevideo</v>
      </c>
      <c r="E108" s="45" t="str">
        <f>IFERROR(__xludf.DUMMYFUNCTION("""COMPUTED_VALUE"""),"URU")</f>
        <v>URU</v>
      </c>
      <c r="F108" s="45">
        <f>IFERROR(__xludf.DUMMYFUNCTION("""COMPUTED_VALUE"""),5.8283967E7)</f>
        <v>58283967</v>
      </c>
      <c r="G108" s="44">
        <f>IFERROR(__xludf.DUMMYFUNCTION("""COMPUTED_VALUE"""),40141.0)</f>
        <v>40141</v>
      </c>
      <c r="H108" s="45" t="str">
        <f>IFERROR(__xludf.DUMMYFUNCTION("""COMPUTED_VALUE"""),"+59899657571")</f>
        <v>+59899657571</v>
      </c>
      <c r="I108" s="45" t="str">
        <f>IFERROR(__xludf.DUMMYFUNCTION("""COMPUTED_VALUE"""),"+59899657571")</f>
        <v>+59899657571</v>
      </c>
      <c r="J108" s="45" t="str">
        <f>IFERROR(__xludf.DUMMYFUNCTION("""COMPUTED_VALUE"""),"31fabricio@gmail.com")</f>
        <v>31fabricio@gmail.com</v>
      </c>
      <c r="K108" s="45" t="str">
        <f>IFERROR(__xludf.DUMMYFUNCTION("""COMPUTED_VALUE"""),"Femenino")</f>
        <v>Femenino</v>
      </c>
      <c r="L108" s="45" t="str">
        <f>IFERROR(__xludf.DUMMYFUNCTION("""COMPUTED_VALUE"""),"NYC ")</f>
        <v>NYC </v>
      </c>
      <c r="M108" s="45" t="str">
        <f>IFERROR(__xludf.DUMMYFUNCTION("""COMPUTED_VALUE"""),"Femenino, Interior (Optimist)")</f>
        <v>Femenino, Interior (Optimist)</v>
      </c>
      <c r="N108" s="7" t="str">
        <f>IFERROR(__xludf.DUMMYFUNCTION("""COMPUTED_VALUE"""),"OPTIMIST TIMONELES")</f>
        <v>OPTIMIST TIMONELES</v>
      </c>
      <c r="O108" s="7"/>
      <c r="P108" s="7" t="str">
        <f>IFERROR(__xludf.DUMMYFUNCTION("""COMPUTED_VALUE"""),"URU 460")</f>
        <v>URU 460</v>
      </c>
      <c r="Q108" s="45"/>
      <c r="R108" s="45" t="str">
        <f>IFERROR(__xludf.DUMMYFUNCTION("""COMPUTED_VALUE"""),"Milagros Fagundez Schroder")</f>
        <v>Milagros Fagundez Schroder</v>
      </c>
      <c r="S108" s="45"/>
      <c r="T108" s="45"/>
      <c r="U108" s="45"/>
      <c r="V108" s="45"/>
      <c r="W108" s="45"/>
      <c r="X108" s="47"/>
      <c r="Y108" s="7" t="str">
        <f>IFERROR(__xludf.DUMMYFUNCTION("""COMPUTED_VALUE"""),"Si")</f>
        <v>Si</v>
      </c>
      <c r="Z108" s="45" t="str">
        <f>IFERROR(__xludf.DUMMYFUNCTION("""COMPUTED_VALUE"""),"Acepto")</f>
        <v>Acepto</v>
      </c>
      <c r="AA108" s="45" t="str">
        <f>IFERROR(__xludf.DUMMYFUNCTION("""COMPUTED_VALUE"""),"Terminado")</f>
        <v>Terminado</v>
      </c>
      <c r="AB108" s="45">
        <f>IFERROR(__xludf.DUMMYFUNCTION("""COMPUTED_VALUE"""),42500.0)</f>
        <v>42500</v>
      </c>
      <c r="AC108" s="7">
        <f>IFERROR(__xludf.DUMMYFUNCTION("""COMPUTED_VALUE"""),205391.0)</f>
        <v>205391</v>
      </c>
      <c r="AD108" s="7" t="str">
        <f>IFERROR(__xludf.DUMMYFUNCTION("""COMPUTED_VALUE"""),"TRF 02-09")</f>
        <v>TRF 02-09</v>
      </c>
      <c r="AE108" s="7" t="str">
        <f>IFERROR(__xludf.DUMMYFUNCTION("""COMPUTED_VALUE"""),"OK")</f>
        <v>OK</v>
      </c>
      <c r="AF108" s="7" t="str">
        <f>IFERROR(__xludf.DUMMYFUNCTION("""COMPUTED_VALUE"""),"SI")</f>
        <v>SI</v>
      </c>
    </row>
    <row r="109">
      <c r="A109" s="42">
        <f>IFERROR(__xludf.DUMMYFUNCTION("""COMPUTED_VALUE"""),45534.642036944446)</f>
        <v>45534.64204</v>
      </c>
      <c r="B109" s="43" t="str">
        <f>IFERROR(__xludf.DUMMYFUNCTION("""COMPUTED_VALUE"""),"Justino")</f>
        <v>Justino</v>
      </c>
      <c r="C109" s="43" t="str">
        <f>IFERROR(__xludf.DUMMYFUNCTION("""COMPUTED_VALUE"""),"Favero")</f>
        <v>Favero</v>
      </c>
      <c r="D109" s="43" t="str">
        <f>IFERROR(__xludf.DUMMYFUNCTION("""COMPUTED_VALUE"""),"La Plata")</f>
        <v>La Plata</v>
      </c>
      <c r="E109" s="45" t="str">
        <f>IFERROR(__xludf.DUMMYFUNCTION("""COMPUTED_VALUE"""),"ARG")</f>
        <v>ARG</v>
      </c>
      <c r="F109" s="45">
        <f>IFERROR(__xludf.DUMMYFUNCTION("""COMPUTED_VALUE"""),4.9833927E7)</f>
        <v>49833927</v>
      </c>
      <c r="G109" s="44">
        <f>IFERROR(__xludf.DUMMYFUNCTION("""COMPUTED_VALUE"""),40112.0)</f>
        <v>40112</v>
      </c>
      <c r="H109" s="45">
        <f>IFERROR(__xludf.DUMMYFUNCTION("""COMPUTED_VALUE"""),2.215741651E9)</f>
        <v>2215741651</v>
      </c>
      <c r="I109" s="45">
        <f>IFERROR(__xludf.DUMMYFUNCTION("""COMPUTED_VALUE"""),2.215222133E9)</f>
        <v>2215222133</v>
      </c>
      <c r="J109" s="45" t="str">
        <f>IFERROR(__xludf.DUMMYFUNCTION("""COMPUTED_VALUE"""),"mariaeugeniagarciaf@gmail.com")</f>
        <v>mariaeugeniagarciaf@gmail.com</v>
      </c>
      <c r="K109" s="45" t="str">
        <f>IFERROR(__xludf.DUMMYFUNCTION("""COMPUTED_VALUE"""),"Masculino")</f>
        <v>Masculino</v>
      </c>
      <c r="L109" s="45" t="str">
        <f>IFERROR(__xludf.DUMMYFUNCTION("""COMPUTED_VALUE"""),"CRLP")</f>
        <v>CRLP</v>
      </c>
      <c r="M109" s="45"/>
      <c r="N109" s="7" t="str">
        <f>IFERROR(__xludf.DUMMYFUNCTION("""COMPUTED_VALUE"""),"OPTIMIST TIMONELES")</f>
        <v>OPTIMIST TIMONELES</v>
      </c>
      <c r="O109" s="7"/>
      <c r="P109" s="7">
        <f>IFERROR(__xludf.DUMMYFUNCTION("""COMPUTED_VALUE"""),3903.0)</f>
        <v>3903</v>
      </c>
      <c r="Q109" s="45"/>
      <c r="R109" s="45"/>
      <c r="S109" s="45"/>
      <c r="T109" s="45"/>
      <c r="U109" s="45"/>
      <c r="V109" s="45"/>
      <c r="W109" s="45"/>
      <c r="X109" s="47" t="str">
        <f>IFERROR(__xludf.DUMMYFUNCTION("""COMPUTED_VALUE"""),"IOMA")</f>
        <v>IOMA</v>
      </c>
      <c r="Y109" s="7" t="str">
        <f>IFERROR(__xludf.DUMMYFUNCTION("""COMPUTED_VALUE"""),"Si")</f>
        <v>Si</v>
      </c>
      <c r="Z109" s="45" t="str">
        <f>IFERROR(__xludf.DUMMYFUNCTION("""COMPUTED_VALUE"""),"Acepto")</f>
        <v>Acepto</v>
      </c>
      <c r="AA109" s="45" t="str">
        <f>IFERROR(__xludf.DUMMYFUNCTION("""COMPUTED_VALUE"""),"Terminado")</f>
        <v>Terminado</v>
      </c>
      <c r="AB109" s="45">
        <f>IFERROR(__xludf.DUMMYFUNCTION("""COMPUTED_VALUE"""),50000.0)</f>
        <v>50000</v>
      </c>
      <c r="AC109" s="7">
        <f>IFERROR(__xludf.DUMMYFUNCTION("""COMPUTED_VALUE"""),205124.0)</f>
        <v>205124</v>
      </c>
      <c r="AD109" s="7" t="str">
        <f>IFERROR(__xludf.DUMMYFUNCTION("""COMPUTED_VALUE"""),"TRF 30-08")</f>
        <v>TRF 30-08</v>
      </c>
      <c r="AE109" s="7" t="str">
        <f>IFERROR(__xludf.DUMMYFUNCTION("""COMPUTED_VALUE"""),"OK")</f>
        <v>OK</v>
      </c>
      <c r="AF109" s="7"/>
    </row>
    <row r="110">
      <c r="A110" s="42">
        <f>IFERROR(__xludf.DUMMYFUNCTION("""COMPUTED_VALUE"""),45525.90754366898)</f>
        <v>45525.90754</v>
      </c>
      <c r="B110" s="43" t="str">
        <f>IFERROR(__xludf.DUMMYFUNCTION("""COMPUTED_VALUE"""),"Martín alejo")</f>
        <v>Martín alejo</v>
      </c>
      <c r="C110" s="43" t="str">
        <f>IFERROR(__xludf.DUMMYFUNCTION("""COMPUTED_VALUE"""),"Fernandez")</f>
        <v>Fernandez</v>
      </c>
      <c r="D110" s="43" t="str">
        <f>IFERROR(__xludf.DUMMYFUNCTION("""COMPUTED_VALUE"""),"Chascomus ")</f>
        <v>Chascomus </v>
      </c>
      <c r="E110" s="45" t="str">
        <f>IFERROR(__xludf.DUMMYFUNCTION("""COMPUTED_VALUE"""),"ARG")</f>
        <v>ARG</v>
      </c>
      <c r="F110" s="45">
        <f>IFERROR(__xludf.DUMMYFUNCTION("""COMPUTED_VALUE"""),2.5300218E7)</f>
        <v>25300218</v>
      </c>
      <c r="G110" s="44">
        <f>IFERROR(__xludf.DUMMYFUNCTION("""COMPUTED_VALUE"""),28025.0)</f>
        <v>28025</v>
      </c>
      <c r="H110" s="45">
        <f>IFERROR(__xludf.DUMMYFUNCTION("""COMPUTED_VALUE"""),2.241511458E9)</f>
        <v>2241511458</v>
      </c>
      <c r="I110" s="45">
        <f>IFERROR(__xludf.DUMMYFUNCTION("""COMPUTED_VALUE"""),2.241457419E9)</f>
        <v>2241457419</v>
      </c>
      <c r="J110" s="45" t="str">
        <f>IFERROR(__xludf.DUMMYFUNCTION("""COMPUTED_VALUE"""),"martincuero37@gmail.com")</f>
        <v>martincuero37@gmail.com</v>
      </c>
      <c r="K110" s="45" t="str">
        <f>IFERROR(__xludf.DUMMYFUNCTION("""COMPUTED_VALUE"""),"Masculino")</f>
        <v>Masculino</v>
      </c>
      <c r="L110" s="45" t="str">
        <f>IFERROR(__xludf.DUMMYFUNCTION("""COMPUTED_VALUE"""),"CRCH")</f>
        <v>CRCH</v>
      </c>
      <c r="M110" s="45"/>
      <c r="N110" s="7" t="str">
        <f>IFERROR(__xludf.DUMMYFUNCTION("""COMPUTED_VALUE"""),"PAMPERO")</f>
        <v>PAMPERO</v>
      </c>
      <c r="O110" s="7"/>
      <c r="P110" s="7">
        <f>IFERROR(__xludf.DUMMYFUNCTION("""COMPUTED_VALUE"""),707.0)</f>
        <v>707</v>
      </c>
      <c r="Q110" s="45" t="str">
        <f>IFERROR(__xludf.DUMMYFUNCTION("""COMPUTED_VALUE"""),"Santa Maradona")</f>
        <v>Santa Maradona</v>
      </c>
      <c r="R110" s="45" t="str">
        <f>IFERROR(__xludf.DUMMYFUNCTION("""COMPUTED_VALUE"""),"Ramón Fernández ")</f>
        <v>Ramón Fernández </v>
      </c>
      <c r="S110" s="45"/>
      <c r="T110" s="45"/>
      <c r="U110" s="45"/>
      <c r="V110" s="45"/>
      <c r="W110" s="45"/>
      <c r="X110" s="47"/>
      <c r="Y110" s="7" t="str">
        <f>IFERROR(__xludf.DUMMYFUNCTION("""COMPUTED_VALUE"""),"No")</f>
        <v>No</v>
      </c>
      <c r="Z110" s="45" t="str">
        <f>IFERROR(__xludf.DUMMYFUNCTION("""COMPUTED_VALUE"""),"Acepto")</f>
        <v>Acepto</v>
      </c>
      <c r="AA110" s="45" t="str">
        <f>IFERROR(__xludf.DUMMYFUNCTION("""COMPUTED_VALUE"""),"Terminado")</f>
        <v>Terminado</v>
      </c>
      <c r="AB110" s="45">
        <f>IFERROR(__xludf.DUMMYFUNCTION("""COMPUTED_VALUE"""),51000.0)</f>
        <v>51000</v>
      </c>
      <c r="AC110" s="7">
        <f>IFERROR(__xludf.DUMMYFUNCTION("""COMPUTED_VALUE"""),205041.0)</f>
        <v>205041</v>
      </c>
      <c r="AD110" s="7" t="str">
        <f>IFERROR(__xludf.DUMMYFUNCTION("""COMPUTED_VALUE"""),"TRF 22-08")</f>
        <v>TRF 22-08</v>
      </c>
      <c r="AE110" s="7" t="str">
        <f>IFERROR(__xludf.DUMMYFUNCTION("""COMPUTED_VALUE"""),"OK")</f>
        <v>OK</v>
      </c>
      <c r="AF110" s="7" t="str">
        <f>IFERROR(__xludf.DUMMYFUNCTION("""COMPUTED_VALUE"""),"Si")</f>
        <v>Si</v>
      </c>
    </row>
    <row r="111">
      <c r="A111" s="42">
        <f>IFERROR(__xludf.DUMMYFUNCTION("""COMPUTED_VALUE"""),45534.80255732639)</f>
        <v>45534.80256</v>
      </c>
      <c r="B111" s="43" t="str">
        <f>IFERROR(__xludf.DUMMYFUNCTION("""COMPUTED_VALUE"""),"LAUTARO ELIAS")</f>
        <v>LAUTARO ELIAS</v>
      </c>
      <c r="C111" s="43" t="str">
        <f>IFERROR(__xludf.DUMMYFUNCTION("""COMPUTED_VALUE"""),"FERNANDEZ")</f>
        <v>FERNANDEZ</v>
      </c>
      <c r="D111" s="43" t="str">
        <f>IFERROR(__xludf.DUMMYFUNCTION("""COMPUTED_VALUE"""),"TIGRE")</f>
        <v>TIGRE</v>
      </c>
      <c r="E111" s="45" t="str">
        <f>IFERROR(__xludf.DUMMYFUNCTION("""COMPUTED_VALUE"""),"ARG")</f>
        <v>ARG</v>
      </c>
      <c r="F111" s="45">
        <f>IFERROR(__xludf.DUMMYFUNCTION("""COMPUTED_VALUE"""),5.3214574E7)</f>
        <v>53214574</v>
      </c>
      <c r="G111" s="44">
        <f>IFERROR(__xludf.DUMMYFUNCTION("""COMPUTED_VALUE"""),41491.0)</f>
        <v>41491</v>
      </c>
      <c r="H111" s="45">
        <f>IFERROR(__xludf.DUMMYFUNCTION("""COMPUTED_VALUE"""),1.169571706E9)</f>
        <v>1169571706</v>
      </c>
      <c r="I111" s="45">
        <f>IFERROR(__xludf.DUMMYFUNCTION("""COMPUTED_VALUE"""),1.131059053E9)</f>
        <v>1131059053</v>
      </c>
      <c r="J111" s="45" t="str">
        <f>IFERROR(__xludf.DUMMYFUNCTION("""COMPUTED_VALUE"""),"labraulf@gmail.com")</f>
        <v>labraulf@gmail.com</v>
      </c>
      <c r="K111" s="45" t="str">
        <f>IFERROR(__xludf.DUMMYFUNCTION("""COMPUTED_VALUE"""),"Masculino")</f>
        <v>Masculino</v>
      </c>
      <c r="L111" s="45" t="str">
        <f>IFERROR(__xludf.DUMMYFUNCTION("""COMPUTED_VALUE"""),"CNSM")</f>
        <v>CNSM</v>
      </c>
      <c r="M111" s="45" t="str">
        <f>IFERROR(__xludf.DUMMYFUNCTION("""COMPUTED_VALUE"""),"OPTIMIST-PRINCIPIANTE")</f>
        <v>OPTIMIST-PRINCIPIANTE</v>
      </c>
      <c r="N111" s="7" t="str">
        <f>IFERROR(__xludf.DUMMYFUNCTION("""COMPUTED_VALUE"""),"OPTIMIST PRINCIPIANTES")</f>
        <v>OPTIMIST PRINCIPIANTES</v>
      </c>
      <c r="O111" s="7"/>
      <c r="P111" s="7">
        <f>IFERROR(__xludf.DUMMYFUNCTION("""COMPUTED_VALUE"""),3065.0)</f>
        <v>3065</v>
      </c>
      <c r="Q111" s="45" t="str">
        <f>IFERROR(__xludf.DUMMYFUNCTION("""COMPUTED_VALUE"""),"KIWI")</f>
        <v>KIWI</v>
      </c>
      <c r="R111" s="45"/>
      <c r="S111" s="45"/>
      <c r="T111" s="45"/>
      <c r="U111" s="45"/>
      <c r="V111" s="45"/>
      <c r="W111" s="45"/>
      <c r="X111" s="47" t="str">
        <f>IFERROR(__xludf.DUMMYFUNCTION("""COMPUTED_VALUE"""),"OSDE210/62721768003")</f>
        <v>OSDE210/62721768003</v>
      </c>
      <c r="Y111" s="7" t="str">
        <f>IFERROR(__xludf.DUMMYFUNCTION("""COMPUTED_VALUE"""),"Si")</f>
        <v>Si</v>
      </c>
      <c r="Z111" s="45" t="str">
        <f>IFERROR(__xludf.DUMMYFUNCTION("""COMPUTED_VALUE"""),"Acepto")</f>
        <v>Acepto</v>
      </c>
      <c r="AA111" s="45" t="str">
        <f>IFERROR(__xludf.DUMMYFUNCTION("""COMPUTED_VALUE"""),"Terminado")</f>
        <v>Terminado</v>
      </c>
      <c r="AB111" s="45">
        <f>IFERROR(__xludf.DUMMYFUNCTION("""COMPUTED_VALUE"""),50000.0)</f>
        <v>50000</v>
      </c>
      <c r="AC111" s="7">
        <f>IFERROR(__xludf.DUMMYFUNCTION("""COMPUTED_VALUE"""),205128.0)</f>
        <v>205128</v>
      </c>
      <c r="AD111" s="7" t="str">
        <f>IFERROR(__xludf.DUMMYFUNCTION("""COMPUTED_VALUE"""),"TRF 30-08")</f>
        <v>TRF 30-08</v>
      </c>
      <c r="AE111" s="7" t="str">
        <f>IFERROR(__xludf.DUMMYFUNCTION("""COMPUTED_VALUE"""),"OK")</f>
        <v>OK</v>
      </c>
      <c r="AF111" s="7"/>
    </row>
    <row r="112">
      <c r="A112" s="42">
        <f>IFERROR(__xludf.DUMMYFUNCTION("""COMPUTED_VALUE"""),45538.57012512731)</f>
        <v>45538.57013</v>
      </c>
      <c r="B112" s="43" t="str">
        <f>IFERROR(__xludf.DUMMYFUNCTION("""COMPUTED_VALUE"""),"MARTIN")</f>
        <v>MARTIN</v>
      </c>
      <c r="C112" s="43" t="str">
        <f>IFERROR(__xludf.DUMMYFUNCTION("""COMPUTED_VALUE"""),"FERRERO")</f>
        <v>FERRERO</v>
      </c>
      <c r="D112" s="43" t="str">
        <f>IFERROR(__xludf.DUMMYFUNCTION("""COMPUTED_VALUE"""),"BECCAR")</f>
        <v>BECCAR</v>
      </c>
      <c r="E112" s="45" t="str">
        <f>IFERROR(__xludf.DUMMYFUNCTION("""COMPUTED_VALUE"""),"ARG")</f>
        <v>ARG</v>
      </c>
      <c r="F112" s="45">
        <f>IFERROR(__xludf.DUMMYFUNCTION("""COMPUTED_VALUE"""),4.0232001E7)</f>
        <v>40232001</v>
      </c>
      <c r="G112" s="44">
        <f>IFERROR(__xludf.DUMMYFUNCTION("""COMPUTED_VALUE"""),35461.0)</f>
        <v>35461</v>
      </c>
      <c r="H112" s="45">
        <f>IFERROR(__xludf.DUMMYFUNCTION("""COMPUTED_VALUE"""),1.134563101E9)</f>
        <v>1134563101</v>
      </c>
      <c r="I112" s="45"/>
      <c r="J112" s="45" t="str">
        <f>IFERROR(__xludf.DUMMYFUNCTION("""COMPUTED_VALUE"""),"martinpedroferrero@gmail.com")</f>
        <v>martinpedroferrero@gmail.com</v>
      </c>
      <c r="K112" s="45" t="str">
        <f>IFERROR(__xludf.DUMMYFUNCTION("""COMPUTED_VALUE"""),"Masculino")</f>
        <v>Masculino</v>
      </c>
      <c r="L112" s="45" t="str">
        <f>IFERROR(__xludf.DUMMYFUNCTION("""COMPUTED_VALUE"""),"YCA-CNO")</f>
        <v>YCA-CNO</v>
      </c>
      <c r="M112" s="45" t="str">
        <f>IFERROR(__xludf.DUMMYFUNCTION("""COMPUTED_VALUE"""),"U30")</f>
        <v>U30</v>
      </c>
      <c r="N112" s="7" t="str">
        <f>IFERROR(__xludf.DUMMYFUNCTION("""COMPUTED_VALUE"""),"STAR")</f>
        <v>STAR</v>
      </c>
      <c r="O112" s="7"/>
      <c r="P112" s="7">
        <f>IFERROR(__xludf.DUMMYFUNCTION("""COMPUTED_VALUE"""),7700.0)</f>
        <v>7700</v>
      </c>
      <c r="Q112" s="45" t="str">
        <f>IFERROR(__xludf.DUMMYFUNCTION("""COMPUTED_VALUE"""),"ERAUFDUOCS")</f>
        <v>ERAUFDUOCS</v>
      </c>
      <c r="R112" s="45" t="str">
        <f>IFERROR(__xludf.DUMMYFUNCTION("""COMPUTED_VALUE"""),"TOMAS FIORITI-JAVIER SIRO")</f>
        <v>TOMAS FIORITI-JAVIER SIRO</v>
      </c>
      <c r="S112" s="45"/>
      <c r="T112" s="45"/>
      <c r="U112" s="45"/>
      <c r="V112" s="45"/>
      <c r="W112" s="45"/>
      <c r="X112" s="47" t="str">
        <f>IFERROR(__xludf.DUMMYFUNCTION("""COMPUTED_VALUE"""),"OSDE")</f>
        <v>OSDE</v>
      </c>
      <c r="Y112" s="7" t="str">
        <f>IFERROR(__xludf.DUMMYFUNCTION("""COMPUTED_VALUE"""),"No")</f>
        <v>No</v>
      </c>
      <c r="Z112" s="45" t="str">
        <f>IFERROR(__xludf.DUMMYFUNCTION("""COMPUTED_VALUE"""),"Acepto")</f>
        <v>Acepto</v>
      </c>
      <c r="AA112" s="45" t="str">
        <f>IFERROR(__xludf.DUMMYFUNCTION("""COMPUTED_VALUE"""),"Terminado")</f>
        <v>Terminado</v>
      </c>
      <c r="AB112" s="45">
        <f>IFERROR(__xludf.DUMMYFUNCTION("""COMPUTED_VALUE"""),60000.0)</f>
        <v>60000</v>
      </c>
      <c r="AC112" s="7">
        <f>IFERROR(__xludf.DUMMYFUNCTION("""COMPUTED_VALUE"""),205549.0)</f>
        <v>205549</v>
      </c>
      <c r="AD112" s="7" t="str">
        <f>IFERROR(__xludf.DUMMYFUNCTION("""COMPUTED_VALUE"""),"Tarj 07-09")</f>
        <v>Tarj 07-09</v>
      </c>
      <c r="AE112" s="7" t="str">
        <f>IFERROR(__xludf.DUMMYFUNCTION("""COMPUTED_VALUE"""),"No Corresp")</f>
        <v>No Corresp</v>
      </c>
      <c r="AF112" s="7"/>
    </row>
    <row r="113">
      <c r="A113" s="42">
        <f>IFERROR(__xludf.DUMMYFUNCTION("""COMPUTED_VALUE"""),45535.72407829861)</f>
        <v>45535.72408</v>
      </c>
      <c r="B113" s="43" t="str">
        <f>IFERROR(__xludf.DUMMYFUNCTION("""COMPUTED_VALUE"""),"Valentina ")</f>
        <v>Valentina </v>
      </c>
      <c r="C113" s="43" t="str">
        <f>IFERROR(__xludf.DUMMYFUNCTION("""COMPUTED_VALUE"""),"Ferreyra")</f>
        <v>Ferreyra</v>
      </c>
      <c r="D113" s="43" t="str">
        <f>IFERROR(__xludf.DUMMYFUNCTION("""COMPUTED_VALUE"""),"Zárate ")</f>
        <v>Zárate </v>
      </c>
      <c r="E113" s="45" t="str">
        <f>IFERROR(__xludf.DUMMYFUNCTION("""COMPUTED_VALUE"""),"ARG")</f>
        <v>ARG</v>
      </c>
      <c r="F113" s="45">
        <f>IFERROR(__xludf.DUMMYFUNCTION("""COMPUTED_VALUE"""),5.1339867E7)</f>
        <v>51339867</v>
      </c>
      <c r="G113" s="44">
        <f>IFERROR(__xludf.DUMMYFUNCTION("""COMPUTED_VALUE"""),40854.0)</f>
        <v>40854</v>
      </c>
      <c r="H113" s="45">
        <f>IFERROR(__xludf.DUMMYFUNCTION("""COMPUTED_VALUE"""),3.487617188E9)</f>
        <v>3487617188</v>
      </c>
      <c r="I113" s="45">
        <f>IFERROR(__xludf.DUMMYFUNCTION("""COMPUTED_VALUE"""),3.487617188E9)</f>
        <v>3487617188</v>
      </c>
      <c r="J113" s="45" t="str">
        <f>IFERROR(__xludf.DUMMYFUNCTION("""COMPUTED_VALUE"""),"duke_jimegutierrez@hotmail.com")</f>
        <v>duke_jimegutierrez@hotmail.com</v>
      </c>
      <c r="K113" s="45" t="str">
        <f>IFERROR(__xludf.DUMMYFUNCTION("""COMPUTED_VALUE"""),"Femenino")</f>
        <v>Femenino</v>
      </c>
      <c r="L113" s="45" t="str">
        <f>IFERROR(__xludf.DUMMYFUNCTION("""COMPUTED_VALUE"""),"CNZ")</f>
        <v>CNZ</v>
      </c>
      <c r="M113" s="45" t="str">
        <f>IFERROR(__xludf.DUMMYFUNCTION("""COMPUTED_VALUE"""),"Interior (Optimist)")</f>
        <v>Interior (Optimist)</v>
      </c>
      <c r="N113" s="7" t="str">
        <f>IFERROR(__xludf.DUMMYFUNCTION("""COMPUTED_VALUE"""),"OPTIMIST TIMONELES")</f>
        <v>OPTIMIST TIMONELES</v>
      </c>
      <c r="O113" s="7"/>
      <c r="P113" s="7">
        <f>IFERROR(__xludf.DUMMYFUNCTION("""COMPUTED_VALUE"""),4144.0)</f>
        <v>4144</v>
      </c>
      <c r="Q113" s="45"/>
      <c r="R113" s="45"/>
      <c r="S113" s="45"/>
      <c r="T113" s="45"/>
      <c r="U113" s="45"/>
      <c r="V113" s="45"/>
      <c r="W113" s="45"/>
      <c r="X113" s="47" t="str">
        <f>IFERROR(__xludf.DUMMYFUNCTION("""COMPUTED_VALUE"""),"Osde")</f>
        <v>Osde</v>
      </c>
      <c r="Y113" s="7" t="str">
        <f>IFERROR(__xludf.DUMMYFUNCTION("""COMPUTED_VALUE"""),"Si")</f>
        <v>Si</v>
      </c>
      <c r="Z113" s="45" t="str">
        <f>IFERROR(__xludf.DUMMYFUNCTION("""COMPUTED_VALUE"""),"Acepto")</f>
        <v>Acepto</v>
      </c>
      <c r="AA113" s="45" t="str">
        <f>IFERROR(__xludf.DUMMYFUNCTION("""COMPUTED_VALUE"""),"Repetido")</f>
        <v>Repetido</v>
      </c>
      <c r="AB113" s="45"/>
      <c r="AC113" s="7"/>
      <c r="AD113" s="7"/>
      <c r="AE113" s="7" t="str">
        <f>IFERROR(__xludf.DUMMYFUNCTION("""COMPUTED_VALUE"""),"No Corresp")</f>
        <v>No Corresp</v>
      </c>
      <c r="AF113" s="7"/>
    </row>
    <row r="114">
      <c r="A114" s="42">
        <f>IFERROR(__xludf.DUMMYFUNCTION("""COMPUTED_VALUE"""),45535.729173368054)</f>
        <v>45535.72917</v>
      </c>
      <c r="B114" s="43" t="str">
        <f>IFERROR(__xludf.DUMMYFUNCTION("""COMPUTED_VALUE"""),"Valentina ")</f>
        <v>Valentina </v>
      </c>
      <c r="C114" s="43" t="str">
        <f>IFERROR(__xludf.DUMMYFUNCTION("""COMPUTED_VALUE"""),"Ferreyra")</f>
        <v>Ferreyra</v>
      </c>
      <c r="D114" s="43" t="str">
        <f>IFERROR(__xludf.DUMMYFUNCTION("""COMPUTED_VALUE"""),"Zárate ")</f>
        <v>Zárate </v>
      </c>
      <c r="E114" s="45" t="str">
        <f>IFERROR(__xludf.DUMMYFUNCTION("""COMPUTED_VALUE"""),"ARG")</f>
        <v>ARG</v>
      </c>
      <c r="F114" s="45">
        <f>IFERROR(__xludf.DUMMYFUNCTION("""COMPUTED_VALUE"""),5.1339867E7)</f>
        <v>51339867</v>
      </c>
      <c r="G114" s="44">
        <f>IFERROR(__xludf.DUMMYFUNCTION("""COMPUTED_VALUE"""),40854.0)</f>
        <v>40854</v>
      </c>
      <c r="H114" s="45">
        <f>IFERROR(__xludf.DUMMYFUNCTION("""COMPUTED_VALUE"""),3.487617188E9)</f>
        <v>3487617188</v>
      </c>
      <c r="I114" s="45">
        <f>IFERROR(__xludf.DUMMYFUNCTION("""COMPUTED_VALUE"""),3.487617188E9)</f>
        <v>3487617188</v>
      </c>
      <c r="J114" s="45" t="str">
        <f>IFERROR(__xludf.DUMMYFUNCTION("""COMPUTED_VALUE"""),"duke_jimegutierrez@hotmail.com")</f>
        <v>duke_jimegutierrez@hotmail.com</v>
      </c>
      <c r="K114" s="45" t="str">
        <f>IFERROR(__xludf.DUMMYFUNCTION("""COMPUTED_VALUE"""),"Femenino")</f>
        <v>Femenino</v>
      </c>
      <c r="L114" s="45" t="str">
        <f>IFERROR(__xludf.DUMMYFUNCTION("""COMPUTED_VALUE"""),"CNZ")</f>
        <v>CNZ</v>
      </c>
      <c r="M114" s="45" t="str">
        <f>IFERROR(__xludf.DUMMYFUNCTION("""COMPUTED_VALUE"""),"Interior (Optimist)")</f>
        <v>Interior (Optimist)</v>
      </c>
      <c r="N114" s="7" t="str">
        <f>IFERROR(__xludf.DUMMYFUNCTION("""COMPUTED_VALUE"""),"OPTIMIST TIMONELES")</f>
        <v>OPTIMIST TIMONELES</v>
      </c>
      <c r="O114" s="7"/>
      <c r="P114" s="7">
        <f>IFERROR(__xludf.DUMMYFUNCTION("""COMPUTED_VALUE"""),4144.0)</f>
        <v>4144</v>
      </c>
      <c r="Q114" s="45"/>
      <c r="R114" s="45"/>
      <c r="S114" s="45"/>
      <c r="T114" s="45"/>
      <c r="U114" s="45"/>
      <c r="V114" s="45"/>
      <c r="W114" s="45"/>
      <c r="X114" s="47" t="str">
        <f>IFERROR(__xludf.DUMMYFUNCTION("""COMPUTED_VALUE"""),"Osde")</f>
        <v>Osde</v>
      </c>
      <c r="Y114" s="7" t="str">
        <f>IFERROR(__xludf.DUMMYFUNCTION("""COMPUTED_VALUE"""),"Si")</f>
        <v>Si</v>
      </c>
      <c r="Z114" s="45" t="str">
        <f>IFERROR(__xludf.DUMMYFUNCTION("""COMPUTED_VALUE"""),"Acepto")</f>
        <v>Acepto</v>
      </c>
      <c r="AA114" s="45" t="str">
        <f>IFERROR(__xludf.DUMMYFUNCTION("""COMPUTED_VALUE"""),"Repetido")</f>
        <v>Repetido</v>
      </c>
      <c r="AB114" s="45"/>
      <c r="AC114" s="7"/>
      <c r="AD114" s="7"/>
      <c r="AE114" s="7" t="str">
        <f>IFERROR(__xludf.DUMMYFUNCTION("""COMPUTED_VALUE"""),"No Corresp")</f>
        <v>No Corresp</v>
      </c>
      <c r="AF114" s="7"/>
    </row>
    <row r="115">
      <c r="A115" s="42">
        <f>IFERROR(__xludf.DUMMYFUNCTION("""COMPUTED_VALUE"""),45535.733074675925)</f>
        <v>45535.73307</v>
      </c>
      <c r="B115" s="43" t="str">
        <f>IFERROR(__xludf.DUMMYFUNCTION("""COMPUTED_VALUE"""),"Valentina ")</f>
        <v>Valentina </v>
      </c>
      <c r="C115" s="43" t="str">
        <f>IFERROR(__xludf.DUMMYFUNCTION("""COMPUTED_VALUE"""),"Ferreyra")</f>
        <v>Ferreyra</v>
      </c>
      <c r="D115" s="43" t="str">
        <f>IFERROR(__xludf.DUMMYFUNCTION("""COMPUTED_VALUE"""),"Zárate ")</f>
        <v>Zárate </v>
      </c>
      <c r="E115" s="45" t="str">
        <f>IFERROR(__xludf.DUMMYFUNCTION("""COMPUTED_VALUE"""),"ARG")</f>
        <v>ARG</v>
      </c>
      <c r="F115" s="45">
        <f>IFERROR(__xludf.DUMMYFUNCTION("""COMPUTED_VALUE"""),5.1339867E7)</f>
        <v>51339867</v>
      </c>
      <c r="G115" s="44">
        <f>IFERROR(__xludf.DUMMYFUNCTION("""COMPUTED_VALUE"""),40854.0)</f>
        <v>40854</v>
      </c>
      <c r="H115" s="45">
        <f>IFERROR(__xludf.DUMMYFUNCTION("""COMPUTED_VALUE"""),3.487617188E9)</f>
        <v>3487617188</v>
      </c>
      <c r="I115" s="45"/>
      <c r="J115" s="45" t="str">
        <f>IFERROR(__xludf.DUMMYFUNCTION("""COMPUTED_VALUE"""),"duke_jimegutierrez@hotmail.com")</f>
        <v>duke_jimegutierrez@hotmail.com</v>
      </c>
      <c r="K115" s="45" t="str">
        <f>IFERROR(__xludf.DUMMYFUNCTION("""COMPUTED_VALUE"""),"Femenino")</f>
        <v>Femenino</v>
      </c>
      <c r="L115" s="45" t="str">
        <f>IFERROR(__xludf.DUMMYFUNCTION("""COMPUTED_VALUE"""),"CNZ")</f>
        <v>CNZ</v>
      </c>
      <c r="M115" s="45" t="str">
        <f>IFERROR(__xludf.DUMMYFUNCTION("""COMPUTED_VALUE"""),"Femenino")</f>
        <v>Femenino</v>
      </c>
      <c r="N115" s="7" t="str">
        <f>IFERROR(__xludf.DUMMYFUNCTION("""COMPUTED_VALUE"""),"OPTIMIST TIMONELES")</f>
        <v>OPTIMIST TIMONELES</v>
      </c>
      <c r="O115" s="7"/>
      <c r="P115" s="7">
        <f>IFERROR(__xludf.DUMMYFUNCTION("""COMPUTED_VALUE"""),4144.0)</f>
        <v>4144</v>
      </c>
      <c r="Q115" s="45"/>
      <c r="R115" s="45"/>
      <c r="S115" s="45"/>
      <c r="T115" s="45"/>
      <c r="U115" s="45"/>
      <c r="V115" s="45"/>
      <c r="W115" s="45"/>
      <c r="X115" s="47" t="str">
        <f>IFERROR(__xludf.DUMMYFUNCTION("""COMPUTED_VALUE"""),"Osde")</f>
        <v>Osde</v>
      </c>
      <c r="Y115" s="7" t="str">
        <f>IFERROR(__xludf.DUMMYFUNCTION("""COMPUTED_VALUE"""),"Si")</f>
        <v>Si</v>
      </c>
      <c r="Z115" s="45" t="str">
        <f>IFERROR(__xludf.DUMMYFUNCTION("""COMPUTED_VALUE"""),"Acepto")</f>
        <v>Acepto</v>
      </c>
      <c r="AA115" s="45" t="str">
        <f>IFERROR(__xludf.DUMMYFUNCTION("""COMPUTED_VALUE"""),"Repetido")</f>
        <v>Repetido</v>
      </c>
      <c r="AB115" s="45"/>
      <c r="AC115" s="7"/>
      <c r="AD115" s="7"/>
      <c r="AE115" s="7" t="str">
        <f>IFERROR(__xludf.DUMMYFUNCTION("""COMPUTED_VALUE"""),"No Corresp")</f>
        <v>No Corresp</v>
      </c>
      <c r="AF115" s="7"/>
    </row>
    <row r="116">
      <c r="A116" s="42">
        <f>IFERROR(__xludf.DUMMYFUNCTION("""COMPUTED_VALUE"""),45535.740079201394)</f>
        <v>45535.74008</v>
      </c>
      <c r="B116" s="43" t="str">
        <f>IFERROR(__xludf.DUMMYFUNCTION("""COMPUTED_VALUE"""),"Valentina ")</f>
        <v>Valentina </v>
      </c>
      <c r="C116" s="43" t="str">
        <f>IFERROR(__xludf.DUMMYFUNCTION("""COMPUTED_VALUE"""),"Ferreyra")</f>
        <v>Ferreyra</v>
      </c>
      <c r="D116" s="43" t="str">
        <f>IFERROR(__xludf.DUMMYFUNCTION("""COMPUTED_VALUE"""),"Zárate ")</f>
        <v>Zárate </v>
      </c>
      <c r="E116" s="45" t="str">
        <f>IFERROR(__xludf.DUMMYFUNCTION("""COMPUTED_VALUE"""),"ARG")</f>
        <v>ARG</v>
      </c>
      <c r="F116" s="45">
        <f>IFERROR(__xludf.DUMMYFUNCTION("""COMPUTED_VALUE"""),5.1339867E7)</f>
        <v>51339867</v>
      </c>
      <c r="G116" s="44">
        <f>IFERROR(__xludf.DUMMYFUNCTION("""COMPUTED_VALUE"""),40854.0)</f>
        <v>40854</v>
      </c>
      <c r="H116" s="45">
        <f>IFERROR(__xludf.DUMMYFUNCTION("""COMPUTED_VALUE"""),3.487664811E9)</f>
        <v>3487664811</v>
      </c>
      <c r="I116" s="45">
        <f>IFERROR(__xludf.DUMMYFUNCTION("""COMPUTED_VALUE"""),3.487664811E9)</f>
        <v>3487664811</v>
      </c>
      <c r="J116" s="45" t="str">
        <f>IFERROR(__xludf.DUMMYFUNCTION("""COMPUTED_VALUE"""),"amapizzatti@gmail.com")</f>
        <v>amapizzatti@gmail.com</v>
      </c>
      <c r="K116" s="45" t="str">
        <f>IFERROR(__xludf.DUMMYFUNCTION("""COMPUTED_VALUE"""),"Femenino")</f>
        <v>Femenino</v>
      </c>
      <c r="L116" s="45" t="str">
        <f>IFERROR(__xludf.DUMMYFUNCTION("""COMPUTED_VALUE"""),"CNZ")</f>
        <v>CNZ</v>
      </c>
      <c r="M116" s="45" t="str">
        <f>IFERROR(__xludf.DUMMYFUNCTION("""COMPUTED_VALUE"""),"Femenino")</f>
        <v>Femenino</v>
      </c>
      <c r="N116" s="7" t="str">
        <f>IFERROR(__xludf.DUMMYFUNCTION("""COMPUTED_VALUE"""),"OPTIMIST TIMONELES")</f>
        <v>OPTIMIST TIMONELES</v>
      </c>
      <c r="O116" s="7"/>
      <c r="P116" s="7">
        <f>IFERROR(__xludf.DUMMYFUNCTION("""COMPUTED_VALUE"""),4144.0)</f>
        <v>4144</v>
      </c>
      <c r="Q116" s="45"/>
      <c r="R116" s="45"/>
      <c r="S116" s="45"/>
      <c r="T116" s="45"/>
      <c r="U116" s="45"/>
      <c r="V116" s="45"/>
      <c r="W116" s="45"/>
      <c r="X116" s="47" t="str">
        <f>IFERROR(__xludf.DUMMYFUNCTION("""COMPUTED_VALUE"""),"Osde")</f>
        <v>Osde</v>
      </c>
      <c r="Y116" s="7" t="str">
        <f>IFERROR(__xludf.DUMMYFUNCTION("""COMPUTED_VALUE"""),"Si")</f>
        <v>Si</v>
      </c>
      <c r="Z116" s="45" t="str">
        <f>IFERROR(__xludf.DUMMYFUNCTION("""COMPUTED_VALUE"""),"Acepto")</f>
        <v>Acepto</v>
      </c>
      <c r="AA116" s="45" t="str">
        <f>IFERROR(__xludf.DUMMYFUNCTION("""COMPUTED_VALUE"""),"Repetido")</f>
        <v>Repetido</v>
      </c>
      <c r="AB116" s="45"/>
      <c r="AC116" s="7"/>
      <c r="AD116" s="7"/>
      <c r="AE116" s="7" t="str">
        <f>IFERROR(__xludf.DUMMYFUNCTION("""COMPUTED_VALUE"""),"No Corresp")</f>
        <v>No Corresp</v>
      </c>
      <c r="AF116" s="7"/>
    </row>
    <row r="117">
      <c r="A117" s="42">
        <f>IFERROR(__xludf.DUMMYFUNCTION("""COMPUTED_VALUE"""),45535.73797126157)</f>
        <v>45535.73797</v>
      </c>
      <c r="B117" s="43" t="str">
        <f>IFERROR(__xludf.DUMMYFUNCTION("""COMPUTED_VALUE"""),"Valentina ")</f>
        <v>Valentina </v>
      </c>
      <c r="C117" s="43" t="str">
        <f>IFERROR(__xludf.DUMMYFUNCTION("""COMPUTED_VALUE"""),"Ferreyra ")</f>
        <v>Ferreyra </v>
      </c>
      <c r="D117" s="43" t="str">
        <f>IFERROR(__xludf.DUMMYFUNCTION("""COMPUTED_VALUE"""),"Zárate ")</f>
        <v>Zárate </v>
      </c>
      <c r="E117" s="45" t="str">
        <f>IFERROR(__xludf.DUMMYFUNCTION("""COMPUTED_VALUE"""),"ARG")</f>
        <v>ARG</v>
      </c>
      <c r="F117" s="45">
        <f>IFERROR(__xludf.DUMMYFUNCTION("""COMPUTED_VALUE"""),5.1339867E7)</f>
        <v>51339867</v>
      </c>
      <c r="G117" s="44">
        <f>IFERROR(__xludf.DUMMYFUNCTION("""COMPUTED_VALUE"""),40854.0)</f>
        <v>40854</v>
      </c>
      <c r="H117" s="45">
        <f>IFERROR(__xludf.DUMMYFUNCTION("""COMPUTED_VALUE"""),3.487664811E9)</f>
        <v>3487664811</v>
      </c>
      <c r="I117" s="45">
        <f>IFERROR(__xludf.DUMMYFUNCTION("""COMPUTED_VALUE"""),3.487664811E9)</f>
        <v>3487664811</v>
      </c>
      <c r="J117" s="45" t="str">
        <f>IFERROR(__xludf.DUMMYFUNCTION("""COMPUTED_VALUE"""),"jimesvgutierrez@gmail.com")</f>
        <v>jimesvgutierrez@gmail.com</v>
      </c>
      <c r="K117" s="45" t="str">
        <f>IFERROR(__xludf.DUMMYFUNCTION("""COMPUTED_VALUE"""),"Femenino")</f>
        <v>Femenino</v>
      </c>
      <c r="L117" s="45" t="str">
        <f>IFERROR(__xludf.DUMMYFUNCTION("""COMPUTED_VALUE"""),"CNZ")</f>
        <v>CNZ</v>
      </c>
      <c r="M117" s="45" t="str">
        <f>IFERROR(__xludf.DUMMYFUNCTION("""COMPUTED_VALUE"""),"Femenino")</f>
        <v>Femenino</v>
      </c>
      <c r="N117" s="7" t="str">
        <f>IFERROR(__xludf.DUMMYFUNCTION("""COMPUTED_VALUE"""),"OPTIMIST TIMONELES")</f>
        <v>OPTIMIST TIMONELES</v>
      </c>
      <c r="O117" s="7"/>
      <c r="P117" s="7">
        <f>IFERROR(__xludf.DUMMYFUNCTION("""COMPUTED_VALUE"""),4144.0)</f>
        <v>4144</v>
      </c>
      <c r="Q117" s="45"/>
      <c r="R117" s="45"/>
      <c r="S117" s="45"/>
      <c r="T117" s="45"/>
      <c r="U117" s="45"/>
      <c r="V117" s="45"/>
      <c r="W117" s="45"/>
      <c r="X117" s="47" t="str">
        <f>IFERROR(__xludf.DUMMYFUNCTION("""COMPUTED_VALUE"""),"Osde")</f>
        <v>Osde</v>
      </c>
      <c r="Y117" s="7" t="str">
        <f>IFERROR(__xludf.DUMMYFUNCTION("""COMPUTED_VALUE"""),"Si")</f>
        <v>Si</v>
      </c>
      <c r="Z117" s="45" t="str">
        <f>IFERROR(__xludf.DUMMYFUNCTION("""COMPUTED_VALUE"""),"Acepto")</f>
        <v>Acepto</v>
      </c>
      <c r="AA117" s="45" t="str">
        <f>IFERROR(__xludf.DUMMYFUNCTION("""COMPUTED_VALUE"""),"Terminado")</f>
        <v>Terminado</v>
      </c>
      <c r="AB117" s="45">
        <f>IFERROR(__xludf.DUMMYFUNCTION("""COMPUTED_VALUE"""),50000.0)</f>
        <v>50000</v>
      </c>
      <c r="AC117" s="7">
        <f>IFERROR(__xludf.DUMMYFUNCTION("""COMPUTED_VALUE"""),205373.0)</f>
        <v>205373</v>
      </c>
      <c r="AD117" s="7" t="str">
        <f>IFERROR(__xludf.DUMMYFUNCTION("""COMPUTED_VALUE"""),"TRF 02-09")</f>
        <v>TRF 02-09</v>
      </c>
      <c r="AE117" s="7" t="str">
        <f>IFERROR(__xludf.DUMMYFUNCTION("""COMPUTED_VALUE"""),"OK")</f>
        <v>OK</v>
      </c>
      <c r="AF117" s="7"/>
    </row>
    <row r="118">
      <c r="A118" s="42">
        <f>IFERROR(__xludf.DUMMYFUNCTION("""COMPUTED_VALUE"""),45535.598619375)</f>
        <v>45535.59862</v>
      </c>
      <c r="B118" s="43" t="str">
        <f>IFERROR(__xludf.DUMMYFUNCTION("""COMPUTED_VALUE"""),"Benjamin")</f>
        <v>Benjamin</v>
      </c>
      <c r="C118" s="43" t="str">
        <f>IFERROR(__xludf.DUMMYFUNCTION("""COMPUTED_VALUE"""),"Fleitas")</f>
        <v>Fleitas</v>
      </c>
      <c r="D118" s="43" t="str">
        <f>IFERROR(__xludf.DUMMYFUNCTION("""COMPUTED_VALUE"""),"Zarate")</f>
        <v>Zarate</v>
      </c>
      <c r="E118" s="45" t="str">
        <f>IFERROR(__xludf.DUMMYFUNCTION("""COMPUTED_VALUE"""),"ARG")</f>
        <v>ARG</v>
      </c>
      <c r="F118" s="45">
        <f>IFERROR(__xludf.DUMMYFUNCTION("""COMPUTED_VALUE"""),5.3451464E7)</f>
        <v>53451464</v>
      </c>
      <c r="G118" s="44">
        <f>IFERROR(__xludf.DUMMYFUNCTION("""COMPUTED_VALUE"""),41586.0)</f>
        <v>41586</v>
      </c>
      <c r="H118" s="45">
        <f>IFERROR(__xludf.DUMMYFUNCTION("""COMPUTED_VALUE"""),3.487713649E9)</f>
        <v>3487713649</v>
      </c>
      <c r="I118" s="45">
        <f>IFERROR(__xludf.DUMMYFUNCTION("""COMPUTED_VALUE"""),3.487510959E9)</f>
        <v>3487510959</v>
      </c>
      <c r="J118" s="45" t="str">
        <f>IFERROR(__xludf.DUMMYFUNCTION("""COMPUTED_VALUE"""),"yohanigro27@gmail.com")</f>
        <v>yohanigro27@gmail.com</v>
      </c>
      <c r="K118" s="45" t="str">
        <f>IFERROR(__xludf.DUMMYFUNCTION("""COMPUTED_VALUE"""),"Masculino")</f>
        <v>Masculino</v>
      </c>
      <c r="L118" s="45" t="str">
        <f>IFERROR(__xludf.DUMMYFUNCTION("""COMPUTED_VALUE"""),"CNZ")</f>
        <v>CNZ</v>
      </c>
      <c r="M118" s="45" t="str">
        <f>IFERROR(__xludf.DUMMYFUNCTION("""COMPUTED_VALUE"""),"Interior (Optimist)")</f>
        <v>Interior (Optimist)</v>
      </c>
      <c r="N118" s="7" t="str">
        <f>IFERROR(__xludf.DUMMYFUNCTION("""COMPUTED_VALUE"""),"OPTIMIST PRINCIPIANTES")</f>
        <v>OPTIMIST PRINCIPIANTES</v>
      </c>
      <c r="O118" s="7" t="str">
        <f>IFERROR(__xludf.DUMMYFUNCTION("""COMPUTED_VALUE"""),"Capitán Loco")</f>
        <v>Capitán Loco</v>
      </c>
      <c r="P118" s="7">
        <f>IFERROR(__xludf.DUMMYFUNCTION("""COMPUTED_VALUE"""),3966.0)</f>
        <v>3966</v>
      </c>
      <c r="Q118" s="45" t="str">
        <f>IFERROR(__xludf.DUMMYFUNCTION("""COMPUTED_VALUE"""),"Capitán Loco")</f>
        <v>Capitán Loco</v>
      </c>
      <c r="R118" s="45"/>
      <c r="S118" s="45"/>
      <c r="T118" s="45"/>
      <c r="U118" s="45"/>
      <c r="V118" s="45"/>
      <c r="W118" s="45"/>
      <c r="X118" s="47" t="str">
        <f>IFERROR(__xludf.DUMMYFUNCTION("""COMPUTED_VALUE"""),"Unión personal")</f>
        <v>Unión personal</v>
      </c>
      <c r="Y118" s="7" t="str">
        <f>IFERROR(__xludf.DUMMYFUNCTION("""COMPUTED_VALUE"""),"Si")</f>
        <v>Si</v>
      </c>
      <c r="Z118" s="45" t="str">
        <f>IFERROR(__xludf.DUMMYFUNCTION("""COMPUTED_VALUE"""),"Acepto")</f>
        <v>Acepto</v>
      </c>
      <c r="AA118" s="45" t="str">
        <f>IFERROR(__xludf.DUMMYFUNCTION("""COMPUTED_VALUE"""),"Terminado")</f>
        <v>Terminado</v>
      </c>
      <c r="AB118" s="45">
        <f>IFERROR(__xludf.DUMMYFUNCTION("""COMPUTED_VALUE"""),50000.0)</f>
        <v>50000</v>
      </c>
      <c r="AC118" s="7">
        <f>IFERROR(__xludf.DUMMYFUNCTION("""COMPUTED_VALUE"""),205158.0)</f>
        <v>205158</v>
      </c>
      <c r="AD118" s="7" t="str">
        <f>IFERROR(__xludf.DUMMYFUNCTION("""COMPUTED_VALUE"""),"TRF 31-08")</f>
        <v>TRF 31-08</v>
      </c>
      <c r="AE118" s="7" t="str">
        <f>IFERROR(__xludf.DUMMYFUNCTION("""COMPUTED_VALUE"""),"OK")</f>
        <v>OK</v>
      </c>
      <c r="AF118" s="7"/>
    </row>
    <row r="119">
      <c r="A119" s="42">
        <f>IFERROR(__xludf.DUMMYFUNCTION("""COMPUTED_VALUE"""),45536.45395056713)</f>
        <v>45536.45395</v>
      </c>
      <c r="B119" s="43" t="str">
        <f>IFERROR(__xludf.DUMMYFUNCTION("""COMPUTED_VALUE"""),"Sofia")</f>
        <v>Sofia</v>
      </c>
      <c r="C119" s="43" t="str">
        <f>IFERROR(__xludf.DUMMYFUNCTION("""COMPUTED_VALUE"""),"Frogone ")</f>
        <v>Frogone </v>
      </c>
      <c r="D119" s="43" t="str">
        <f>IFERROR(__xludf.DUMMYFUNCTION("""COMPUTED_VALUE"""),"CABA ")</f>
        <v>CABA </v>
      </c>
      <c r="E119" s="45" t="str">
        <f>IFERROR(__xludf.DUMMYFUNCTION("""COMPUTED_VALUE"""),"ARG")</f>
        <v>ARG</v>
      </c>
      <c r="F119" s="45">
        <f>IFERROR(__xludf.DUMMYFUNCTION("""COMPUTED_VALUE"""),5.1066023E7)</f>
        <v>51066023</v>
      </c>
      <c r="G119" s="44">
        <f>IFERROR(__xludf.DUMMYFUNCTION("""COMPUTED_VALUE"""),40608.0)</f>
        <v>40608</v>
      </c>
      <c r="H119" s="45">
        <f>IFERROR(__xludf.DUMMYFUNCTION("""COMPUTED_VALUE"""),1.170540311E9)</f>
        <v>1170540311</v>
      </c>
      <c r="I119" s="45">
        <f>IFERROR(__xludf.DUMMYFUNCTION("""COMPUTED_VALUE"""),1.165586633E9)</f>
        <v>1165586633</v>
      </c>
      <c r="J119" s="45" t="str">
        <f>IFERROR(__xludf.DUMMYFUNCTION("""COMPUTED_VALUE"""),"gfrogone@gmail.com")</f>
        <v>gfrogone@gmail.com</v>
      </c>
      <c r="K119" s="45" t="str">
        <f>IFERROR(__xludf.DUMMYFUNCTION("""COMPUTED_VALUE"""),"Femenino")</f>
        <v>Femenino</v>
      </c>
      <c r="L119" s="45" t="str">
        <f>IFERROR(__xludf.DUMMYFUNCTION("""COMPUTED_VALUE"""),"Yccn")</f>
        <v>Yccn</v>
      </c>
      <c r="M119" s="45" t="str">
        <f>IFERROR(__xludf.DUMMYFUNCTION("""COMPUTED_VALUE"""),"Femenino")</f>
        <v>Femenino</v>
      </c>
      <c r="N119" s="7" t="str">
        <f>IFERROR(__xludf.DUMMYFUNCTION("""COMPUTED_VALUE"""),"OPTIMIST PRINCIPIANTES")</f>
        <v>OPTIMIST PRINCIPIANTES</v>
      </c>
      <c r="O119" s="7"/>
      <c r="P119" s="7" t="str">
        <f>IFERROR(__xludf.DUMMYFUNCTION("""COMPUTED_VALUE"""),"ARG3295")</f>
        <v>ARG3295</v>
      </c>
      <c r="Q119" s="45" t="str">
        <f>IFERROR(__xludf.DUMMYFUNCTION("""COMPUTED_VALUE"""),"Tormenta")</f>
        <v>Tormenta</v>
      </c>
      <c r="R119" s="45"/>
      <c r="S119" s="45"/>
      <c r="T119" s="45"/>
      <c r="U119" s="45"/>
      <c r="V119" s="45"/>
      <c r="W119" s="45"/>
      <c r="X119" s="47" t="str">
        <f>IFERROR(__xludf.DUMMYFUNCTION("""COMPUTED_VALUE"""),"Galeno 0171025902 08")</f>
        <v>Galeno 0171025902 08</v>
      </c>
      <c r="Y119" s="7" t="str">
        <f>IFERROR(__xludf.DUMMYFUNCTION("""COMPUTED_VALUE"""),"No")</f>
        <v>No</v>
      </c>
      <c r="Z119" s="45" t="str">
        <f>IFERROR(__xludf.DUMMYFUNCTION("""COMPUTED_VALUE"""),"Acepto")</f>
        <v>Acepto</v>
      </c>
      <c r="AA119" s="45" t="str">
        <f>IFERROR(__xludf.DUMMYFUNCTION("""COMPUTED_VALUE"""),"Terminado")</f>
        <v>Terminado</v>
      </c>
      <c r="AB119" s="45">
        <f>IFERROR(__xludf.DUMMYFUNCTION("""COMPUTED_VALUE"""),50000.0)</f>
        <v>50000</v>
      </c>
      <c r="AC119" s="7">
        <f>IFERROR(__xludf.DUMMYFUNCTION("""COMPUTED_VALUE"""),205377.0)</f>
        <v>205377</v>
      </c>
      <c r="AD119" s="7" t="str">
        <f>IFERROR(__xludf.DUMMYFUNCTION("""COMPUTED_VALUE"""),"TRF 02-09")</f>
        <v>TRF 02-09</v>
      </c>
      <c r="AE119" s="7" t="str">
        <f>IFERROR(__xludf.DUMMYFUNCTION("""COMPUTED_VALUE"""),"OK")</f>
        <v>OK</v>
      </c>
      <c r="AF119" s="7"/>
    </row>
    <row r="120">
      <c r="A120" s="42">
        <f>IFERROR(__xludf.DUMMYFUNCTION("""COMPUTED_VALUE"""),45531.43645282407)</f>
        <v>45531.43645</v>
      </c>
      <c r="B120" s="43" t="str">
        <f>IFERROR(__xludf.DUMMYFUNCTION("""COMPUTED_VALUE"""),"Renata")</f>
        <v>Renata</v>
      </c>
      <c r="C120" s="43" t="str">
        <f>IFERROR(__xludf.DUMMYFUNCTION("""COMPUTED_VALUE"""),"Fuhrmann")</f>
        <v>Fuhrmann</v>
      </c>
      <c r="D120" s="43" t="str">
        <f>IFERROR(__xludf.DUMMYFUNCTION("""COMPUTED_VALUE"""),"Buenos Aires")</f>
        <v>Buenos Aires</v>
      </c>
      <c r="E120" s="45" t="str">
        <f>IFERROR(__xludf.DUMMYFUNCTION("""COMPUTED_VALUE"""),"ARG")</f>
        <v>ARG</v>
      </c>
      <c r="F120" s="45">
        <f>IFERROR(__xludf.DUMMYFUNCTION("""COMPUTED_VALUE"""),5.3956527E7)</f>
        <v>53956527</v>
      </c>
      <c r="G120" s="44">
        <f>IFERROR(__xludf.DUMMYFUNCTION("""COMPUTED_VALUE"""),41774.0)</f>
        <v>41774</v>
      </c>
      <c r="H120" s="45" t="str">
        <f>IFERROR(__xludf.DUMMYFUNCTION("""COMPUTED_VALUE"""),"01160235442")</f>
        <v>01160235442</v>
      </c>
      <c r="I120" s="45" t="str">
        <f>IFERROR(__xludf.DUMMYFUNCTION("""COMPUTED_VALUE"""),"01167433488")</f>
        <v>01167433488</v>
      </c>
      <c r="J120" s="45" t="str">
        <f>IFERROR(__xludf.DUMMYFUNCTION("""COMPUTED_VALUE"""),"alejandro.fuhrmann@gmail.com")</f>
        <v>alejandro.fuhrmann@gmail.com</v>
      </c>
      <c r="K120" s="45" t="str">
        <f>IFERROR(__xludf.DUMMYFUNCTION("""COMPUTED_VALUE"""),"Femenino")</f>
        <v>Femenino</v>
      </c>
      <c r="L120" s="45" t="str">
        <f>IFERROR(__xludf.DUMMYFUNCTION("""COMPUTED_VALUE"""),"CNAs")</f>
        <v>CNAs</v>
      </c>
      <c r="M120" s="45" t="str">
        <f>IFERROR(__xludf.DUMMYFUNCTION("""COMPUTED_VALUE"""),"Femenino")</f>
        <v>Femenino</v>
      </c>
      <c r="N120" s="7" t="str">
        <f>IFERROR(__xludf.DUMMYFUNCTION("""COMPUTED_VALUE"""),"OPTIMIST TIMONELES")</f>
        <v>OPTIMIST TIMONELES</v>
      </c>
      <c r="O120" s="7"/>
      <c r="P120" s="7">
        <f>IFERROR(__xludf.DUMMYFUNCTION("""COMPUTED_VALUE"""),3832.0)</f>
        <v>3832</v>
      </c>
      <c r="Q120" s="45" t="str">
        <f>IFERROR(__xludf.DUMMYFUNCTION("""COMPUTED_VALUE"""),"Chimichanga")</f>
        <v>Chimichanga</v>
      </c>
      <c r="R120" s="45"/>
      <c r="S120" s="45"/>
      <c r="T120" s="45"/>
      <c r="U120" s="45"/>
      <c r="V120" s="45"/>
      <c r="W120" s="45"/>
      <c r="X120" s="47" t="str">
        <f>IFERROR(__xludf.DUMMYFUNCTION("""COMPUTED_VALUE"""),"OSDE")</f>
        <v>OSDE</v>
      </c>
      <c r="Y120" s="7" t="str">
        <f>IFERROR(__xludf.DUMMYFUNCTION("""COMPUTED_VALUE"""),"Si")</f>
        <v>Si</v>
      </c>
      <c r="Z120" s="45" t="str">
        <f>IFERROR(__xludf.DUMMYFUNCTION("""COMPUTED_VALUE"""),"Acepto")</f>
        <v>Acepto</v>
      </c>
      <c r="AA120" s="45" t="str">
        <f>IFERROR(__xludf.DUMMYFUNCTION("""COMPUTED_VALUE"""),"Terminado")</f>
        <v>Terminado</v>
      </c>
      <c r="AB120" s="45">
        <f>IFERROR(__xludf.DUMMYFUNCTION("""COMPUTED_VALUE"""),50000.0)</f>
        <v>50000</v>
      </c>
      <c r="AC120" s="7">
        <f>IFERROR(__xludf.DUMMYFUNCTION("""COMPUTED_VALUE"""),205096.0)</f>
        <v>205096</v>
      </c>
      <c r="AD120" s="7" t="str">
        <f>IFERROR(__xludf.DUMMYFUNCTION("""COMPUTED_VALUE"""),"TRF 30-08")</f>
        <v>TRF 30-08</v>
      </c>
      <c r="AE120" s="7" t="str">
        <f>IFERROR(__xludf.DUMMYFUNCTION("""COMPUTED_VALUE"""),"OK")</f>
        <v>OK</v>
      </c>
      <c r="AF120" s="7"/>
    </row>
    <row r="121">
      <c r="A121" s="42">
        <f>IFERROR(__xludf.DUMMYFUNCTION("""COMPUTED_VALUE"""),45535.772223900465)</f>
        <v>45535.77222</v>
      </c>
      <c r="B121" s="43" t="str">
        <f>IFERROR(__xludf.DUMMYFUNCTION("""COMPUTED_VALUE"""),"De Bernardis ")</f>
        <v>De Bernardis </v>
      </c>
      <c r="C121" s="43" t="str">
        <f>IFERROR(__xludf.DUMMYFUNCTION("""COMPUTED_VALUE"""),"Gael")</f>
        <v>Gael</v>
      </c>
      <c r="D121" s="43" t="str">
        <f>IFERROR(__xludf.DUMMYFUNCTION("""COMPUTED_VALUE"""),"CABA ")</f>
        <v>CABA </v>
      </c>
      <c r="E121" s="45" t="str">
        <f>IFERROR(__xludf.DUMMYFUNCTION("""COMPUTED_VALUE"""),"ARG")</f>
        <v>ARG</v>
      </c>
      <c r="F121" s="45">
        <f>IFERROR(__xludf.DUMMYFUNCTION("""COMPUTED_VALUE"""),5.3645984E7)</f>
        <v>53645984</v>
      </c>
      <c r="G121" s="44">
        <f>IFERROR(__xludf.DUMMYFUNCTION("""COMPUTED_VALUE"""),41628.0)</f>
        <v>41628</v>
      </c>
      <c r="H121" s="45">
        <f>IFERROR(__xludf.DUMMYFUNCTION("""COMPUTED_VALUE"""),5.491160461122E12)</f>
        <v>5491160461122</v>
      </c>
      <c r="I121" s="45">
        <f>IFERROR(__xludf.DUMMYFUNCTION("""COMPUTED_VALUE"""),5.491140918515E12)</f>
        <v>5491140918515</v>
      </c>
      <c r="J121" s="45" t="str">
        <f>IFERROR(__xludf.DUMMYFUNCTION("""COMPUTED_VALUE"""),"Pmdebernardis@gmail.com")</f>
        <v>Pmdebernardis@gmail.com</v>
      </c>
      <c r="K121" s="45" t="str">
        <f>IFERROR(__xludf.DUMMYFUNCTION("""COMPUTED_VALUE"""),"Masculino")</f>
        <v>Masculino</v>
      </c>
      <c r="L121" s="45" t="str">
        <f>IFERROR(__xludf.DUMMYFUNCTION("""COMPUTED_VALUE"""),"YCA")</f>
        <v>YCA</v>
      </c>
      <c r="M121" s="45" t="str">
        <f>IFERROR(__xludf.DUMMYFUNCTION("""COMPUTED_VALUE"""),"Interior (Optimist)")</f>
        <v>Interior (Optimist)</v>
      </c>
      <c r="N121" s="7" t="str">
        <f>IFERROR(__xludf.DUMMYFUNCTION("""COMPUTED_VALUE"""),"OPTIMIST PRINCIPIANTES")</f>
        <v>OPTIMIST PRINCIPIANTES</v>
      </c>
      <c r="O121" s="7"/>
      <c r="P121" s="7">
        <f>IFERROR(__xludf.DUMMYFUNCTION("""COMPUTED_VALUE"""),3800.0)</f>
        <v>3800</v>
      </c>
      <c r="Q121" s="45"/>
      <c r="R121" s="45"/>
      <c r="S121" s="45"/>
      <c r="T121" s="45"/>
      <c r="U121" s="45"/>
      <c r="V121" s="45"/>
      <c r="W121" s="45"/>
      <c r="X121" s="47" t="str">
        <f>IFERROR(__xludf.DUMMYFUNCTION("""COMPUTED_VALUE"""),"OMINT 102033806")</f>
        <v>OMINT 102033806</v>
      </c>
      <c r="Y121" s="7" t="str">
        <f>IFERROR(__xludf.DUMMYFUNCTION("""COMPUTED_VALUE"""),"No")</f>
        <v>No</v>
      </c>
      <c r="Z121" s="45" t="str">
        <f>IFERROR(__xludf.DUMMYFUNCTION("""COMPUTED_VALUE"""),"Acepto")</f>
        <v>Acepto</v>
      </c>
      <c r="AA121" s="45" t="str">
        <f>IFERROR(__xludf.DUMMYFUNCTION("""COMPUTED_VALUE"""),"Terminado")</f>
        <v>Terminado</v>
      </c>
      <c r="AB121" s="45">
        <f>IFERROR(__xludf.DUMMYFUNCTION("""COMPUTED_VALUE"""),50000.0)</f>
        <v>50000</v>
      </c>
      <c r="AC121" s="7">
        <f>IFERROR(__xludf.DUMMYFUNCTION("""COMPUTED_VALUE"""),205348.0)</f>
        <v>205348</v>
      </c>
      <c r="AD121" s="7" t="str">
        <f>IFERROR(__xludf.DUMMYFUNCTION("""COMPUTED_VALUE"""),"TRF 31-08")</f>
        <v>TRF 31-08</v>
      </c>
      <c r="AE121" s="7" t="str">
        <f>IFERROR(__xludf.DUMMYFUNCTION("""COMPUTED_VALUE"""),"OK")</f>
        <v>OK</v>
      </c>
      <c r="AF121" s="7"/>
    </row>
    <row r="122">
      <c r="A122" s="42">
        <f>IFERROR(__xludf.DUMMYFUNCTION("""COMPUTED_VALUE"""),45531.80023443287)</f>
        <v>45531.80023</v>
      </c>
      <c r="B122" s="43" t="str">
        <f>IFERROR(__xludf.DUMMYFUNCTION("""COMPUTED_VALUE"""),"Lucia")</f>
        <v>Lucia</v>
      </c>
      <c r="C122" s="43" t="str">
        <f>IFERROR(__xludf.DUMMYFUNCTION("""COMPUTED_VALUE"""),"Galli Kluge")</f>
        <v>Galli Kluge</v>
      </c>
      <c r="D122" s="43" t="str">
        <f>IFERROR(__xludf.DUMMYFUNCTION("""COMPUTED_VALUE"""),"CABA")</f>
        <v>CABA</v>
      </c>
      <c r="E122" s="45" t="str">
        <f>IFERROR(__xludf.DUMMYFUNCTION("""COMPUTED_VALUE"""),"ARG")</f>
        <v>ARG</v>
      </c>
      <c r="F122" s="45">
        <f>IFERROR(__xludf.DUMMYFUNCTION("""COMPUTED_VALUE"""),5.2141121E7)</f>
        <v>52141121</v>
      </c>
      <c r="G122" s="44">
        <f>IFERROR(__xludf.DUMMYFUNCTION("""COMPUTED_VALUE"""),40946.0)</f>
        <v>40946</v>
      </c>
      <c r="H122" s="45">
        <f>IFERROR(__xludf.DUMMYFUNCTION("""COMPUTED_VALUE"""),1.131637901E9)</f>
        <v>1131637901</v>
      </c>
      <c r="I122" s="45">
        <f>IFERROR(__xludf.DUMMYFUNCTION("""COMPUTED_VALUE"""),1.131637901E9)</f>
        <v>1131637901</v>
      </c>
      <c r="J122" s="45" t="str">
        <f>IFERROR(__xludf.DUMMYFUNCTION("""COMPUTED_VALUE"""),"martinianogalli@gmail.com")</f>
        <v>martinianogalli@gmail.com</v>
      </c>
      <c r="K122" s="45" t="str">
        <f>IFERROR(__xludf.DUMMYFUNCTION("""COMPUTED_VALUE"""),"Femenino")</f>
        <v>Femenino</v>
      </c>
      <c r="L122" s="45" t="str">
        <f>IFERROR(__xludf.DUMMYFUNCTION("""COMPUTED_VALUE"""),"CVB")</f>
        <v>CVB</v>
      </c>
      <c r="M122" s="45" t="str">
        <f>IFERROR(__xludf.DUMMYFUNCTION("""COMPUTED_VALUE"""),"Femenino")</f>
        <v>Femenino</v>
      </c>
      <c r="N122" s="7" t="str">
        <f>IFERROR(__xludf.DUMMYFUNCTION("""COMPUTED_VALUE"""),"OPTIMIST PRINCIPIANTES")</f>
        <v>OPTIMIST PRINCIPIANTES</v>
      </c>
      <c r="O122" s="7"/>
      <c r="P122" s="7">
        <f>IFERROR(__xludf.DUMMYFUNCTION("""COMPUTED_VALUE"""),3162.0)</f>
        <v>3162</v>
      </c>
      <c r="Q122" s="45"/>
      <c r="R122" s="45"/>
      <c r="S122" s="45"/>
      <c r="T122" s="45"/>
      <c r="U122" s="45"/>
      <c r="V122" s="45"/>
      <c r="W122" s="45"/>
      <c r="X122" s="47" t="str">
        <f>IFERROR(__xludf.DUMMYFUNCTION("""COMPUTED_VALUE"""),"OSDE")</f>
        <v>OSDE</v>
      </c>
      <c r="Y122" s="7" t="str">
        <f>IFERROR(__xludf.DUMMYFUNCTION("""COMPUTED_VALUE"""),"Si")</f>
        <v>Si</v>
      </c>
      <c r="Z122" s="45" t="str">
        <f>IFERROR(__xludf.DUMMYFUNCTION("""COMPUTED_VALUE"""),"Acepto")</f>
        <v>Acepto</v>
      </c>
      <c r="AA122" s="45" t="str">
        <f>IFERROR(__xludf.DUMMYFUNCTION("""COMPUTED_VALUE"""),"Terminado")</f>
        <v>Terminado</v>
      </c>
      <c r="AB122" s="45">
        <f>IFERROR(__xludf.DUMMYFUNCTION("""COMPUTED_VALUE"""),50000.0)</f>
        <v>50000</v>
      </c>
      <c r="AC122" s="7">
        <f>IFERROR(__xludf.DUMMYFUNCTION("""COMPUTED_VALUE"""),205060.0)</f>
        <v>205060</v>
      </c>
      <c r="AD122" s="7" t="str">
        <f>IFERROR(__xludf.DUMMYFUNCTION("""COMPUTED_VALUE"""),"TRF 27-08")</f>
        <v>TRF 27-08</v>
      </c>
      <c r="AE122" s="7" t="str">
        <f>IFERROR(__xludf.DUMMYFUNCTION("""COMPUTED_VALUE"""),"OK")</f>
        <v>OK</v>
      </c>
      <c r="AF122" s="7" t="str">
        <f>IFERROR(__xludf.DUMMYFUNCTION("""COMPUTED_VALUE"""),"SI")</f>
        <v>SI</v>
      </c>
    </row>
    <row r="123">
      <c r="A123" s="42">
        <f>IFERROR(__xludf.DUMMYFUNCTION("""COMPUTED_VALUE"""),45531.80804548611)</f>
        <v>45531.80805</v>
      </c>
      <c r="B123" s="43" t="str">
        <f>IFERROR(__xludf.DUMMYFUNCTION("""COMPUTED_VALUE"""),"Valentina")</f>
        <v>Valentina</v>
      </c>
      <c r="C123" s="43" t="str">
        <f>IFERROR(__xludf.DUMMYFUNCTION("""COMPUTED_VALUE"""),"Galli Kluge")</f>
        <v>Galli Kluge</v>
      </c>
      <c r="D123" s="43" t="str">
        <f>IFERROR(__xludf.DUMMYFUNCTION("""COMPUTED_VALUE"""),"CABA")</f>
        <v>CABA</v>
      </c>
      <c r="E123" s="45" t="str">
        <f>IFERROR(__xludf.DUMMYFUNCTION("""COMPUTED_VALUE"""),"ARG")</f>
        <v>ARG</v>
      </c>
      <c r="F123" s="45">
        <f>IFERROR(__xludf.DUMMYFUNCTION("""COMPUTED_VALUE"""),4.9703324E7)</f>
        <v>49703324</v>
      </c>
      <c r="G123" s="44">
        <f>IFERROR(__xludf.DUMMYFUNCTION("""COMPUTED_VALUE"""),40055.0)</f>
        <v>40055</v>
      </c>
      <c r="H123" s="45">
        <f>IFERROR(__xludf.DUMMYFUNCTION("""COMPUTED_VALUE"""),1.131637901E9)</f>
        <v>1131637901</v>
      </c>
      <c r="I123" s="45">
        <f>IFERROR(__xludf.DUMMYFUNCTION("""COMPUTED_VALUE"""),1.131637901E9)</f>
        <v>1131637901</v>
      </c>
      <c r="J123" s="45" t="str">
        <f>IFERROR(__xludf.DUMMYFUNCTION("""COMPUTED_VALUE"""),"martinianogalli@gmail.com")</f>
        <v>martinianogalli@gmail.com</v>
      </c>
      <c r="K123" s="45" t="str">
        <f>IFERROR(__xludf.DUMMYFUNCTION("""COMPUTED_VALUE"""),"Femenino")</f>
        <v>Femenino</v>
      </c>
      <c r="L123" s="45" t="str">
        <f>IFERROR(__xludf.DUMMYFUNCTION("""COMPUTED_VALUE"""),"CVB")</f>
        <v>CVB</v>
      </c>
      <c r="M123" s="45" t="str">
        <f>IFERROR(__xludf.DUMMYFUNCTION("""COMPUTED_VALUE"""),"Femenino")</f>
        <v>Femenino</v>
      </c>
      <c r="N123" s="7" t="str">
        <f>IFERROR(__xludf.DUMMYFUNCTION("""COMPUTED_VALUE"""),"ILCA 4")</f>
        <v>ILCA 4</v>
      </c>
      <c r="O123" s="7"/>
      <c r="P123" s="7">
        <f>IFERROR(__xludf.DUMMYFUNCTION("""COMPUTED_VALUE"""),32.0)</f>
        <v>32</v>
      </c>
      <c r="Q123" s="45"/>
      <c r="R123" s="45"/>
      <c r="S123" s="45"/>
      <c r="T123" s="45"/>
      <c r="U123" s="45"/>
      <c r="V123" s="45"/>
      <c r="W123" s="45"/>
      <c r="X123" s="47" t="str">
        <f>IFERROR(__xludf.DUMMYFUNCTION("""COMPUTED_VALUE"""),"OSDE")</f>
        <v>OSDE</v>
      </c>
      <c r="Y123" s="7" t="str">
        <f>IFERROR(__xludf.DUMMYFUNCTION("""COMPUTED_VALUE"""),"Si")</f>
        <v>Si</v>
      </c>
      <c r="Z123" s="45" t="str">
        <f>IFERROR(__xludf.DUMMYFUNCTION("""COMPUTED_VALUE"""),"Acepto")</f>
        <v>Acepto</v>
      </c>
      <c r="AA123" s="45" t="str">
        <f>IFERROR(__xludf.DUMMYFUNCTION("""COMPUTED_VALUE"""),"Terminado")</f>
        <v>Terminado</v>
      </c>
      <c r="AB123" s="45">
        <f>IFERROR(__xludf.DUMMYFUNCTION("""COMPUTED_VALUE"""),45000.0)</f>
        <v>45000</v>
      </c>
      <c r="AC123" s="7">
        <f>IFERROR(__xludf.DUMMYFUNCTION("""COMPUTED_VALUE"""),205061.0)</f>
        <v>205061</v>
      </c>
      <c r="AD123" s="7" t="str">
        <f>IFERROR(__xludf.DUMMYFUNCTION("""COMPUTED_VALUE"""),"TRF 27-08")</f>
        <v>TRF 27-08</v>
      </c>
      <c r="AE123" s="7" t="str">
        <f>IFERROR(__xludf.DUMMYFUNCTION("""COMPUTED_VALUE"""),"OK")</f>
        <v>OK</v>
      </c>
      <c r="AF123" s="7"/>
    </row>
    <row r="124">
      <c r="A124" s="42">
        <f>IFERROR(__xludf.DUMMYFUNCTION("""COMPUTED_VALUE"""),45537.635903483795)</f>
        <v>45537.6359</v>
      </c>
      <c r="B124" s="43" t="str">
        <f>IFERROR(__xludf.DUMMYFUNCTION("""COMPUTED_VALUE"""),"Benjamin")</f>
        <v>Benjamin</v>
      </c>
      <c r="C124" s="43" t="str">
        <f>IFERROR(__xludf.DUMMYFUNCTION("""COMPUTED_VALUE"""),"Galvan")</f>
        <v>Galvan</v>
      </c>
      <c r="D124" s="43" t="str">
        <f>IFERROR(__xludf.DUMMYFUNCTION("""COMPUTED_VALUE"""),"La Plata")</f>
        <v>La Plata</v>
      </c>
      <c r="E124" s="45" t="str">
        <f>IFERROR(__xludf.DUMMYFUNCTION("""COMPUTED_VALUE"""),"ARG")</f>
        <v>ARG</v>
      </c>
      <c r="F124" s="45">
        <f>IFERROR(__xludf.DUMMYFUNCTION("""COMPUTED_VALUE"""),4.6269356E7)</f>
        <v>46269356</v>
      </c>
      <c r="G124" s="44">
        <f>IFERROR(__xludf.DUMMYFUNCTION("""COMPUTED_VALUE"""),38288.0)</f>
        <v>38288</v>
      </c>
      <c r="H124" s="45">
        <f>IFERROR(__xludf.DUMMYFUNCTION("""COMPUTED_VALUE"""),2.214289917E9)</f>
        <v>2214289917</v>
      </c>
      <c r="I124" s="45">
        <f>IFERROR(__xludf.DUMMYFUNCTION("""COMPUTED_VALUE"""),2.21463832E9)</f>
        <v>2214638320</v>
      </c>
      <c r="J124" s="45" t="str">
        <f>IFERROR(__xludf.DUMMYFUNCTION("""COMPUTED_VALUE"""),"galvanb612@gmail.com")</f>
        <v>galvanb612@gmail.com</v>
      </c>
      <c r="K124" s="45" t="str">
        <f>IFERROR(__xludf.DUMMYFUNCTION("""COMPUTED_VALUE"""),"Masculino")</f>
        <v>Masculino</v>
      </c>
      <c r="L124" s="45" t="str">
        <f>IFERROR(__xludf.DUMMYFUNCTION("""COMPUTED_VALUE"""),"YCO")</f>
        <v>YCO</v>
      </c>
      <c r="M124" s="45" t="str">
        <f>IFERROR(__xludf.DUMMYFUNCTION("""COMPUTED_VALUE"""),"Sub 21")</f>
        <v>Sub 21</v>
      </c>
      <c r="N124" s="7" t="str">
        <f>IFERROR(__xludf.DUMMYFUNCTION("""COMPUTED_VALUE"""),"ILCA 7")</f>
        <v>ILCA 7</v>
      </c>
      <c r="O124" s="7"/>
      <c r="P124" s="7">
        <f>IFERROR(__xludf.DUMMYFUNCTION("""COMPUTED_VALUE"""),217355.0)</f>
        <v>217355</v>
      </c>
      <c r="Q124" s="45"/>
      <c r="R124" s="45"/>
      <c r="S124" s="45"/>
      <c r="T124" s="45"/>
      <c r="U124" s="45"/>
      <c r="V124" s="45"/>
      <c r="W124" s="45"/>
      <c r="X124" s="47">
        <f>IFERROR(__xludf.DUMMYFUNCTION("""COMPUTED_VALUE"""),4.6269356E7)</f>
        <v>46269356</v>
      </c>
      <c r="Y124" s="7" t="str">
        <f>IFERROR(__xludf.DUMMYFUNCTION("""COMPUTED_VALUE"""),"Si")</f>
        <v>Si</v>
      </c>
      <c r="Z124" s="45" t="str">
        <f>IFERROR(__xludf.DUMMYFUNCTION("""COMPUTED_VALUE"""),"Acepto")</f>
        <v>Acepto</v>
      </c>
      <c r="AA124" s="45" t="str">
        <f>IFERROR(__xludf.DUMMYFUNCTION("""COMPUTED_VALUE"""),"Terminado")</f>
        <v>Terminado</v>
      </c>
      <c r="AB124" s="45">
        <f>IFERROR(__xludf.DUMMYFUNCTION("""COMPUTED_VALUE"""),45000.0)</f>
        <v>45000</v>
      </c>
      <c r="AC124" s="7">
        <f>IFERROR(__xludf.DUMMYFUNCTION("""COMPUTED_VALUE"""),206483.0)</f>
        <v>206483</v>
      </c>
      <c r="AD124" s="7" t="str">
        <f>IFERROR(__xludf.DUMMYFUNCTION("""COMPUTED_VALUE"""),"TRF 03-09")</f>
        <v>TRF 03-09</v>
      </c>
      <c r="AE124" s="7" t="str">
        <f>IFERROR(__xludf.DUMMYFUNCTION("""COMPUTED_VALUE"""),"No Corresp")</f>
        <v>No Corresp</v>
      </c>
      <c r="AF124" s="7"/>
    </row>
    <row r="125">
      <c r="A125" s="42">
        <f>IFERROR(__xludf.DUMMYFUNCTION("""COMPUTED_VALUE"""),45537.63803188657)</f>
        <v>45537.63803</v>
      </c>
      <c r="B125" s="43" t="str">
        <f>IFERROR(__xludf.DUMMYFUNCTION("""COMPUTED_VALUE"""),"Joaquin")</f>
        <v>Joaquin</v>
      </c>
      <c r="C125" s="43" t="str">
        <f>IFERROR(__xludf.DUMMYFUNCTION("""COMPUTED_VALUE"""),"Galvan")</f>
        <v>Galvan</v>
      </c>
      <c r="D125" s="43" t="str">
        <f>IFERROR(__xludf.DUMMYFUNCTION("""COMPUTED_VALUE"""),"La Plata")</f>
        <v>La Plata</v>
      </c>
      <c r="E125" s="45" t="str">
        <f>IFERROR(__xludf.DUMMYFUNCTION("""COMPUTED_VALUE"""),"ARG")</f>
        <v>ARG</v>
      </c>
      <c r="F125" s="45">
        <f>IFERROR(__xludf.DUMMYFUNCTION("""COMPUTED_VALUE"""),4.8167738E7)</f>
        <v>48167738</v>
      </c>
      <c r="G125" s="44">
        <f>IFERROR(__xludf.DUMMYFUNCTION("""COMPUTED_VALUE"""),39322.0)</f>
        <v>39322</v>
      </c>
      <c r="H125" s="45">
        <f>IFERROR(__xludf.DUMMYFUNCTION("""COMPUTED_VALUE"""),2.215255503E9)</f>
        <v>2215255503</v>
      </c>
      <c r="I125" s="45">
        <f>IFERROR(__xludf.DUMMYFUNCTION("""COMPUTED_VALUE"""),2.21463832E9)</f>
        <v>2214638320</v>
      </c>
      <c r="J125" s="45" t="str">
        <f>IFERROR(__xludf.DUMMYFUNCTION("""COMPUTED_VALUE"""),"galvanb612@gmail.com")</f>
        <v>galvanb612@gmail.com</v>
      </c>
      <c r="K125" s="45" t="str">
        <f>IFERROR(__xludf.DUMMYFUNCTION("""COMPUTED_VALUE"""),"Masculino")</f>
        <v>Masculino</v>
      </c>
      <c r="L125" s="45" t="str">
        <f>IFERROR(__xludf.DUMMYFUNCTION("""COMPUTED_VALUE"""),"YCO")</f>
        <v>YCO</v>
      </c>
      <c r="M125" s="45" t="str">
        <f>IFERROR(__xludf.DUMMYFUNCTION("""COMPUTED_VALUE"""),"Sub 19")</f>
        <v>Sub 19</v>
      </c>
      <c r="N125" s="7" t="str">
        <f>IFERROR(__xludf.DUMMYFUNCTION("""COMPUTED_VALUE"""),"ILCA 6")</f>
        <v>ILCA 6</v>
      </c>
      <c r="O125" s="7"/>
      <c r="P125" s="7">
        <f>IFERROR(__xludf.DUMMYFUNCTION("""COMPUTED_VALUE"""),223046.0)</f>
        <v>223046</v>
      </c>
      <c r="Q125" s="45"/>
      <c r="R125" s="45"/>
      <c r="S125" s="45"/>
      <c r="T125" s="45"/>
      <c r="U125" s="45"/>
      <c r="V125" s="45"/>
      <c r="W125" s="45"/>
      <c r="X125" s="47">
        <f>IFERROR(__xludf.DUMMYFUNCTION("""COMPUTED_VALUE"""),4.8167738E7)</f>
        <v>48167738</v>
      </c>
      <c r="Y125" s="7" t="str">
        <f>IFERROR(__xludf.DUMMYFUNCTION("""COMPUTED_VALUE"""),"Si")</f>
        <v>Si</v>
      </c>
      <c r="Z125" s="45" t="str">
        <f>IFERROR(__xludf.DUMMYFUNCTION("""COMPUTED_VALUE"""),"Acepto")</f>
        <v>Acepto</v>
      </c>
      <c r="AA125" s="45" t="str">
        <f>IFERROR(__xludf.DUMMYFUNCTION("""COMPUTED_VALUE"""),"Terminado")</f>
        <v>Terminado</v>
      </c>
      <c r="AB125" s="45">
        <f>IFERROR(__xludf.DUMMYFUNCTION("""COMPUTED_VALUE"""),45000.0)</f>
        <v>45000</v>
      </c>
      <c r="AC125" s="7">
        <f>IFERROR(__xludf.DUMMYFUNCTION("""COMPUTED_VALUE"""),205482.0)</f>
        <v>205482</v>
      </c>
      <c r="AD125" s="7" t="str">
        <f>IFERROR(__xludf.DUMMYFUNCTION("""COMPUTED_VALUE"""),"TRF 03-09")</f>
        <v>TRF 03-09</v>
      </c>
      <c r="AE125" s="7" t="str">
        <f>IFERROR(__xludf.DUMMYFUNCTION("""COMPUTED_VALUE"""),"OK")</f>
        <v>OK</v>
      </c>
      <c r="AF125" s="7"/>
    </row>
    <row r="126">
      <c r="A126" s="42">
        <f>IFERROR(__xludf.DUMMYFUNCTION("""COMPUTED_VALUE"""),45533.38527478009)</f>
        <v>45533.38527</v>
      </c>
      <c r="B126" s="43" t="str">
        <f>IFERROR(__xludf.DUMMYFUNCTION("""COMPUTED_VALUE"""),"Nicolás ")</f>
        <v>Nicolás </v>
      </c>
      <c r="C126" s="43" t="str">
        <f>IFERROR(__xludf.DUMMYFUNCTION("""COMPUTED_VALUE"""),"Garcia")</f>
        <v>Garcia</v>
      </c>
      <c r="D126" s="43" t="str">
        <f>IFERROR(__xludf.DUMMYFUNCTION("""COMPUTED_VALUE"""),"Bahia Blanca")</f>
        <v>Bahia Blanca</v>
      </c>
      <c r="E126" s="45" t="str">
        <f>IFERROR(__xludf.DUMMYFUNCTION("""COMPUTED_VALUE"""),"ARG")</f>
        <v>ARG</v>
      </c>
      <c r="F126" s="45">
        <f>IFERROR(__xludf.DUMMYFUNCTION("""COMPUTED_VALUE"""),2.6958355E7)</f>
        <v>26958355</v>
      </c>
      <c r="G126" s="44">
        <f>IFERROR(__xludf.DUMMYFUNCTION("""COMPUTED_VALUE"""),28769.0)</f>
        <v>28769</v>
      </c>
      <c r="H126" s="45">
        <f>IFERROR(__xludf.DUMMYFUNCTION("""COMPUTED_VALUE"""),2.6958355E7)</f>
        <v>26958355</v>
      </c>
      <c r="I126" s="45" t="str">
        <f>IFERROR(__xludf.DUMMYFUNCTION("""COMPUTED_VALUE"""),"+54 9 291 414 3068")</f>
        <v>+54 9 291 414 3068</v>
      </c>
      <c r="J126" s="45" t="str">
        <f>IFERROR(__xludf.DUMMYFUNCTION("""COMPUTED_VALUE"""),"ngarcia@eco-petrol.com.ar")</f>
        <v>ngarcia@eco-petrol.com.ar</v>
      </c>
      <c r="K126" s="45" t="str">
        <f>IFERROR(__xludf.DUMMYFUNCTION("""COMPUTED_VALUE"""),"Masculino")</f>
        <v>Masculino</v>
      </c>
      <c r="L126" s="45" t="str">
        <f>IFERROR(__xludf.DUMMYFUNCTION("""COMPUTED_VALUE"""),"YCO")</f>
        <v>YCO</v>
      </c>
      <c r="M126" s="45" t="str">
        <f>IFERROR(__xludf.DUMMYFUNCTION("""COMPUTED_VALUE"""),"Mixto")</f>
        <v>Mixto</v>
      </c>
      <c r="N126" s="7" t="str">
        <f>IFERROR(__xludf.DUMMYFUNCTION("""COMPUTED_VALUE"""),"SNIPE")</f>
        <v>SNIPE</v>
      </c>
      <c r="O126" s="7"/>
      <c r="P126" s="7">
        <f>IFERROR(__xludf.DUMMYFUNCTION("""COMPUTED_VALUE"""),31808.0)</f>
        <v>31808</v>
      </c>
      <c r="Q126" s="45"/>
      <c r="R126" s="45" t="str">
        <f>IFERROR(__xludf.DUMMYFUNCTION("""COMPUTED_VALUE"""),"Mariela Salerno")</f>
        <v>Mariela Salerno</v>
      </c>
      <c r="S126" s="45"/>
      <c r="T126" s="45"/>
      <c r="U126" s="45"/>
      <c r="V126" s="45"/>
      <c r="W126" s="45"/>
      <c r="X126" s="47"/>
      <c r="Y126" s="7" t="str">
        <f>IFERROR(__xludf.DUMMYFUNCTION("""COMPUTED_VALUE"""),"Si")</f>
        <v>Si</v>
      </c>
      <c r="Z126" s="45" t="str">
        <f>IFERROR(__xludf.DUMMYFUNCTION("""COMPUTED_VALUE"""),"Acepto")</f>
        <v>Acepto</v>
      </c>
      <c r="AA126" s="45" t="str">
        <f>IFERROR(__xludf.DUMMYFUNCTION("""COMPUTED_VALUE"""),"Terminado")</f>
        <v>Terminado</v>
      </c>
      <c r="AB126" s="45">
        <f>IFERROR(__xludf.DUMMYFUNCTION("""COMPUTED_VALUE"""),60000.0)</f>
        <v>60000</v>
      </c>
      <c r="AC126" s="7">
        <f>IFERROR(__xludf.DUMMYFUNCTION("""COMPUTED_VALUE"""),205120.0)</f>
        <v>205120</v>
      </c>
      <c r="AD126" s="7" t="str">
        <f>IFERROR(__xludf.DUMMYFUNCTION("""COMPUTED_VALUE"""),"Tarj.31-08")</f>
        <v>Tarj.31-08</v>
      </c>
      <c r="AE126" s="7" t="str">
        <f>IFERROR(__xludf.DUMMYFUNCTION("""COMPUTED_VALUE"""),"No Corresp")</f>
        <v>No Corresp</v>
      </c>
      <c r="AF126" s="7" t="str">
        <f>IFERROR(__xludf.DUMMYFUNCTION("""COMPUTED_VALUE"""),"Si")</f>
        <v>Si</v>
      </c>
    </row>
    <row r="127">
      <c r="A127" s="42">
        <f>IFERROR(__xludf.DUMMYFUNCTION("""COMPUTED_VALUE"""),45535.708234791666)</f>
        <v>45535.70823</v>
      </c>
      <c r="B127" s="43" t="str">
        <f>IFERROR(__xludf.DUMMYFUNCTION("""COMPUTED_VALUE"""),"Alejandro ")</f>
        <v>Alejandro </v>
      </c>
      <c r="C127" s="43" t="str">
        <f>IFERROR(__xludf.DUMMYFUNCTION("""COMPUTED_VALUE"""),"Garcia")</f>
        <v>Garcia</v>
      </c>
      <c r="D127" s="43" t="str">
        <f>IFERROR(__xludf.DUMMYFUNCTION("""COMPUTED_VALUE"""),"Caba")</f>
        <v>Caba</v>
      </c>
      <c r="E127" s="45" t="str">
        <f>IFERROR(__xludf.DUMMYFUNCTION("""COMPUTED_VALUE"""),"ARG")</f>
        <v>ARG</v>
      </c>
      <c r="F127" s="45">
        <f>IFERROR(__xludf.DUMMYFUNCTION("""COMPUTED_VALUE"""),2.6562029E7)</f>
        <v>26562029</v>
      </c>
      <c r="G127" s="44">
        <f>IFERROR(__xludf.DUMMYFUNCTION("""COMPUTED_VALUE"""),28571.0)</f>
        <v>28571</v>
      </c>
      <c r="H127" s="45">
        <f>IFERROR(__xludf.DUMMYFUNCTION("""COMPUTED_VALUE"""),1.16124584E9)</f>
        <v>1161245840</v>
      </c>
      <c r="I127" s="45">
        <f>IFERROR(__xludf.DUMMYFUNCTION("""COMPUTED_VALUE"""),1.16124584E9)</f>
        <v>1161245840</v>
      </c>
      <c r="J127" s="45" t="str">
        <f>IFERROR(__xludf.DUMMYFUNCTION("""COMPUTED_VALUE"""),"Alejandro_19788@hotmail.com")</f>
        <v>Alejandro_19788@hotmail.com</v>
      </c>
      <c r="K127" s="45" t="str">
        <f>IFERROR(__xludf.DUMMYFUNCTION("""COMPUTED_VALUE"""),"Masculino")</f>
        <v>Masculino</v>
      </c>
      <c r="L127" s="45" t="str">
        <f>IFERROR(__xludf.DUMMYFUNCTION("""COMPUTED_VALUE"""),"Club Nautico Albatros")</f>
        <v>Club Nautico Albatros</v>
      </c>
      <c r="M127" s="45" t="str">
        <f>IFERROR(__xludf.DUMMYFUNCTION("""COMPUTED_VALUE"""),"Master (ILCA)")</f>
        <v>Master (ILCA)</v>
      </c>
      <c r="N127" s="7" t="str">
        <f>IFERROR(__xludf.DUMMYFUNCTION("""COMPUTED_VALUE"""),"ILCA 6")</f>
        <v>ILCA 6</v>
      </c>
      <c r="O127" s="7">
        <f>IFERROR(__xludf.DUMMYFUNCTION("""COMPUTED_VALUE"""),134.0)</f>
        <v>134</v>
      </c>
      <c r="P127" s="7">
        <f>IFERROR(__xludf.DUMMYFUNCTION("""COMPUTED_VALUE"""),221117.0)</f>
        <v>221117</v>
      </c>
      <c r="Q127" s="45" t="str">
        <f>IFERROR(__xludf.DUMMYFUNCTION("""COMPUTED_VALUE"""),"Selkirk")</f>
        <v>Selkirk</v>
      </c>
      <c r="R127" s="45"/>
      <c r="S127" s="45"/>
      <c r="T127" s="45"/>
      <c r="U127" s="45"/>
      <c r="V127" s="45"/>
      <c r="W127" s="45"/>
      <c r="X127" s="47" t="str">
        <f>IFERROR(__xludf.DUMMYFUNCTION("""COMPUTED_VALUE"""),"Omint")</f>
        <v>Omint</v>
      </c>
      <c r="Y127" s="7" t="str">
        <f>IFERROR(__xludf.DUMMYFUNCTION("""COMPUTED_VALUE"""),"No")</f>
        <v>No</v>
      </c>
      <c r="Z127" s="45" t="str">
        <f>IFERROR(__xludf.DUMMYFUNCTION("""COMPUTED_VALUE"""),"Acepto")</f>
        <v>Acepto</v>
      </c>
      <c r="AA127" s="45" t="str">
        <f>IFERROR(__xludf.DUMMYFUNCTION("""COMPUTED_VALUE"""),"Terminado")</f>
        <v>Terminado</v>
      </c>
      <c r="AB127" s="45">
        <f>IFERROR(__xludf.DUMMYFUNCTION("""COMPUTED_VALUE"""),45000.0)</f>
        <v>45000</v>
      </c>
      <c r="AC127" s="7">
        <f>IFERROR(__xludf.DUMMYFUNCTION("""COMPUTED_VALUE"""),205378.0)</f>
        <v>205378</v>
      </c>
      <c r="AD127" s="7" t="str">
        <f>IFERROR(__xludf.DUMMYFUNCTION("""COMPUTED_VALUE"""),"TRF 02-09")</f>
        <v>TRF 02-09</v>
      </c>
      <c r="AE127" s="7" t="str">
        <f>IFERROR(__xludf.DUMMYFUNCTION("""COMPUTED_VALUE"""),"No Corresp")</f>
        <v>No Corresp</v>
      </c>
      <c r="AF127" s="7"/>
    </row>
    <row r="128">
      <c r="A128" s="42">
        <f>IFERROR(__xludf.DUMMYFUNCTION("""COMPUTED_VALUE"""),45539.86732614583)</f>
        <v>45539.86733</v>
      </c>
      <c r="B128" s="43" t="str">
        <f>IFERROR(__xludf.DUMMYFUNCTION("""COMPUTED_VALUE"""),"Lisandro ")</f>
        <v>Lisandro </v>
      </c>
      <c r="C128" s="43" t="str">
        <f>IFERROR(__xludf.DUMMYFUNCTION("""COMPUTED_VALUE"""),"García ")</f>
        <v>García </v>
      </c>
      <c r="D128" s="43" t="str">
        <f>IFERROR(__xludf.DUMMYFUNCTION("""COMPUTED_VALUE"""),"Ituzaingó ")</f>
        <v>Ituzaingó </v>
      </c>
      <c r="E128" s="45" t="str">
        <f>IFERROR(__xludf.DUMMYFUNCTION("""COMPUTED_VALUE"""),"ARG")</f>
        <v>ARG</v>
      </c>
      <c r="F128" s="45">
        <f>IFERROR(__xludf.DUMMYFUNCTION("""COMPUTED_VALUE"""),2.3175944E7)</f>
        <v>23175944</v>
      </c>
      <c r="G128" s="57">
        <f>IFERROR(__xludf.DUMMYFUNCTION("""COMPUTED_VALUE"""),26893.0)</f>
        <v>26893</v>
      </c>
      <c r="H128" s="45">
        <f>IFERROR(__xludf.DUMMYFUNCTION("""COMPUTED_VALUE"""),1.168452008E9)</f>
        <v>1168452008</v>
      </c>
      <c r="I128" s="45">
        <f>IFERROR(__xludf.DUMMYFUNCTION("""COMPUTED_VALUE"""),1.127230426E9)</f>
        <v>1127230426</v>
      </c>
      <c r="J128" s="45" t="str">
        <f>IFERROR(__xludf.DUMMYFUNCTION("""COMPUTED_VALUE"""),"lisandropf@hotmail.com")</f>
        <v>lisandropf@hotmail.com</v>
      </c>
      <c r="K128" s="45" t="str">
        <f>IFERROR(__xludf.DUMMYFUNCTION("""COMPUTED_VALUE"""),"Masculino")</f>
        <v>Masculino</v>
      </c>
      <c r="L128" s="45" t="str">
        <f>IFERROR(__xludf.DUMMYFUNCTION("""COMPUTED_VALUE"""),"CUBA")</f>
        <v>CUBA</v>
      </c>
      <c r="M128" s="45"/>
      <c r="N128" s="7" t="str">
        <f>IFERROR(__xludf.DUMMYFUNCTION("""COMPUTED_VALUE"""),"GRUMETE")</f>
        <v>GRUMETE</v>
      </c>
      <c r="O128" s="7"/>
      <c r="P128" s="7">
        <f>IFERROR(__xludf.DUMMYFUNCTION("""COMPUTED_VALUE"""),87.0)</f>
        <v>87</v>
      </c>
      <c r="Q128" s="45" t="str">
        <f>IFERROR(__xludf.DUMMYFUNCTION("""COMPUTED_VALUE"""),"URUNDAY ")</f>
        <v>URUNDAY </v>
      </c>
      <c r="R128" s="45" t="str">
        <f>IFERROR(__xludf.DUMMYFUNCTION("""COMPUTED_VALUE"""),"Castro julian")</f>
        <v>Castro julian</v>
      </c>
      <c r="S128" s="45" t="str">
        <f>IFERROR(__xludf.DUMMYFUNCTION("""COMPUTED_VALUE"""),"Bonorino sergio")</f>
        <v>Bonorino sergio</v>
      </c>
      <c r="T128" s="45"/>
      <c r="U128" s="45"/>
      <c r="V128" s="45"/>
      <c r="W128" s="45"/>
      <c r="X128" s="47"/>
      <c r="Y128" s="7" t="str">
        <f>IFERROR(__xludf.DUMMYFUNCTION("""COMPUTED_VALUE"""),"No")</f>
        <v>No</v>
      </c>
      <c r="Z128" s="45" t="str">
        <f>IFERROR(__xludf.DUMMYFUNCTION("""COMPUTED_VALUE"""),"Acepto")</f>
        <v>Acepto</v>
      </c>
      <c r="AA128" s="45" t="str">
        <f>IFERROR(__xludf.DUMMYFUNCTION("""COMPUTED_VALUE"""),"Terminado")</f>
        <v>Terminado</v>
      </c>
      <c r="AB128" s="45">
        <f>IFERROR(__xludf.DUMMYFUNCTION("""COMPUTED_VALUE"""),50000.0)</f>
        <v>50000</v>
      </c>
      <c r="AC128" s="7">
        <f>IFERROR(__xludf.DUMMYFUNCTION("""COMPUTED_VALUE"""),205540.0)</f>
        <v>205540</v>
      </c>
      <c r="AD128" s="7" t="str">
        <f>IFERROR(__xludf.DUMMYFUNCTION("""COMPUTED_VALUE"""),"TRF 06-09")</f>
        <v>TRF 06-09</v>
      </c>
      <c r="AE128" s="7" t="str">
        <f>IFERROR(__xludf.DUMMYFUNCTION("""COMPUTED_VALUE"""),"No Corresp")</f>
        <v>No Corresp</v>
      </c>
      <c r="AF128" s="7"/>
    </row>
    <row r="129">
      <c r="A129" s="42">
        <f>IFERROR(__xludf.DUMMYFUNCTION("""COMPUTED_VALUE"""),45535.43489752315)</f>
        <v>45535.4349</v>
      </c>
      <c r="B129" s="43" t="str">
        <f>IFERROR(__xludf.DUMMYFUNCTION("""COMPUTED_VALUE"""),"Damasia")</f>
        <v>Damasia</v>
      </c>
      <c r="C129" s="43" t="str">
        <f>IFERROR(__xludf.DUMMYFUNCTION("""COMPUTED_VALUE"""),"García Canteli ")</f>
        <v>García Canteli </v>
      </c>
      <c r="D129" s="43" t="str">
        <f>IFERROR(__xludf.DUMMYFUNCTION("""COMPUTED_VALUE"""),"Tigre")</f>
        <v>Tigre</v>
      </c>
      <c r="E129" s="45" t="str">
        <f>IFERROR(__xludf.DUMMYFUNCTION("""COMPUTED_VALUE"""),"ARG")</f>
        <v>ARG</v>
      </c>
      <c r="F129" s="45">
        <f>IFERROR(__xludf.DUMMYFUNCTION("""COMPUTED_VALUE"""),5.0435588E7)</f>
        <v>50435588</v>
      </c>
      <c r="G129" s="44">
        <f>IFERROR(__xludf.DUMMYFUNCTION("""COMPUTED_VALUE"""),40374.0)</f>
        <v>40374</v>
      </c>
      <c r="H129" s="45">
        <f>IFERROR(__xludf.DUMMYFUNCTION("""COMPUTED_VALUE"""),1.144379842E9)</f>
        <v>1144379842</v>
      </c>
      <c r="I129" s="45">
        <f>IFERROR(__xludf.DUMMYFUNCTION("""COMPUTED_VALUE"""),1.144379842E9)</f>
        <v>1144379842</v>
      </c>
      <c r="J129" s="45" t="str">
        <f>IFERROR(__xludf.DUMMYFUNCTION("""COMPUTED_VALUE"""),"ignagcanteli@yahoo.com.ar")</f>
        <v>ignagcanteli@yahoo.com.ar</v>
      </c>
      <c r="K129" s="45" t="str">
        <f>IFERROR(__xludf.DUMMYFUNCTION("""COMPUTED_VALUE"""),"Femenino")</f>
        <v>Femenino</v>
      </c>
      <c r="L129" s="45" t="str">
        <f>IFERROR(__xludf.DUMMYFUNCTION("""COMPUTED_VALUE"""),"CNSI")</f>
        <v>CNSI</v>
      </c>
      <c r="M129" s="45" t="str">
        <f>IFERROR(__xludf.DUMMYFUNCTION("""COMPUTED_VALUE"""),"Femenino")</f>
        <v>Femenino</v>
      </c>
      <c r="N129" s="7" t="str">
        <f>IFERROR(__xludf.DUMMYFUNCTION("""COMPUTED_VALUE"""),"OPTIMIST TIMONELES")</f>
        <v>OPTIMIST TIMONELES</v>
      </c>
      <c r="O129" s="7"/>
      <c r="P129" s="7">
        <f>IFERROR(__xludf.DUMMYFUNCTION("""COMPUTED_VALUE"""),3823.0)</f>
        <v>3823</v>
      </c>
      <c r="Q129" s="45" t="str">
        <f>IFERROR(__xludf.DUMMYFUNCTION("""COMPUTED_VALUE"""),"Damasia")</f>
        <v>Damasia</v>
      </c>
      <c r="R129" s="45"/>
      <c r="S129" s="45"/>
      <c r="T129" s="45"/>
      <c r="U129" s="45"/>
      <c r="V129" s="45"/>
      <c r="W129" s="45"/>
      <c r="X129" s="47" t="str">
        <f>IFERROR(__xludf.DUMMYFUNCTION("""COMPUTED_VALUE"""),"OSDE 410")</f>
        <v>OSDE 410</v>
      </c>
      <c r="Y129" s="7" t="str">
        <f>IFERROR(__xludf.DUMMYFUNCTION("""COMPUTED_VALUE"""),"No")</f>
        <v>No</v>
      </c>
      <c r="Z129" s="45" t="str">
        <f>IFERROR(__xludf.DUMMYFUNCTION("""COMPUTED_VALUE"""),"Acepto")</f>
        <v>Acepto</v>
      </c>
      <c r="AA129" s="45" t="str">
        <f>IFERROR(__xludf.DUMMYFUNCTION("""COMPUTED_VALUE"""),"Terminado")</f>
        <v>Terminado</v>
      </c>
      <c r="AB129" s="45">
        <f>IFERROR(__xludf.DUMMYFUNCTION("""COMPUTED_VALUE"""),50000.0)</f>
        <v>50000</v>
      </c>
      <c r="AC129" s="7">
        <f>IFERROR(__xludf.DUMMYFUNCTION("""COMPUTED_VALUE"""),205352.0)</f>
        <v>205352</v>
      </c>
      <c r="AD129" s="7" t="str">
        <f>IFERROR(__xludf.DUMMYFUNCTION("""COMPUTED_VALUE"""),"TRF 31-08")</f>
        <v>TRF 31-08</v>
      </c>
      <c r="AE129" s="7" t="str">
        <f>IFERROR(__xludf.DUMMYFUNCTION("""COMPUTED_VALUE"""),"OK")</f>
        <v>OK</v>
      </c>
      <c r="AF129" s="7"/>
    </row>
    <row r="130">
      <c r="A130" s="42">
        <f>IFERROR(__xludf.DUMMYFUNCTION("""COMPUTED_VALUE"""),45535.659965300925)</f>
        <v>45535.65997</v>
      </c>
      <c r="B130" s="43" t="str">
        <f>IFERROR(__xludf.DUMMYFUNCTION("""COMPUTED_VALUE"""),"Matias Uriel")</f>
        <v>Matias Uriel</v>
      </c>
      <c r="C130" s="43" t="str">
        <f>IFERROR(__xludf.DUMMYFUNCTION("""COMPUTED_VALUE"""),"García Cecolisio")</f>
        <v>García Cecolisio</v>
      </c>
      <c r="D130" s="43" t="str">
        <f>IFERROR(__xludf.DUMMYFUNCTION("""COMPUTED_VALUE"""),"San Isidro")</f>
        <v>San Isidro</v>
      </c>
      <c r="E130" s="45" t="str">
        <f>IFERROR(__xludf.DUMMYFUNCTION("""COMPUTED_VALUE"""),"ARG")</f>
        <v>ARG</v>
      </c>
      <c r="F130" s="45">
        <f>IFERROR(__xludf.DUMMYFUNCTION("""COMPUTED_VALUE"""),4.9313131E7)</f>
        <v>49313131</v>
      </c>
      <c r="G130" s="44">
        <f>IFERROR(__xludf.DUMMYFUNCTION("""COMPUTED_VALUE"""),39860.0)</f>
        <v>39860</v>
      </c>
      <c r="H130" s="45">
        <f>IFERROR(__xludf.DUMMYFUNCTION("""COMPUTED_VALUE"""),1.136996219E9)</f>
        <v>1136996219</v>
      </c>
      <c r="I130" s="45">
        <f>IFERROR(__xludf.DUMMYFUNCTION("""COMPUTED_VALUE"""),1.136996219E9)</f>
        <v>1136996219</v>
      </c>
      <c r="J130" s="45" t="str">
        <f>IFERROR(__xludf.DUMMYFUNCTION("""COMPUTED_VALUE"""),"gfgg100@yahoo.com.ar")</f>
        <v>gfgg100@yahoo.com.ar</v>
      </c>
      <c r="K130" s="45" t="str">
        <f>IFERROR(__xludf.DUMMYFUNCTION("""COMPUTED_VALUE"""),"Masculino")</f>
        <v>Masculino</v>
      </c>
      <c r="L130" s="45" t="str">
        <f>IFERROR(__xludf.DUMMYFUNCTION("""COMPUTED_VALUE"""),"CNGSM")</f>
        <v>CNGSM</v>
      </c>
      <c r="M130" s="45" t="str">
        <f>IFERROR(__xludf.DUMMYFUNCTION("""COMPUTED_VALUE"""),"Optimist")</f>
        <v>Optimist</v>
      </c>
      <c r="N130" s="7" t="str">
        <f>IFERROR(__xludf.DUMMYFUNCTION("""COMPUTED_VALUE"""),"OPTIMIST TIMONELES")</f>
        <v>OPTIMIST TIMONELES</v>
      </c>
      <c r="O130" s="7"/>
      <c r="P130" s="7">
        <f>IFERROR(__xludf.DUMMYFUNCTION("""COMPUTED_VALUE"""),2984.0)</f>
        <v>2984</v>
      </c>
      <c r="Q130" s="45" t="str">
        <f>IFERROR(__xludf.DUMMYFUNCTION("""COMPUTED_VALUE"""),"Pegasso")</f>
        <v>Pegasso</v>
      </c>
      <c r="R130" s="45"/>
      <c r="S130" s="45"/>
      <c r="T130" s="45"/>
      <c r="U130" s="45"/>
      <c r="V130" s="45"/>
      <c r="W130" s="45"/>
      <c r="X130" s="47">
        <f>IFERROR(__xludf.DUMMYFUNCTION("""COMPUTED_VALUE"""),6.0849216602E10)</f>
        <v>60849216602</v>
      </c>
      <c r="Y130" s="7" t="str">
        <f>IFERROR(__xludf.DUMMYFUNCTION("""COMPUTED_VALUE"""),"No")</f>
        <v>No</v>
      </c>
      <c r="Z130" s="45" t="str">
        <f>IFERROR(__xludf.DUMMYFUNCTION("""COMPUTED_VALUE"""),"Acepto")</f>
        <v>Acepto</v>
      </c>
      <c r="AA130" s="45" t="str">
        <f>IFERROR(__xludf.DUMMYFUNCTION("""COMPUTED_VALUE"""),"Terminado")</f>
        <v>Terminado</v>
      </c>
      <c r="AB130" s="45">
        <f>IFERROR(__xludf.DUMMYFUNCTION("""COMPUTED_VALUE"""),50000.0)</f>
        <v>50000</v>
      </c>
      <c r="AC130" s="7">
        <f>IFERROR(__xludf.DUMMYFUNCTION("""COMPUTED_VALUE"""),205360.0)</f>
        <v>205360</v>
      </c>
      <c r="AD130" s="7" t="str">
        <f>IFERROR(__xludf.DUMMYFUNCTION("""COMPUTED_VALUE"""),"TRF 31-08")</f>
        <v>TRF 31-08</v>
      </c>
      <c r="AE130" s="7" t="str">
        <f>IFERROR(__xludf.DUMMYFUNCTION("""COMPUTED_VALUE"""),"OK")</f>
        <v>OK</v>
      </c>
      <c r="AF130" s="7" t="str">
        <f>IFERROR(__xludf.DUMMYFUNCTION("""COMPUTED_VALUE"""),"SI")</f>
        <v>SI</v>
      </c>
    </row>
    <row r="131">
      <c r="A131" s="42">
        <f>IFERROR(__xludf.DUMMYFUNCTION("""COMPUTED_VALUE"""),45535.66399239583)</f>
        <v>45535.66399</v>
      </c>
      <c r="B131" s="43" t="str">
        <f>IFERROR(__xludf.DUMMYFUNCTION("""COMPUTED_VALUE"""),"Thiago Nahuel")</f>
        <v>Thiago Nahuel</v>
      </c>
      <c r="C131" s="43" t="str">
        <f>IFERROR(__xludf.DUMMYFUNCTION("""COMPUTED_VALUE"""),"García Cecolisio")</f>
        <v>García Cecolisio</v>
      </c>
      <c r="D131" s="43" t="str">
        <f>IFERROR(__xludf.DUMMYFUNCTION("""COMPUTED_VALUE"""),"San Isidro")</f>
        <v>San Isidro</v>
      </c>
      <c r="E131" s="45" t="str">
        <f>IFERROR(__xludf.DUMMYFUNCTION("""COMPUTED_VALUE"""),"ARG")</f>
        <v>ARG</v>
      </c>
      <c r="F131" s="45">
        <f>IFERROR(__xludf.DUMMYFUNCTION("""COMPUTED_VALUE"""),5.3896167E7)</f>
        <v>53896167</v>
      </c>
      <c r="G131" s="44">
        <f>IFERROR(__xludf.DUMMYFUNCTION("""COMPUTED_VALUE"""),41717.0)</f>
        <v>41717</v>
      </c>
      <c r="H131" s="45">
        <f>IFERROR(__xludf.DUMMYFUNCTION("""COMPUTED_VALUE"""),1.136996219E9)</f>
        <v>1136996219</v>
      </c>
      <c r="I131" s="45">
        <f>IFERROR(__xludf.DUMMYFUNCTION("""COMPUTED_VALUE"""),1.136996219E9)</f>
        <v>1136996219</v>
      </c>
      <c r="J131" s="45" t="str">
        <f>IFERROR(__xludf.DUMMYFUNCTION("""COMPUTED_VALUE"""),"gfgg100@yahoo.com.ar")</f>
        <v>gfgg100@yahoo.com.ar</v>
      </c>
      <c r="K131" s="45" t="str">
        <f>IFERROR(__xludf.DUMMYFUNCTION("""COMPUTED_VALUE"""),"Masculino")</f>
        <v>Masculino</v>
      </c>
      <c r="L131" s="45" t="str">
        <f>IFERROR(__xludf.DUMMYFUNCTION("""COMPUTED_VALUE"""),"CNGSM")</f>
        <v>CNGSM</v>
      </c>
      <c r="M131" s="45" t="str">
        <f>IFERROR(__xludf.DUMMYFUNCTION("""COMPUTED_VALUE"""),"Optimist")</f>
        <v>Optimist</v>
      </c>
      <c r="N131" s="7" t="str">
        <f>IFERROR(__xludf.DUMMYFUNCTION("""COMPUTED_VALUE"""),"OPTIMIST PRINCIPIANTES")</f>
        <v>OPTIMIST PRINCIPIANTES</v>
      </c>
      <c r="O131" s="7"/>
      <c r="P131" s="7">
        <f>IFERROR(__xludf.DUMMYFUNCTION("""COMPUTED_VALUE"""),3447.0)</f>
        <v>3447</v>
      </c>
      <c r="Q131" s="45"/>
      <c r="R131" s="45"/>
      <c r="S131" s="45"/>
      <c r="T131" s="45"/>
      <c r="U131" s="45"/>
      <c r="V131" s="45"/>
      <c r="W131" s="45"/>
      <c r="X131" s="47" t="str">
        <f>IFERROR(__xludf.DUMMYFUNCTION("""COMPUTED_VALUE"""),"Osde 60849216603")</f>
        <v>Osde 60849216603</v>
      </c>
      <c r="Y131" s="7" t="str">
        <f>IFERROR(__xludf.DUMMYFUNCTION("""COMPUTED_VALUE"""),"No")</f>
        <v>No</v>
      </c>
      <c r="Z131" s="45" t="str">
        <f>IFERROR(__xludf.DUMMYFUNCTION("""COMPUTED_VALUE"""),"Acepto")</f>
        <v>Acepto</v>
      </c>
      <c r="AA131" s="45" t="str">
        <f>IFERROR(__xludf.DUMMYFUNCTION("""COMPUTED_VALUE"""),"Terminado")</f>
        <v>Terminado</v>
      </c>
      <c r="AB131" s="45">
        <f>IFERROR(__xludf.DUMMYFUNCTION("""COMPUTED_VALUE"""),50000.0)</f>
        <v>50000</v>
      </c>
      <c r="AC131" s="7">
        <f>IFERROR(__xludf.DUMMYFUNCTION("""COMPUTED_VALUE"""),205361.0)</f>
        <v>205361</v>
      </c>
      <c r="AD131" s="7" t="str">
        <f>IFERROR(__xludf.DUMMYFUNCTION("""COMPUTED_VALUE"""),"TRF 31-08")</f>
        <v>TRF 31-08</v>
      </c>
      <c r="AE131" s="7" t="str">
        <f>IFERROR(__xludf.DUMMYFUNCTION("""COMPUTED_VALUE"""),"OK")</f>
        <v>OK</v>
      </c>
      <c r="AF131" s="7" t="str">
        <f>IFERROR(__xludf.DUMMYFUNCTION("""COMPUTED_VALUE"""),"SI")</f>
        <v>SI</v>
      </c>
    </row>
    <row r="132">
      <c r="A132" s="42">
        <f>IFERROR(__xludf.DUMMYFUNCTION("""COMPUTED_VALUE"""),45536.91886533565)</f>
        <v>45536.91887</v>
      </c>
      <c r="B132" s="43" t="str">
        <f>IFERROR(__xludf.DUMMYFUNCTION("""COMPUTED_VALUE"""),"Indiana")</f>
        <v>Indiana</v>
      </c>
      <c r="C132" s="43" t="str">
        <f>IFERROR(__xludf.DUMMYFUNCTION("""COMPUTED_VALUE"""),"Garro")</f>
        <v>Garro</v>
      </c>
      <c r="D132" s="43" t="str">
        <f>IFERROR(__xludf.DUMMYFUNCTION("""COMPUTED_VALUE"""),"Tigre")</f>
        <v>Tigre</v>
      </c>
      <c r="E132" s="45" t="str">
        <f>IFERROR(__xludf.DUMMYFUNCTION("""COMPUTED_VALUE"""),"ARG")</f>
        <v>ARG</v>
      </c>
      <c r="F132" s="45">
        <f>IFERROR(__xludf.DUMMYFUNCTION("""COMPUTED_VALUE"""),5.1330536E7)</f>
        <v>51330536</v>
      </c>
      <c r="G132" s="44">
        <f>IFERROR(__xludf.DUMMYFUNCTION("""COMPUTED_VALUE"""),40823.0)</f>
        <v>40823</v>
      </c>
      <c r="H132" s="45">
        <f>IFERROR(__xludf.DUMMYFUNCTION("""COMPUTED_VALUE"""),1.134070484E9)</f>
        <v>1134070484</v>
      </c>
      <c r="I132" s="45"/>
      <c r="J132" s="45" t="str">
        <f>IFERROR(__xludf.DUMMYFUNCTION("""COMPUTED_VALUE"""),"ani1407@yahoo.com.ar")</f>
        <v>ani1407@yahoo.com.ar</v>
      </c>
      <c r="K132" s="45" t="str">
        <f>IFERROR(__xludf.DUMMYFUNCTION("""COMPUTED_VALUE"""),"Femenino")</f>
        <v>Femenino</v>
      </c>
      <c r="L132" s="45" t="str">
        <f>IFERROR(__xludf.DUMMYFUNCTION("""COMPUTED_VALUE"""),"CVB")</f>
        <v>CVB</v>
      </c>
      <c r="M132" s="45" t="str">
        <f>IFERROR(__xludf.DUMMYFUNCTION("""COMPUTED_VALUE"""),"Femenino")</f>
        <v>Femenino</v>
      </c>
      <c r="N132" s="7" t="str">
        <f>IFERROR(__xludf.DUMMYFUNCTION("""COMPUTED_VALUE"""),"OPTIMIST PRINCIPIANTES")</f>
        <v>OPTIMIST PRINCIPIANTES</v>
      </c>
      <c r="O132" s="7"/>
      <c r="P132" s="7">
        <f>IFERROR(__xludf.DUMMYFUNCTION("""COMPUTED_VALUE"""),3630.0)</f>
        <v>3630</v>
      </c>
      <c r="Q132" s="45" t="str">
        <f>IFERROR(__xludf.DUMMYFUNCTION("""COMPUTED_VALUE"""),"Aloha")</f>
        <v>Aloha</v>
      </c>
      <c r="R132" s="45"/>
      <c r="S132" s="45"/>
      <c r="T132" s="45"/>
      <c r="U132" s="45"/>
      <c r="V132" s="45"/>
      <c r="W132" s="45"/>
      <c r="X132" s="47"/>
      <c r="Y132" s="7" t="str">
        <f>IFERROR(__xludf.DUMMYFUNCTION("""COMPUTED_VALUE"""),"No")</f>
        <v>No</v>
      </c>
      <c r="Z132" s="45" t="str">
        <f>IFERROR(__xludf.DUMMYFUNCTION("""COMPUTED_VALUE"""),"Acepto")</f>
        <v>Acepto</v>
      </c>
      <c r="AA132" s="45" t="str">
        <f>IFERROR(__xludf.DUMMYFUNCTION("""COMPUTED_VALUE"""),"Terminado")</f>
        <v>Terminado</v>
      </c>
      <c r="AB132" s="45">
        <f>IFERROR(__xludf.DUMMYFUNCTION("""COMPUTED_VALUE"""),50000.0)</f>
        <v>50000</v>
      </c>
      <c r="AC132" s="7">
        <f>IFERROR(__xludf.DUMMYFUNCTION("""COMPUTED_VALUE"""),205393.0)</f>
        <v>205393</v>
      </c>
      <c r="AD132" s="7" t="str">
        <f>IFERROR(__xludf.DUMMYFUNCTION("""COMPUTED_VALUE"""),"TRF 02-09")</f>
        <v>TRF 02-09</v>
      </c>
      <c r="AE132" s="7" t="str">
        <f>IFERROR(__xludf.DUMMYFUNCTION("""COMPUTED_VALUE"""),"OK")</f>
        <v>OK</v>
      </c>
      <c r="AF132" s="7" t="str">
        <f>IFERROR(__xludf.DUMMYFUNCTION("""COMPUTED_VALUE"""),"SI")</f>
        <v>SI</v>
      </c>
    </row>
    <row r="133">
      <c r="A133" s="42">
        <f>IFERROR(__xludf.DUMMYFUNCTION("""COMPUTED_VALUE"""),45524.56522351852)</f>
        <v>45524.56522</v>
      </c>
      <c r="B133" s="43" t="str">
        <f>IFERROR(__xludf.DUMMYFUNCTION("""COMPUTED_VALUE"""),"Lara")</f>
        <v>Lara</v>
      </c>
      <c r="C133" s="43" t="str">
        <f>IFERROR(__xludf.DUMMYFUNCTION("""COMPUTED_VALUE"""),"Gherghi")</f>
        <v>Gherghi</v>
      </c>
      <c r="D133" s="43" t="str">
        <f>IFERROR(__xludf.DUMMYFUNCTION("""COMPUTED_VALUE"""),"Buenos Aires")</f>
        <v>Buenos Aires</v>
      </c>
      <c r="E133" s="45" t="str">
        <f>IFERROR(__xludf.DUMMYFUNCTION("""COMPUTED_VALUE"""),"ARG")</f>
        <v>ARG</v>
      </c>
      <c r="F133" s="45">
        <f>IFERROR(__xludf.DUMMYFUNCTION("""COMPUTED_VALUE"""),5.2672616E7)</f>
        <v>52672616</v>
      </c>
      <c r="G133" s="44">
        <f>IFERROR(__xludf.DUMMYFUNCTION("""COMPUTED_VALUE"""),41142.0)</f>
        <v>41142</v>
      </c>
      <c r="H133" s="45">
        <f>IFERROR(__xludf.DUMMYFUNCTION("""COMPUTED_VALUE"""),1.158200952E9)</f>
        <v>1158200952</v>
      </c>
      <c r="I133" s="45">
        <f>IFERROR(__xludf.DUMMYFUNCTION("""COMPUTED_VALUE"""),1.14030723E9)</f>
        <v>1140307230</v>
      </c>
      <c r="J133" s="45" t="str">
        <f>IFERROR(__xludf.DUMMYFUNCTION("""COMPUTED_VALUE"""),"jagherghi@gmail.com")</f>
        <v>jagherghi@gmail.com</v>
      </c>
      <c r="K133" s="45" t="str">
        <f>IFERROR(__xludf.DUMMYFUNCTION("""COMPUTED_VALUE"""),"Femenino")</f>
        <v>Femenino</v>
      </c>
      <c r="L133" s="45" t="str">
        <f>IFERROR(__xludf.DUMMYFUNCTION("""COMPUTED_VALUE"""),"YCO")</f>
        <v>YCO</v>
      </c>
      <c r="M133" s="45" t="str">
        <f>IFERROR(__xludf.DUMMYFUNCTION("""COMPUTED_VALUE"""),"Femenino")</f>
        <v>Femenino</v>
      </c>
      <c r="N133" s="7" t="str">
        <f>IFERROR(__xludf.DUMMYFUNCTION("""COMPUTED_VALUE"""),"OPTIMIST TIMONELES")</f>
        <v>OPTIMIST TIMONELES</v>
      </c>
      <c r="O133" s="7"/>
      <c r="P133" s="7">
        <f>IFERROR(__xludf.DUMMYFUNCTION("""COMPUTED_VALUE"""),3892.0)</f>
        <v>3892</v>
      </c>
      <c r="Q133" s="45"/>
      <c r="R133" s="45"/>
      <c r="S133" s="45"/>
      <c r="T133" s="45"/>
      <c r="U133" s="45"/>
      <c r="V133" s="45"/>
      <c r="W133" s="45"/>
      <c r="X133" s="47" t="str">
        <f>IFERROR(__xludf.DUMMYFUNCTION("""COMPUTED_VALUE"""),"Hospital Alemán ")</f>
        <v>Hospital Alemán </v>
      </c>
      <c r="Y133" s="7" t="str">
        <f>IFERROR(__xludf.DUMMYFUNCTION("""COMPUTED_VALUE"""),"Si")</f>
        <v>Si</v>
      </c>
      <c r="Z133" s="45" t="str">
        <f>IFERROR(__xludf.DUMMYFUNCTION("""COMPUTED_VALUE"""),"Acepto")</f>
        <v>Acepto</v>
      </c>
      <c r="AA133" s="45" t="str">
        <f>IFERROR(__xludf.DUMMYFUNCTION("""COMPUTED_VALUE"""),"Terminado")</f>
        <v>Terminado</v>
      </c>
      <c r="AB133" s="45">
        <f>IFERROR(__xludf.DUMMYFUNCTION("""COMPUTED_VALUE"""),50000.0)</f>
        <v>50000</v>
      </c>
      <c r="AC133" s="7"/>
      <c r="AD133" s="7" t="str">
        <f>IFERROR(__xludf.DUMMYFUNCTION("""COMPUTED_VALUE"""),"AF")</f>
        <v>AF</v>
      </c>
      <c r="AE133" s="7" t="str">
        <f>IFERROR(__xludf.DUMMYFUNCTION("""COMPUTED_VALUE"""),"OK")</f>
        <v>OK</v>
      </c>
      <c r="AF133" s="7"/>
    </row>
    <row r="134">
      <c r="A134" s="42">
        <f>IFERROR(__xludf.DUMMYFUNCTION("""COMPUTED_VALUE"""),45538.46070173611)</f>
        <v>45538.4607</v>
      </c>
      <c r="B134" s="43" t="str">
        <f>IFERROR(__xludf.DUMMYFUNCTION("""COMPUTED_VALUE"""),"Isabel")</f>
        <v>Isabel</v>
      </c>
      <c r="C134" s="43" t="str">
        <f>IFERROR(__xludf.DUMMYFUNCTION("""COMPUTED_VALUE"""),"Gibert")</f>
        <v>Gibert</v>
      </c>
      <c r="D134" s="43" t="str">
        <f>IFERROR(__xludf.DUMMYFUNCTION("""COMPUTED_VALUE"""),"CABA")</f>
        <v>CABA</v>
      </c>
      <c r="E134" s="45" t="str">
        <f>IFERROR(__xludf.DUMMYFUNCTION("""COMPUTED_VALUE"""),"ARG")</f>
        <v>ARG</v>
      </c>
      <c r="F134" s="45">
        <f>IFERROR(__xludf.DUMMYFUNCTION("""COMPUTED_VALUE"""),4.9759489E7)</f>
        <v>49759489</v>
      </c>
      <c r="G134" s="44">
        <f>IFERROR(__xludf.DUMMYFUNCTION("""COMPUTED_VALUE"""),40106.0)</f>
        <v>40106</v>
      </c>
      <c r="H134" s="45">
        <f>IFERROR(__xludf.DUMMYFUNCTION("""COMPUTED_VALUE"""),1.164117291E9)</f>
        <v>1164117291</v>
      </c>
      <c r="I134" s="45" t="str">
        <f>IFERROR(__xludf.DUMMYFUNCTION("""COMPUTED_VALUE"""),"idem")</f>
        <v>idem</v>
      </c>
      <c r="J134" s="45" t="str">
        <f>IFERROR(__xludf.DUMMYFUNCTION("""COMPUTED_VALUE"""),"marianogibert3@gmail.com")</f>
        <v>marianogibert3@gmail.com</v>
      </c>
      <c r="K134" s="45" t="str">
        <f>IFERROR(__xludf.DUMMYFUNCTION("""COMPUTED_VALUE"""),"Femenino")</f>
        <v>Femenino</v>
      </c>
      <c r="L134" s="45" t="str">
        <f>IFERROR(__xludf.DUMMYFUNCTION("""COMPUTED_VALUE"""),"CUBA")</f>
        <v>CUBA</v>
      </c>
      <c r="M134" s="45"/>
      <c r="N134" s="7" t="str">
        <f>IFERROR(__xludf.DUMMYFUNCTION("""COMPUTED_VALUE"""),"OPTIMIST TIMONELES")</f>
        <v>OPTIMIST TIMONELES</v>
      </c>
      <c r="O134" s="7"/>
      <c r="P134" s="7">
        <f>IFERROR(__xludf.DUMMYFUNCTION("""COMPUTED_VALUE"""),3995.0)</f>
        <v>3995</v>
      </c>
      <c r="Q134" s="45"/>
      <c r="R134" s="45"/>
      <c r="S134" s="45"/>
      <c r="T134" s="45"/>
      <c r="U134" s="45"/>
      <c r="V134" s="45"/>
      <c r="W134" s="45"/>
      <c r="X134" s="47" t="str">
        <f>IFERROR(__xludf.DUMMYFUNCTION("""COMPUTED_VALUE"""),"Swiss Medical 8000067256809 03 1040")</f>
        <v>Swiss Medical 8000067256809 03 1040</v>
      </c>
      <c r="Y134" s="7" t="str">
        <f>IFERROR(__xludf.DUMMYFUNCTION("""COMPUTED_VALUE"""),"No")</f>
        <v>No</v>
      </c>
      <c r="Z134" s="45" t="str">
        <f>IFERROR(__xludf.DUMMYFUNCTION("""COMPUTED_VALUE"""),"Acepto")</f>
        <v>Acepto</v>
      </c>
      <c r="AA134" s="45" t="str">
        <f>IFERROR(__xludf.DUMMYFUNCTION("""COMPUTED_VALUE"""),"Terminado")</f>
        <v>Terminado</v>
      </c>
      <c r="AB134" s="45">
        <f>IFERROR(__xludf.DUMMYFUNCTION("""COMPUTED_VALUE"""),50000.0)</f>
        <v>50000</v>
      </c>
      <c r="AC134" s="7">
        <f>IFERROR(__xludf.DUMMYFUNCTION("""COMPUTED_VALUE"""),205621.0)</f>
        <v>205621</v>
      </c>
      <c r="AD134" s="7" t="str">
        <f>IFERROR(__xludf.DUMMYFUNCTION("""COMPUTED_VALUE"""),"Tarj 11-09")</f>
        <v>Tarj 11-09</v>
      </c>
      <c r="AE134" s="7" t="str">
        <f>IFERROR(__xludf.DUMMYFUNCTION("""COMPUTED_VALUE"""),"OK")</f>
        <v>OK</v>
      </c>
      <c r="AF134" s="7"/>
    </row>
    <row r="135">
      <c r="A135" s="42">
        <f>IFERROR(__xludf.DUMMYFUNCTION("""COMPUTED_VALUE"""),45538.46337054398)</f>
        <v>45538.46337</v>
      </c>
      <c r="B135" s="43" t="str">
        <f>IFERROR(__xludf.DUMMYFUNCTION("""COMPUTED_VALUE"""),"Fermin")</f>
        <v>Fermin</v>
      </c>
      <c r="C135" s="43" t="str">
        <f>IFERROR(__xludf.DUMMYFUNCTION("""COMPUTED_VALUE"""),"Gibert")</f>
        <v>Gibert</v>
      </c>
      <c r="D135" s="43" t="str">
        <f>IFERROR(__xludf.DUMMYFUNCTION("""COMPUTED_VALUE"""),"CABA")</f>
        <v>CABA</v>
      </c>
      <c r="E135" s="45" t="str">
        <f>IFERROR(__xludf.DUMMYFUNCTION("""COMPUTED_VALUE"""),"ARG")</f>
        <v>ARG</v>
      </c>
      <c r="F135" s="45">
        <f>IFERROR(__xludf.DUMMYFUNCTION("""COMPUTED_VALUE"""),5.2861772E7)</f>
        <v>52861772</v>
      </c>
      <c r="G135" s="44">
        <f>IFERROR(__xludf.DUMMYFUNCTION("""COMPUTED_VALUE"""),41269.0)</f>
        <v>41269</v>
      </c>
      <c r="H135" s="45">
        <f>IFERROR(__xludf.DUMMYFUNCTION("""COMPUTED_VALUE"""),1.164117291E9)</f>
        <v>1164117291</v>
      </c>
      <c r="I135" s="45" t="str">
        <f>IFERROR(__xludf.DUMMYFUNCTION("""COMPUTED_VALUE"""),"idem")</f>
        <v>idem</v>
      </c>
      <c r="J135" s="45" t="str">
        <f>IFERROR(__xludf.DUMMYFUNCTION("""COMPUTED_VALUE"""),"marianogibert3@gmail.com")</f>
        <v>marianogibert3@gmail.com</v>
      </c>
      <c r="K135" s="45" t="str">
        <f>IFERROR(__xludf.DUMMYFUNCTION("""COMPUTED_VALUE"""),"Masculino")</f>
        <v>Masculino</v>
      </c>
      <c r="L135" s="45" t="str">
        <f>IFERROR(__xludf.DUMMYFUNCTION("""COMPUTED_VALUE"""),"CUBA")</f>
        <v>CUBA</v>
      </c>
      <c r="M135" s="45"/>
      <c r="N135" s="7" t="str">
        <f>IFERROR(__xludf.DUMMYFUNCTION("""COMPUTED_VALUE"""),"OPTIMIST TIMONELES")</f>
        <v>OPTIMIST TIMONELES</v>
      </c>
      <c r="O135" s="7"/>
      <c r="P135" s="7">
        <f>IFERROR(__xludf.DUMMYFUNCTION("""COMPUTED_VALUE"""),3645.0)</f>
        <v>3645</v>
      </c>
      <c r="Q135" s="45"/>
      <c r="R135" s="45"/>
      <c r="S135" s="45"/>
      <c r="T135" s="45"/>
      <c r="U135" s="45"/>
      <c r="V135" s="45"/>
      <c r="W135" s="45"/>
      <c r="X135" s="47" t="str">
        <f>IFERROR(__xludf.DUMMYFUNCTION("""COMPUTED_VALUE"""),"Swiss Medical 800006 7256809 04 1015")</f>
        <v>Swiss Medical 800006 7256809 04 1015</v>
      </c>
      <c r="Y135" s="7" t="str">
        <f>IFERROR(__xludf.DUMMYFUNCTION("""COMPUTED_VALUE"""),"No")</f>
        <v>No</v>
      </c>
      <c r="Z135" s="45" t="str">
        <f>IFERROR(__xludf.DUMMYFUNCTION("""COMPUTED_VALUE"""),"Acepto")</f>
        <v>Acepto</v>
      </c>
      <c r="AA135" s="45" t="str">
        <f>IFERROR(__xludf.DUMMYFUNCTION("""COMPUTED_VALUE"""),"Terminado")</f>
        <v>Terminado</v>
      </c>
      <c r="AB135" s="45">
        <f>IFERROR(__xludf.DUMMYFUNCTION("""COMPUTED_VALUE"""),50000.0)</f>
        <v>50000</v>
      </c>
      <c r="AC135" s="7">
        <f>IFERROR(__xludf.DUMMYFUNCTION("""COMPUTED_VALUE"""),205621.0)</f>
        <v>205621</v>
      </c>
      <c r="AD135" s="7" t="str">
        <f>IFERROR(__xludf.DUMMYFUNCTION("""COMPUTED_VALUE"""),"Tarj 11-09")</f>
        <v>Tarj 11-09</v>
      </c>
      <c r="AE135" s="7" t="str">
        <f>IFERROR(__xludf.DUMMYFUNCTION("""COMPUTED_VALUE"""),"OK")</f>
        <v>OK</v>
      </c>
      <c r="AF135" s="7"/>
    </row>
    <row r="136">
      <c r="A136" s="42">
        <f>IFERROR(__xludf.DUMMYFUNCTION("""COMPUTED_VALUE"""),45530.45633755787)</f>
        <v>45530.45634</v>
      </c>
      <c r="B136" s="43" t="str">
        <f>IFERROR(__xludf.DUMMYFUNCTION("""COMPUTED_VALUE"""),"Salvador")</f>
        <v>Salvador</v>
      </c>
      <c r="C136" s="43" t="str">
        <f>IFERROR(__xludf.DUMMYFUNCTION("""COMPUTED_VALUE"""),"Goldenberg")</f>
        <v>Goldenberg</v>
      </c>
      <c r="D136" s="43" t="str">
        <f>IFERROR(__xludf.DUMMYFUNCTION("""COMPUTED_VALUE"""),"La Plata")</f>
        <v>La Plata</v>
      </c>
      <c r="E136" s="45" t="str">
        <f>IFERROR(__xludf.DUMMYFUNCTION("""COMPUTED_VALUE"""),"ARG")</f>
        <v>ARG</v>
      </c>
      <c r="F136" s="45">
        <f>IFERROR(__xludf.DUMMYFUNCTION("""COMPUTED_VALUE"""),4.9435224E7)</f>
        <v>49435224</v>
      </c>
      <c r="G136" s="44">
        <f>IFERROR(__xludf.DUMMYFUNCTION("""COMPUTED_VALUE"""),39910.0)</f>
        <v>39910</v>
      </c>
      <c r="H136" s="45" t="str">
        <f>IFERROR(__xludf.DUMMYFUNCTION("""COMPUTED_VALUE"""),"+54 911 49353140")</f>
        <v>+54 911 49353140</v>
      </c>
      <c r="I136" s="45" t="str">
        <f>IFERROR(__xludf.DUMMYFUNCTION("""COMPUTED_VALUE"""),"+54 911 68279679")</f>
        <v>+54 911 68279679</v>
      </c>
      <c r="J136" s="45" t="str">
        <f>IFERROR(__xludf.DUMMYFUNCTION("""COMPUTED_VALUE"""),"demiangoldenberg@gmail.com")</f>
        <v>demiangoldenberg@gmail.com</v>
      </c>
      <c r="K136" s="45" t="str">
        <f>IFERROR(__xludf.DUMMYFUNCTION("""COMPUTED_VALUE"""),"Masculino")</f>
        <v>Masculino</v>
      </c>
      <c r="L136" s="45" t="str">
        <f>IFERROR(__xludf.DUMMYFUNCTION("""COMPUTED_VALUE"""),"CRLP")</f>
        <v>CRLP</v>
      </c>
      <c r="M136" s="45"/>
      <c r="N136" s="7" t="str">
        <f>IFERROR(__xludf.DUMMYFUNCTION("""COMPUTED_VALUE"""),"OPTIMIST TIMONELES")</f>
        <v>OPTIMIST TIMONELES</v>
      </c>
      <c r="O136" s="7"/>
      <c r="P136" s="7">
        <f>IFERROR(__xludf.DUMMYFUNCTION("""COMPUTED_VALUE"""),3753.0)</f>
        <v>3753</v>
      </c>
      <c r="Q136" s="45"/>
      <c r="R136" s="45"/>
      <c r="S136" s="45"/>
      <c r="T136" s="45"/>
      <c r="U136" s="45"/>
      <c r="V136" s="45"/>
      <c r="W136" s="45"/>
      <c r="X136" s="47" t="str">
        <f>IFERROR(__xludf.DUMMYFUNCTION("""COMPUTED_VALUE"""),"14543002 DOSUBA")</f>
        <v>14543002 DOSUBA</v>
      </c>
      <c r="Y136" s="7" t="str">
        <f>IFERROR(__xludf.DUMMYFUNCTION("""COMPUTED_VALUE"""),"Si")</f>
        <v>Si</v>
      </c>
      <c r="Z136" s="45" t="str">
        <f>IFERROR(__xludf.DUMMYFUNCTION("""COMPUTED_VALUE"""),"Acepto")</f>
        <v>Acepto</v>
      </c>
      <c r="AA136" s="45" t="str">
        <f>IFERROR(__xludf.DUMMYFUNCTION("""COMPUTED_VALUE"""),"Terminado")</f>
        <v>Terminado</v>
      </c>
      <c r="AB136" s="45">
        <f>IFERROR(__xludf.DUMMYFUNCTION("""COMPUTED_VALUE"""),60000.0)</f>
        <v>60000</v>
      </c>
      <c r="AC136" s="7">
        <f>IFERROR(__xludf.DUMMYFUNCTION("""COMPUTED_VALUE"""),205052.0)</f>
        <v>205052</v>
      </c>
      <c r="AD136" s="7" t="str">
        <f>IFERROR(__xludf.DUMMYFUNCTION("""COMPUTED_VALUE"""),"TRF 23-08")</f>
        <v>TRF 23-08</v>
      </c>
      <c r="AE136" s="7" t="str">
        <f>IFERROR(__xludf.DUMMYFUNCTION("""COMPUTED_VALUE"""),"OK")</f>
        <v>OK</v>
      </c>
      <c r="AF136" s="7"/>
    </row>
    <row r="137">
      <c r="A137" s="42">
        <f>IFERROR(__xludf.DUMMYFUNCTION("""COMPUTED_VALUE"""),45534.8976090625)</f>
        <v>45534.89761</v>
      </c>
      <c r="B137" s="43" t="str">
        <f>IFERROR(__xludf.DUMMYFUNCTION("""COMPUTED_VALUE"""),"Ulises ")</f>
        <v>Ulises </v>
      </c>
      <c r="C137" s="43" t="str">
        <f>IFERROR(__xludf.DUMMYFUNCTION("""COMPUTED_VALUE"""),"Gómez lacchini ")</f>
        <v>Gómez lacchini </v>
      </c>
      <c r="D137" s="43" t="str">
        <f>IFERROR(__xludf.DUMMYFUNCTION("""COMPUTED_VALUE"""),"La plata")</f>
        <v>La plata</v>
      </c>
      <c r="E137" s="45" t="str">
        <f>IFERROR(__xludf.DUMMYFUNCTION("""COMPUTED_VALUE"""),"ARG")</f>
        <v>ARG</v>
      </c>
      <c r="F137" s="45">
        <f>IFERROR(__xludf.DUMMYFUNCTION("""COMPUTED_VALUE"""),4.4677873E7)</f>
        <v>44677873</v>
      </c>
      <c r="G137" s="44">
        <f>IFERROR(__xludf.DUMMYFUNCTION("""COMPUTED_VALUE"""),37763.0)</f>
        <v>37763</v>
      </c>
      <c r="H137" s="45">
        <f>IFERROR(__xludf.DUMMYFUNCTION("""COMPUTED_VALUE"""),2.21641712E9)</f>
        <v>2216417120</v>
      </c>
      <c r="I137" s="45"/>
      <c r="J137" s="45" t="str">
        <f>IFERROR(__xludf.DUMMYFUNCTION("""COMPUTED_VALUE"""),"ulisesgomezlacchini@gmail.com")</f>
        <v>ulisesgomezlacchini@gmail.com</v>
      </c>
      <c r="K137" s="45" t="str">
        <f>IFERROR(__xludf.DUMMYFUNCTION("""COMPUTED_VALUE"""),"Masculino")</f>
        <v>Masculino</v>
      </c>
      <c r="L137" s="45" t="str">
        <f>IFERROR(__xludf.DUMMYFUNCTION("""COMPUTED_VALUE"""),"CRLP")</f>
        <v>CRLP</v>
      </c>
      <c r="M137" s="45" t="str">
        <f>IFERROR(__xludf.DUMMYFUNCTION("""COMPUTED_VALUE"""),"Fachero")</f>
        <v>Fachero</v>
      </c>
      <c r="N137" s="7" t="str">
        <f>IFERROR(__xludf.DUMMYFUNCTION("""COMPUTED_VALUE"""),"ILCA 7")</f>
        <v>ILCA 7</v>
      </c>
      <c r="O137" s="7"/>
      <c r="P137" s="7">
        <f>IFERROR(__xludf.DUMMYFUNCTION("""COMPUTED_VALUE"""),211981.0)</f>
        <v>211981</v>
      </c>
      <c r="Q137" s="45"/>
      <c r="R137" s="45"/>
      <c r="S137" s="45"/>
      <c r="T137" s="45"/>
      <c r="U137" s="45"/>
      <c r="V137" s="45"/>
      <c r="W137" s="45"/>
      <c r="X137" s="47"/>
      <c r="Y137" s="7" t="str">
        <f>IFERROR(__xludf.DUMMYFUNCTION("""COMPUTED_VALUE"""),"Si")</f>
        <v>Si</v>
      </c>
      <c r="Z137" s="45" t="str">
        <f>IFERROR(__xludf.DUMMYFUNCTION("""COMPUTED_VALUE"""),"Acepto")</f>
        <v>Acepto</v>
      </c>
      <c r="AA137" s="45" t="str">
        <f>IFERROR(__xludf.DUMMYFUNCTION("""COMPUTED_VALUE"""),"Terminado")</f>
        <v>Terminado</v>
      </c>
      <c r="AB137" s="45">
        <f>IFERROR(__xludf.DUMMYFUNCTION("""COMPUTED_VALUE"""),45000.0)</f>
        <v>45000</v>
      </c>
      <c r="AC137" s="7" t="str">
        <f>IFERROR(__xludf.DUMMYFUNCTION("""COMPUTED_VALUE"""),"205121/205509")</f>
        <v>205121/205509</v>
      </c>
      <c r="AD137" s="7" t="str">
        <f>IFERROR(__xludf.DUMMYFUNCTION("""COMPUTED_VALUE"""),"TRF 30-08 y 05-09")</f>
        <v>TRF 30-08 y 05-09</v>
      </c>
      <c r="AE137" s="7" t="str">
        <f>IFERROR(__xludf.DUMMYFUNCTION("""COMPUTED_VALUE"""),"No Corresp")</f>
        <v>No Corresp</v>
      </c>
      <c r="AF137" s="7"/>
    </row>
    <row r="138">
      <c r="A138" s="42">
        <f>IFERROR(__xludf.DUMMYFUNCTION("""COMPUTED_VALUE"""),45537.74866442129)</f>
        <v>45537.74866</v>
      </c>
      <c r="B138" s="43" t="str">
        <f>IFERROR(__xludf.DUMMYFUNCTION("""COMPUTED_VALUE"""),"Miranda")</f>
        <v>Miranda</v>
      </c>
      <c r="C138" s="43" t="str">
        <f>IFERROR(__xludf.DUMMYFUNCTION("""COMPUTED_VALUE"""),"Goncalves borrega")</f>
        <v>Goncalves borrega</v>
      </c>
      <c r="D138" s="43" t="str">
        <f>IFERROR(__xludf.DUMMYFUNCTION("""COMPUTED_VALUE"""),"Montevideo")</f>
        <v>Montevideo</v>
      </c>
      <c r="E138" s="45" t="str">
        <f>IFERROR(__xludf.DUMMYFUNCTION("""COMPUTED_VALUE"""),"URU")</f>
        <v>URU</v>
      </c>
      <c r="F138" s="45">
        <f>IFERROR(__xludf.DUMMYFUNCTION("""COMPUTED_VALUE"""),5.7934674E7)</f>
        <v>57934674</v>
      </c>
      <c r="G138" s="44">
        <f>IFERROR(__xludf.DUMMYFUNCTION("""COMPUTED_VALUE"""),39927.0)</f>
        <v>39927</v>
      </c>
      <c r="H138" s="45" t="str">
        <f>IFERROR(__xludf.DUMMYFUNCTION("""COMPUTED_VALUE"""),"099659292")</f>
        <v>099659292</v>
      </c>
      <c r="I138" s="45" t="str">
        <f>IFERROR(__xludf.DUMMYFUNCTION("""COMPUTED_VALUE"""),"099659292")</f>
        <v>099659292</v>
      </c>
      <c r="J138" s="45" t="str">
        <f>IFERROR(__xludf.DUMMYFUNCTION("""COMPUTED_VALUE"""),"lauracotelo@gmail.com")</f>
        <v>lauracotelo@gmail.com</v>
      </c>
      <c r="K138" s="45" t="str">
        <f>IFERROR(__xludf.DUMMYFUNCTION("""COMPUTED_VALUE"""),"Femenino")</f>
        <v>Femenino</v>
      </c>
      <c r="L138" s="45" t="str">
        <f>IFERROR(__xludf.DUMMYFUNCTION("""COMPUTED_VALUE"""),"Nyc")</f>
        <v>Nyc</v>
      </c>
      <c r="M138" s="45" t="str">
        <f>IFERROR(__xludf.DUMMYFUNCTION("""COMPUTED_VALUE"""),"Femenino, Interior (Optimist)")</f>
        <v>Femenino, Interior (Optimist)</v>
      </c>
      <c r="N138" s="7" t="str">
        <f>IFERROR(__xludf.DUMMYFUNCTION("""COMPUTED_VALUE"""),"OPTIMIST TIMONELES")</f>
        <v>OPTIMIST TIMONELES</v>
      </c>
      <c r="O138" s="7"/>
      <c r="P138" s="7">
        <f>IFERROR(__xludf.DUMMYFUNCTION("""COMPUTED_VALUE"""),347.0)</f>
        <v>347</v>
      </c>
      <c r="Q138" s="45" t="str">
        <f>IFERROR(__xludf.DUMMYFUNCTION("""COMPUTED_VALUE"""),"Boyante")</f>
        <v>Boyante</v>
      </c>
      <c r="R138" s="45" t="str">
        <f>IFERROR(__xludf.DUMMYFUNCTION("""COMPUTED_VALUE"""),"Miranda Goncalves")</f>
        <v>Miranda Goncalves</v>
      </c>
      <c r="S138" s="45"/>
      <c r="T138" s="45"/>
      <c r="U138" s="45"/>
      <c r="V138" s="45"/>
      <c r="W138" s="45"/>
      <c r="X138" s="47"/>
      <c r="Y138" s="7" t="str">
        <f>IFERROR(__xludf.DUMMYFUNCTION("""COMPUTED_VALUE"""),"Si")</f>
        <v>Si</v>
      </c>
      <c r="Z138" s="45" t="str">
        <f>IFERROR(__xludf.DUMMYFUNCTION("""COMPUTED_VALUE"""),"Acepto")</f>
        <v>Acepto</v>
      </c>
      <c r="AA138" s="45" t="str">
        <f>IFERROR(__xludf.DUMMYFUNCTION("""COMPUTED_VALUE"""),"Terminado")</f>
        <v>Terminado</v>
      </c>
      <c r="AB138" s="45">
        <f>IFERROR(__xludf.DUMMYFUNCTION("""COMPUTED_VALUE"""),42500.0)</f>
        <v>42500</v>
      </c>
      <c r="AC138" s="7">
        <f>IFERROR(__xludf.DUMMYFUNCTION("""COMPUTED_VALUE"""),205391.0)</f>
        <v>205391</v>
      </c>
      <c r="AD138" s="7" t="str">
        <f>IFERROR(__xludf.DUMMYFUNCTION("""COMPUTED_VALUE"""),"TRF 02-09")</f>
        <v>TRF 02-09</v>
      </c>
      <c r="AE138" s="7" t="str">
        <f>IFERROR(__xludf.DUMMYFUNCTION("""COMPUTED_VALUE"""),"OK")</f>
        <v>OK</v>
      </c>
      <c r="AF138" s="7" t="str">
        <f>IFERROR(__xludf.DUMMYFUNCTION("""COMPUTED_VALUE"""),"SI")</f>
        <v>SI</v>
      </c>
    </row>
    <row r="139">
      <c r="A139" s="42">
        <f>IFERROR(__xludf.DUMMYFUNCTION("""COMPUTED_VALUE"""),45537.75078037037)</f>
        <v>45537.75078</v>
      </c>
      <c r="B139" s="43" t="str">
        <f>IFERROR(__xludf.DUMMYFUNCTION("""COMPUTED_VALUE"""),"Matilda")</f>
        <v>Matilda</v>
      </c>
      <c r="C139" s="43" t="str">
        <f>IFERROR(__xludf.DUMMYFUNCTION("""COMPUTED_VALUE"""),"Goncalves Borrega")</f>
        <v>Goncalves Borrega</v>
      </c>
      <c r="D139" s="43" t="str">
        <f>IFERROR(__xludf.DUMMYFUNCTION("""COMPUTED_VALUE"""),"Montevideo")</f>
        <v>Montevideo</v>
      </c>
      <c r="E139" s="45" t="str">
        <f>IFERROR(__xludf.DUMMYFUNCTION("""COMPUTED_VALUE"""),"URU")</f>
        <v>URU</v>
      </c>
      <c r="F139" s="45">
        <f>IFERROR(__xludf.DUMMYFUNCTION("""COMPUTED_VALUE"""),5.9259286E7)</f>
        <v>59259286</v>
      </c>
      <c r="G139" s="44">
        <f>IFERROR(__xludf.DUMMYFUNCTION("""COMPUTED_VALUE"""),40771.0)</f>
        <v>40771</v>
      </c>
      <c r="H139" s="45" t="str">
        <f>IFERROR(__xludf.DUMMYFUNCTION("""COMPUTED_VALUE"""),"099659292")</f>
        <v>099659292</v>
      </c>
      <c r="I139" s="45" t="str">
        <f>IFERROR(__xludf.DUMMYFUNCTION("""COMPUTED_VALUE"""),"099659292")</f>
        <v>099659292</v>
      </c>
      <c r="J139" s="45" t="str">
        <f>IFERROR(__xludf.DUMMYFUNCTION("""COMPUTED_VALUE"""),"lauracotelo@gmail.com")</f>
        <v>lauracotelo@gmail.com</v>
      </c>
      <c r="K139" s="45" t="str">
        <f>IFERROR(__xludf.DUMMYFUNCTION("""COMPUTED_VALUE"""),"Femenino")</f>
        <v>Femenino</v>
      </c>
      <c r="L139" s="45" t="str">
        <f>IFERROR(__xludf.DUMMYFUNCTION("""COMPUTED_VALUE"""),"Nyc")</f>
        <v>Nyc</v>
      </c>
      <c r="M139" s="45" t="str">
        <f>IFERROR(__xludf.DUMMYFUNCTION("""COMPUTED_VALUE"""),"Femenino, Interior (Optimist)")</f>
        <v>Femenino, Interior (Optimist)</v>
      </c>
      <c r="N139" s="7" t="str">
        <f>IFERROR(__xludf.DUMMYFUNCTION("""COMPUTED_VALUE"""),"OPTIMIST TIMONELES")</f>
        <v>OPTIMIST TIMONELES</v>
      </c>
      <c r="O139" s="7"/>
      <c r="P139" s="7">
        <f>IFERROR(__xludf.DUMMYFUNCTION("""COMPUTED_VALUE"""),46.0)</f>
        <v>46</v>
      </c>
      <c r="Q139" s="45"/>
      <c r="R139" s="45" t="str">
        <f>IFERROR(__xludf.DUMMYFUNCTION("""COMPUTED_VALUE"""),"Matilda goncalves")</f>
        <v>Matilda goncalves</v>
      </c>
      <c r="S139" s="45"/>
      <c r="T139" s="45"/>
      <c r="U139" s="45"/>
      <c r="V139" s="45"/>
      <c r="W139" s="45"/>
      <c r="X139" s="47"/>
      <c r="Y139" s="7" t="str">
        <f>IFERROR(__xludf.DUMMYFUNCTION("""COMPUTED_VALUE"""),"Si")</f>
        <v>Si</v>
      </c>
      <c r="Z139" s="45" t="str">
        <f>IFERROR(__xludf.DUMMYFUNCTION("""COMPUTED_VALUE"""),"Acepto")</f>
        <v>Acepto</v>
      </c>
      <c r="AA139" s="45" t="str">
        <f>IFERROR(__xludf.DUMMYFUNCTION("""COMPUTED_VALUE"""),"Terminado")</f>
        <v>Terminado</v>
      </c>
      <c r="AB139" s="45">
        <f>IFERROR(__xludf.DUMMYFUNCTION("""COMPUTED_VALUE"""),42500.0)</f>
        <v>42500</v>
      </c>
      <c r="AC139" s="7">
        <f>IFERROR(__xludf.DUMMYFUNCTION("""COMPUTED_VALUE"""),205391.0)</f>
        <v>205391</v>
      </c>
      <c r="AD139" s="7" t="str">
        <f>IFERROR(__xludf.DUMMYFUNCTION("""COMPUTED_VALUE"""),"TRF 02-09")</f>
        <v>TRF 02-09</v>
      </c>
      <c r="AE139" s="7" t="str">
        <f>IFERROR(__xludf.DUMMYFUNCTION("""COMPUTED_VALUE"""),"Pendiente")</f>
        <v>Pendiente</v>
      </c>
      <c r="AF139" s="7" t="str">
        <f>IFERROR(__xludf.DUMMYFUNCTION("""COMPUTED_VALUE"""),"SI")</f>
        <v>SI</v>
      </c>
    </row>
    <row r="140">
      <c r="A140" s="42">
        <f>IFERROR(__xludf.DUMMYFUNCTION("""COMPUTED_VALUE"""),45535.89684209491)</f>
        <v>45535.89684</v>
      </c>
      <c r="B140" s="43" t="str">
        <f>IFERROR(__xludf.DUMMYFUNCTION("""COMPUTED_VALUE"""),"Santiago Gaspar")</f>
        <v>Santiago Gaspar</v>
      </c>
      <c r="C140" s="43" t="str">
        <f>IFERROR(__xludf.DUMMYFUNCTION("""COMPUTED_VALUE"""),"Gonzalez")</f>
        <v>Gonzalez</v>
      </c>
      <c r="D140" s="43" t="str">
        <f>IFERROR(__xludf.DUMMYFUNCTION("""COMPUTED_VALUE"""),"Buenos aires")</f>
        <v>Buenos aires</v>
      </c>
      <c r="E140" s="45" t="str">
        <f>IFERROR(__xludf.DUMMYFUNCTION("""COMPUTED_VALUE"""),"ARG")</f>
        <v>ARG</v>
      </c>
      <c r="F140" s="45">
        <f>IFERROR(__xludf.DUMMYFUNCTION("""COMPUTED_VALUE"""),5.1390049E7)</f>
        <v>51390049</v>
      </c>
      <c r="G140" s="44">
        <f>IFERROR(__xludf.DUMMYFUNCTION("""COMPUTED_VALUE"""),40773.0)</f>
        <v>40773</v>
      </c>
      <c r="H140" s="45">
        <f>IFERROR(__xludf.DUMMYFUNCTION("""COMPUTED_VALUE"""),1.1670493E9)</f>
        <v>1167049300</v>
      </c>
      <c r="I140" s="45">
        <f>IFERROR(__xludf.DUMMYFUNCTION("""COMPUTED_VALUE"""),1.5670495E9)</f>
        <v>1567049500</v>
      </c>
      <c r="J140" s="45" t="str">
        <f>IFERROR(__xludf.DUMMYFUNCTION("""COMPUTED_VALUE"""),"hdibatista@gmail.com")</f>
        <v>hdibatista@gmail.com</v>
      </c>
      <c r="K140" s="45" t="str">
        <f>IFERROR(__xludf.DUMMYFUNCTION("""COMPUTED_VALUE"""),"Masculino")</f>
        <v>Masculino</v>
      </c>
      <c r="L140" s="45" t="str">
        <f>IFERROR(__xludf.DUMMYFUNCTION("""COMPUTED_VALUE"""),"Cnas")</f>
        <v>Cnas</v>
      </c>
      <c r="M140" s="45"/>
      <c r="N140" s="7" t="str">
        <f>IFERROR(__xludf.DUMMYFUNCTION("""COMPUTED_VALUE"""),"OPTIMIST PRINCIPIANTES")</f>
        <v>OPTIMIST PRINCIPIANTES</v>
      </c>
      <c r="O140" s="7"/>
      <c r="P140" s="7">
        <f>IFERROR(__xludf.DUMMYFUNCTION("""COMPUTED_VALUE"""),4161.0)</f>
        <v>4161</v>
      </c>
      <c r="Q140" s="45"/>
      <c r="R140" s="45"/>
      <c r="S140" s="45"/>
      <c r="T140" s="45"/>
      <c r="U140" s="45"/>
      <c r="V140" s="45"/>
      <c r="W140" s="45"/>
      <c r="X140" s="47" t="str">
        <f>IFERROR(__xludf.DUMMYFUNCTION("""COMPUTED_VALUE"""),"Galeno Oro")</f>
        <v>Galeno Oro</v>
      </c>
      <c r="Y140" s="7" t="str">
        <f>IFERROR(__xludf.DUMMYFUNCTION("""COMPUTED_VALUE"""),"Si")</f>
        <v>Si</v>
      </c>
      <c r="Z140" s="45" t="str">
        <f>IFERROR(__xludf.DUMMYFUNCTION("""COMPUTED_VALUE"""),"Acepto")</f>
        <v>Acepto</v>
      </c>
      <c r="AA140" s="45" t="str">
        <f>IFERROR(__xludf.DUMMYFUNCTION("""COMPUTED_VALUE"""),"Pendiente")</f>
        <v>Pendiente</v>
      </c>
      <c r="AB140" s="45"/>
      <c r="AC140" s="7"/>
      <c r="AD140" s="7"/>
      <c r="AE140" s="7" t="str">
        <f>IFERROR(__xludf.DUMMYFUNCTION("""COMPUTED_VALUE"""),"Pendiente")</f>
        <v>Pendiente</v>
      </c>
      <c r="AF140" s="7"/>
    </row>
    <row r="141">
      <c r="A141" s="42">
        <f>IFERROR(__xludf.DUMMYFUNCTION("""COMPUTED_VALUE"""),45525.72461010417)</f>
        <v>45525.72461</v>
      </c>
      <c r="B141" s="43" t="str">
        <f>IFERROR(__xludf.DUMMYFUNCTION("""COMPUTED_VALUE"""),"Federico ")</f>
        <v>Federico </v>
      </c>
      <c r="C141" s="43" t="str">
        <f>IFERROR(__xludf.DUMMYFUNCTION("""COMPUTED_VALUE"""),"González ")</f>
        <v>González </v>
      </c>
      <c r="D141" s="43" t="str">
        <f>IFERROR(__xludf.DUMMYFUNCTION("""COMPUTED_VALUE"""),"Bahía Blanca")</f>
        <v>Bahía Blanca</v>
      </c>
      <c r="E141" s="45" t="str">
        <f>IFERROR(__xludf.DUMMYFUNCTION("""COMPUTED_VALUE"""),"ARG")</f>
        <v>ARG</v>
      </c>
      <c r="F141" s="45">
        <f>IFERROR(__xludf.DUMMYFUNCTION("""COMPUTED_VALUE"""),2.8296764E7)</f>
        <v>28296764</v>
      </c>
      <c r="G141" s="44">
        <f>IFERROR(__xludf.DUMMYFUNCTION("""COMPUTED_VALUE"""),29398.0)</f>
        <v>29398</v>
      </c>
      <c r="H141" s="45">
        <f>IFERROR(__xludf.DUMMYFUNCTION("""COMPUTED_VALUE"""),2.914195716E9)</f>
        <v>2914195716</v>
      </c>
      <c r="I141" s="45"/>
      <c r="J141" s="45" t="str">
        <f>IFERROR(__xludf.DUMMYFUNCTION("""COMPUTED_VALUE"""),"federico_e_gonzalez@hotmail.com")</f>
        <v>federico_e_gonzalez@hotmail.com</v>
      </c>
      <c r="K141" s="45" t="str">
        <f>IFERROR(__xludf.DUMMYFUNCTION("""COMPUTED_VALUE"""),"Masculino")</f>
        <v>Masculino</v>
      </c>
      <c r="L141" s="45" t="str">
        <f>IFERROR(__xludf.DUMMYFUNCTION("""COMPUTED_VALUE"""),"CNBB")</f>
        <v>CNBB</v>
      </c>
      <c r="M141" s="45" t="str">
        <f>IFERROR(__xludf.DUMMYFUNCTION("""COMPUTED_VALUE"""),"Mixto")</f>
        <v>Mixto</v>
      </c>
      <c r="N141" s="7" t="str">
        <f>IFERROR(__xludf.DUMMYFUNCTION("""COMPUTED_VALUE"""),"PAMPERO")</f>
        <v>PAMPERO</v>
      </c>
      <c r="O141" s="7"/>
      <c r="P141" s="7">
        <f>IFERROR(__xludf.DUMMYFUNCTION("""COMPUTED_VALUE"""),6.0)</f>
        <v>6</v>
      </c>
      <c r="Q141" s="45" t="str">
        <f>IFERROR(__xludf.DUMMYFUNCTION("""COMPUTED_VALUE"""),"Buscado")</f>
        <v>Buscado</v>
      </c>
      <c r="R141" s="45" t="str">
        <f>IFERROR(__xludf.DUMMYFUNCTION("""COMPUTED_VALUE"""),"Amaya Macarena")</f>
        <v>Amaya Macarena</v>
      </c>
      <c r="S141" s="45"/>
      <c r="T141" s="45"/>
      <c r="U141" s="45"/>
      <c r="V141" s="45"/>
      <c r="W141" s="45"/>
      <c r="X141" s="47" t="str">
        <f>IFERROR(__xludf.DUMMYFUNCTION("""COMPUTED_VALUE"""),"Unión Personal - 02661417008")</f>
        <v>Unión Personal - 02661417008</v>
      </c>
      <c r="Y141" s="7" t="str">
        <f>IFERROR(__xludf.DUMMYFUNCTION("""COMPUTED_VALUE"""),"Si")</f>
        <v>Si</v>
      </c>
      <c r="Z141" s="45" t="str">
        <f>IFERROR(__xludf.DUMMYFUNCTION("""COMPUTED_VALUE"""),"Acepto")</f>
        <v>Acepto</v>
      </c>
      <c r="AA141" s="45" t="str">
        <f>IFERROR(__xludf.DUMMYFUNCTION("""COMPUTED_VALUE"""),"Terminado")</f>
        <v>Terminado</v>
      </c>
      <c r="AB141" s="45">
        <f>IFERROR(__xludf.DUMMYFUNCTION("""COMPUTED_VALUE"""),60000.0)</f>
        <v>60000</v>
      </c>
      <c r="AC141" s="7">
        <f>IFERROR(__xludf.DUMMYFUNCTION("""COMPUTED_VALUE"""),205025.0)</f>
        <v>205025</v>
      </c>
      <c r="AD141" s="7" t="str">
        <f>IFERROR(__xludf.DUMMYFUNCTION("""COMPUTED_VALUE"""),"TRF 21-08")</f>
        <v>TRF 21-08</v>
      </c>
      <c r="AE141" s="7" t="str">
        <f>IFERROR(__xludf.DUMMYFUNCTION("""COMPUTED_VALUE"""),"No Corresp")</f>
        <v>No Corresp</v>
      </c>
      <c r="AF141" s="7" t="str">
        <f>IFERROR(__xludf.DUMMYFUNCTION("""COMPUTED_VALUE"""),"Si")</f>
        <v>Si</v>
      </c>
    </row>
    <row r="142">
      <c r="A142" s="42">
        <f>IFERROR(__xludf.DUMMYFUNCTION("""COMPUTED_VALUE"""),45534.663229108795)</f>
        <v>45534.66323</v>
      </c>
      <c r="B142" s="43" t="str">
        <f>IFERROR(__xludf.DUMMYFUNCTION("""COMPUTED_VALUE"""),"Juan Sebastian")</f>
        <v>Juan Sebastian</v>
      </c>
      <c r="C142" s="43" t="str">
        <f>IFERROR(__xludf.DUMMYFUNCTION("""COMPUTED_VALUE"""),"Gonzalez Espinola")</f>
        <v>Gonzalez Espinola</v>
      </c>
      <c r="D142" s="43" t="str">
        <f>IFERROR(__xludf.DUMMYFUNCTION("""COMPUTED_VALUE"""),"C.a.b.a")</f>
        <v>C.a.b.a</v>
      </c>
      <c r="E142" s="45" t="str">
        <f>IFERROR(__xludf.DUMMYFUNCTION("""COMPUTED_VALUE"""),"ARG")</f>
        <v>ARG</v>
      </c>
      <c r="F142" s="45">
        <f>IFERROR(__xludf.DUMMYFUNCTION("""COMPUTED_VALUE"""),5.2764512E7)</f>
        <v>52764512</v>
      </c>
      <c r="G142" s="44">
        <f>IFERROR(__xludf.DUMMYFUNCTION("""COMPUTED_VALUE"""),41194.0)</f>
        <v>41194</v>
      </c>
      <c r="H142" s="45">
        <f>IFERROR(__xludf.DUMMYFUNCTION("""COMPUTED_VALUE"""),1.151014498E9)</f>
        <v>1151014498</v>
      </c>
      <c r="I142" s="45">
        <f>IFERROR(__xludf.DUMMYFUNCTION("""COMPUTED_VALUE"""),1.151082053E9)</f>
        <v>1151082053</v>
      </c>
      <c r="J142" s="45" t="str">
        <f>IFERROR(__xludf.DUMMYFUNCTION("""COMPUTED_VALUE"""),"lidiaespinola12@gmail.com")</f>
        <v>lidiaespinola12@gmail.com</v>
      </c>
      <c r="K142" s="45" t="str">
        <f>IFERROR(__xludf.DUMMYFUNCTION("""COMPUTED_VALUE"""),"Masculino")</f>
        <v>Masculino</v>
      </c>
      <c r="L142" s="45" t="str">
        <f>IFERROR(__xludf.DUMMYFUNCTION("""COMPUTED_VALUE"""),"CGLNM")</f>
        <v>CGLNM</v>
      </c>
      <c r="M142" s="45" t="str">
        <f>IFERROR(__xludf.DUMMYFUNCTION("""COMPUTED_VALUE"""),"Interior (Optimist)")</f>
        <v>Interior (Optimist)</v>
      </c>
      <c r="N142" s="7" t="str">
        <f>IFERROR(__xludf.DUMMYFUNCTION("""COMPUTED_VALUE"""),"OPTIMIST PRINCIPIANTES")</f>
        <v>OPTIMIST PRINCIPIANTES</v>
      </c>
      <c r="O142" s="7"/>
      <c r="P142" s="7">
        <f>IFERROR(__xludf.DUMMYFUNCTION("""COMPUTED_VALUE"""),3782.0)</f>
        <v>3782</v>
      </c>
      <c r="Q142" s="45" t="str">
        <f>IFERROR(__xludf.DUMMYFUNCTION("""COMPUTED_VALUE"""),"Tormenta")</f>
        <v>Tormenta</v>
      </c>
      <c r="R142" s="45"/>
      <c r="S142" s="45"/>
      <c r="T142" s="45"/>
      <c r="U142" s="45"/>
      <c r="V142" s="45"/>
      <c r="W142" s="45"/>
      <c r="X142" s="47" t="str">
        <f>IFERROR(__xludf.DUMMYFUNCTION("""COMPUTED_VALUE"""),"OMINT")</f>
        <v>OMINT</v>
      </c>
      <c r="Y142" s="7" t="str">
        <f>IFERROR(__xludf.DUMMYFUNCTION("""COMPUTED_VALUE"""),"Si")</f>
        <v>Si</v>
      </c>
      <c r="Z142" s="45" t="str">
        <f>IFERROR(__xludf.DUMMYFUNCTION("""COMPUTED_VALUE"""),"Acepto")</f>
        <v>Acepto</v>
      </c>
      <c r="AA142" s="45" t="str">
        <f>IFERROR(__xludf.DUMMYFUNCTION("""COMPUTED_VALUE"""),"Terminado")</f>
        <v>Terminado</v>
      </c>
      <c r="AB142" s="45">
        <f>IFERROR(__xludf.DUMMYFUNCTION("""COMPUTED_VALUE"""),50000.0)</f>
        <v>50000</v>
      </c>
      <c r="AC142" s="7">
        <f>IFERROR(__xludf.DUMMYFUNCTION("""COMPUTED_VALUE"""),205363.0)</f>
        <v>205363</v>
      </c>
      <c r="AD142" s="7" t="str">
        <f>IFERROR(__xludf.DUMMYFUNCTION("""COMPUTED_VALUE"""),"TRF 31-08")</f>
        <v>TRF 31-08</v>
      </c>
      <c r="AE142" s="7" t="str">
        <f>IFERROR(__xludf.DUMMYFUNCTION("""COMPUTED_VALUE"""),"OK")</f>
        <v>OK</v>
      </c>
      <c r="AF142" s="7"/>
    </row>
    <row r="143">
      <c r="A143" s="42">
        <f>IFERROR(__xludf.DUMMYFUNCTION("""COMPUTED_VALUE"""),45539.82775200231)</f>
        <v>45539.82775</v>
      </c>
      <c r="B143" s="43" t="str">
        <f>IFERROR(__xludf.DUMMYFUNCTION("""COMPUTED_VALUE"""),"Quinto")</f>
        <v>Quinto</v>
      </c>
      <c r="C143" s="43" t="str">
        <f>IFERROR(__xludf.DUMMYFUNCTION("""COMPUTED_VALUE"""),"Graham")</f>
        <v>Graham</v>
      </c>
      <c r="D143" s="43" t="str">
        <f>IFERROR(__xludf.DUMMYFUNCTION("""COMPUTED_VALUE"""),"San Isidro")</f>
        <v>San Isidro</v>
      </c>
      <c r="E143" s="45" t="str">
        <f>IFERROR(__xludf.DUMMYFUNCTION("""COMPUTED_VALUE"""),"ARG")</f>
        <v>ARG</v>
      </c>
      <c r="F143" s="45">
        <f>IFERROR(__xludf.DUMMYFUNCTION("""COMPUTED_VALUE"""),5.3240593E7)</f>
        <v>53240593</v>
      </c>
      <c r="G143" s="44">
        <f>IFERROR(__xludf.DUMMYFUNCTION("""COMPUTED_VALUE"""),41417.0)</f>
        <v>41417</v>
      </c>
      <c r="H143" s="45">
        <f>IFERROR(__xludf.DUMMYFUNCTION("""COMPUTED_VALUE"""),4.4017277E7)</f>
        <v>44017277</v>
      </c>
      <c r="I143" s="45">
        <f>IFERROR(__xludf.DUMMYFUNCTION("""COMPUTED_VALUE"""),4.0427317E7)</f>
        <v>40427317</v>
      </c>
      <c r="J143" s="45" t="str">
        <f>IFERROR(__xludf.DUMMYFUNCTION("""COMPUTED_VALUE"""),"luciograham@hotmail.com")</f>
        <v>luciograham@hotmail.com</v>
      </c>
      <c r="K143" s="45" t="str">
        <f>IFERROR(__xludf.DUMMYFUNCTION("""COMPUTED_VALUE"""),"Masculino")</f>
        <v>Masculino</v>
      </c>
      <c r="L143" s="45" t="str">
        <f>IFERROR(__xludf.DUMMYFUNCTION("""COMPUTED_VALUE"""),"CNSI")</f>
        <v>CNSI</v>
      </c>
      <c r="M143" s="45"/>
      <c r="N143" s="7" t="str">
        <f>IFERROR(__xludf.DUMMYFUNCTION("""COMPUTED_VALUE"""),"OPTIMIST PRINCIPIANTES")</f>
        <v>OPTIMIST PRINCIPIANTES</v>
      </c>
      <c r="O143" s="7"/>
      <c r="P143" s="7">
        <f>IFERROR(__xludf.DUMMYFUNCTION("""COMPUTED_VALUE"""),3969.0)</f>
        <v>3969</v>
      </c>
      <c r="Q143" s="45"/>
      <c r="R143" s="45"/>
      <c r="S143" s="45"/>
      <c r="T143" s="45"/>
      <c r="U143" s="45"/>
      <c r="V143" s="45"/>
      <c r="W143" s="45"/>
      <c r="X143" s="47" t="str">
        <f>IFERROR(__xludf.DUMMYFUNCTION("""COMPUTED_VALUE"""),"Medicus")</f>
        <v>Medicus</v>
      </c>
      <c r="Y143" s="7" t="str">
        <f>IFERROR(__xludf.DUMMYFUNCTION("""COMPUTED_VALUE"""),"Si")</f>
        <v>Si</v>
      </c>
      <c r="Z143" s="45" t="str">
        <f>IFERROR(__xludf.DUMMYFUNCTION("""COMPUTED_VALUE"""),"Acepto")</f>
        <v>Acepto</v>
      </c>
      <c r="AA143" s="45" t="str">
        <f>IFERROR(__xludf.DUMMYFUNCTION("""COMPUTED_VALUE"""),"Terminado")</f>
        <v>Terminado</v>
      </c>
      <c r="AB143" s="45">
        <f>IFERROR(__xludf.DUMMYFUNCTION("""COMPUTED_VALUE"""),50000.0)</f>
        <v>50000</v>
      </c>
      <c r="AC143" s="7">
        <f>IFERROR(__xludf.DUMMYFUNCTION("""COMPUTED_VALUE"""),205453.0)</f>
        <v>205453</v>
      </c>
      <c r="AD143" s="7" t="str">
        <f>IFERROR(__xludf.DUMMYFUNCTION("""COMPUTED_VALUE"""),"TRF 04-09")</f>
        <v>TRF 04-09</v>
      </c>
      <c r="AE143" s="7" t="str">
        <f>IFERROR(__xludf.DUMMYFUNCTION("""COMPUTED_VALUE"""),"OK")</f>
        <v>OK</v>
      </c>
      <c r="AF143" s="7"/>
    </row>
    <row r="144">
      <c r="A144" s="42">
        <f>IFERROR(__xludf.DUMMYFUNCTION("""COMPUTED_VALUE"""),45539.88504734954)</f>
        <v>45539.88505</v>
      </c>
      <c r="B144" s="43" t="str">
        <f>IFERROR(__xludf.DUMMYFUNCTION("""COMPUTED_VALUE"""),"Tobías")</f>
        <v>Tobías</v>
      </c>
      <c r="C144" s="43" t="str">
        <f>IFERROR(__xludf.DUMMYFUNCTION("""COMPUTED_VALUE"""),"Grinblat Dermgerd")</f>
        <v>Grinblat Dermgerd</v>
      </c>
      <c r="D144" s="43" t="str">
        <f>IFERROR(__xludf.DUMMYFUNCTION("""COMPUTED_VALUE"""),"San Fernando ")</f>
        <v>San Fernando </v>
      </c>
      <c r="E144" s="45" t="str">
        <f>IFERROR(__xludf.DUMMYFUNCTION("""COMPUTED_VALUE"""),"ARG")</f>
        <v>ARG</v>
      </c>
      <c r="F144" s="45">
        <f>IFERROR(__xludf.DUMMYFUNCTION("""COMPUTED_VALUE"""),5.170038E7)</f>
        <v>51700380</v>
      </c>
      <c r="G144" s="44">
        <f>IFERROR(__xludf.DUMMYFUNCTION("""COMPUTED_VALUE"""),41089.0)</f>
        <v>41089</v>
      </c>
      <c r="H144" s="45" t="str">
        <f>IFERROR(__xludf.DUMMYFUNCTION("""COMPUTED_VALUE"""),"+5491154565555")</f>
        <v>+5491154565555</v>
      </c>
      <c r="I144" s="45" t="str">
        <f>IFERROR(__xludf.DUMMYFUNCTION("""COMPUTED_VALUE"""),"+5491155992222")</f>
        <v>+5491155992222</v>
      </c>
      <c r="J144" s="45" t="str">
        <f>IFERROR(__xludf.DUMMYFUNCTION("""COMPUTED_VALUE"""),"alegrinblat@gmail.com")</f>
        <v>alegrinblat@gmail.com</v>
      </c>
      <c r="K144" s="45" t="str">
        <f>IFERROR(__xludf.DUMMYFUNCTION("""COMPUTED_VALUE"""),"Masculino")</f>
        <v>Masculino</v>
      </c>
      <c r="L144" s="45" t="str">
        <f>IFERROR(__xludf.DUMMYFUNCTION("""COMPUTED_VALUE"""),"CNAS")</f>
        <v>CNAS</v>
      </c>
      <c r="M144" s="45"/>
      <c r="N144" s="7" t="str">
        <f>IFERROR(__xludf.DUMMYFUNCTION("""COMPUTED_VALUE"""),"OPTIMIST PRINCIPIANTES")</f>
        <v>OPTIMIST PRINCIPIANTES</v>
      </c>
      <c r="O144" s="7"/>
      <c r="P144" s="7">
        <f>IFERROR(__xludf.DUMMYFUNCTION("""COMPUTED_VALUE"""),9536.0)</f>
        <v>9536</v>
      </c>
      <c r="Q144" s="45" t="str">
        <f>IFERROR(__xludf.DUMMYFUNCTION("""COMPUTED_VALUE"""),"Sin nombre")</f>
        <v>Sin nombre</v>
      </c>
      <c r="R144" s="45" t="str">
        <f>IFERROR(__xludf.DUMMYFUNCTION("""COMPUTED_VALUE"""),"Tobías Grinblat Dermgerd")</f>
        <v>Tobías Grinblat Dermgerd</v>
      </c>
      <c r="S144" s="45"/>
      <c r="T144" s="45"/>
      <c r="U144" s="45"/>
      <c r="V144" s="45"/>
      <c r="W144" s="45"/>
      <c r="X144" s="47" t="str">
        <f>IFERROR(__xludf.DUMMYFUNCTION("""COMPUTED_VALUE"""),"Swiss")</f>
        <v>Swiss</v>
      </c>
      <c r="Y144" s="7" t="str">
        <f>IFERROR(__xludf.DUMMYFUNCTION("""COMPUTED_VALUE"""),"Si")</f>
        <v>Si</v>
      </c>
      <c r="Z144" s="45" t="str">
        <f>IFERROR(__xludf.DUMMYFUNCTION("""COMPUTED_VALUE"""),"Acepto")</f>
        <v>Acepto</v>
      </c>
      <c r="AA144" s="45" t="str">
        <f>IFERROR(__xludf.DUMMYFUNCTION("""COMPUTED_VALUE"""),"Terminado")</f>
        <v>Terminado</v>
      </c>
      <c r="AB144" s="45">
        <f>IFERROR(__xludf.DUMMYFUNCTION("""COMPUTED_VALUE"""),70000.0)</f>
        <v>70000</v>
      </c>
      <c r="AC144" s="7">
        <f>IFERROR(__xludf.DUMMYFUNCTION("""COMPUTED_VALUE"""),205497.0)</f>
        <v>205497</v>
      </c>
      <c r="AD144" s="7" t="str">
        <f>IFERROR(__xludf.DUMMYFUNCTION("""COMPUTED_VALUE"""),"TRF 05-09")</f>
        <v>TRF 05-09</v>
      </c>
      <c r="AE144" s="7" t="str">
        <f>IFERROR(__xludf.DUMMYFUNCTION("""COMPUTED_VALUE"""),"Pendiente")</f>
        <v>Pendiente</v>
      </c>
      <c r="AF144" s="7"/>
    </row>
    <row r="145">
      <c r="A145" s="42">
        <f>IFERROR(__xludf.DUMMYFUNCTION("""COMPUTED_VALUE"""),45535.53196037037)</f>
        <v>45535.53196</v>
      </c>
      <c r="B145" s="43" t="str">
        <f>IFERROR(__xludf.DUMMYFUNCTION("""COMPUTED_VALUE"""),"ESTEFANIA")</f>
        <v>ESTEFANIA</v>
      </c>
      <c r="C145" s="43" t="str">
        <f>IFERROR(__xludf.DUMMYFUNCTION("""COMPUTED_VALUE"""),"GUERRA WEDER")</f>
        <v>GUERRA WEDER</v>
      </c>
      <c r="D145" s="43" t="str">
        <f>IFERROR(__xludf.DUMMYFUNCTION("""COMPUTED_VALUE"""),"ROSARIO")</f>
        <v>ROSARIO</v>
      </c>
      <c r="E145" s="45" t="str">
        <f>IFERROR(__xludf.DUMMYFUNCTION("""COMPUTED_VALUE"""),"ARG")</f>
        <v>ARG</v>
      </c>
      <c r="F145" s="45">
        <f>IFERROR(__xludf.DUMMYFUNCTION("""COMPUTED_VALUE"""),5.3618936E7)</f>
        <v>53618936</v>
      </c>
      <c r="G145" s="44">
        <f>IFERROR(__xludf.DUMMYFUNCTION("""COMPUTED_VALUE"""),41599.0)</f>
        <v>41599</v>
      </c>
      <c r="H145" s="45">
        <f>IFERROR(__xludf.DUMMYFUNCTION("""COMPUTED_VALUE"""),3.413195438E9)</f>
        <v>3413195438</v>
      </c>
      <c r="I145" s="45">
        <f>IFERROR(__xludf.DUMMYFUNCTION("""COMPUTED_VALUE"""),3.413195438E9)</f>
        <v>3413195438</v>
      </c>
      <c r="J145" s="45" t="str">
        <f>IFERROR(__xludf.DUMMYFUNCTION("""COMPUTED_VALUE"""),"florchus_guerra@hotmail.com")</f>
        <v>florchus_guerra@hotmail.com</v>
      </c>
      <c r="K145" s="45" t="str">
        <f>IFERROR(__xludf.DUMMYFUNCTION("""COMPUTED_VALUE"""),"Femenino")</f>
        <v>Femenino</v>
      </c>
      <c r="L145" s="45" t="str">
        <f>IFERROR(__xludf.DUMMYFUNCTION("""COMPUTED_VALUE"""),"CVR")</f>
        <v>CVR</v>
      </c>
      <c r="M145" s="45" t="str">
        <f>IFERROR(__xludf.DUMMYFUNCTION("""COMPUTED_VALUE"""),"Femenino, Interior (Optimist)")</f>
        <v>Femenino, Interior (Optimist)</v>
      </c>
      <c r="N145" s="7" t="str">
        <f>IFERROR(__xludf.DUMMYFUNCTION("""COMPUTED_VALUE"""),"OPTIMIST PRINCIPIANTES")</f>
        <v>OPTIMIST PRINCIPIANTES</v>
      </c>
      <c r="O145" s="7"/>
      <c r="P145" s="7">
        <f>IFERROR(__xludf.DUMMYFUNCTION("""COMPUTED_VALUE"""),4159.0)</f>
        <v>4159</v>
      </c>
      <c r="Q145" s="45" t="str">
        <f>IFERROR(__xludf.DUMMYFUNCTION("""COMPUTED_VALUE"""),"FLECHA")</f>
        <v>FLECHA</v>
      </c>
      <c r="R145" s="45"/>
      <c r="S145" s="45"/>
      <c r="T145" s="45"/>
      <c r="U145" s="45"/>
      <c r="V145" s="45"/>
      <c r="W145" s="45"/>
      <c r="X145" s="47"/>
      <c r="Y145" s="7" t="str">
        <f>IFERROR(__xludf.DUMMYFUNCTION("""COMPUTED_VALUE"""),"No")</f>
        <v>No</v>
      </c>
      <c r="Z145" s="45" t="str">
        <f>IFERROR(__xludf.DUMMYFUNCTION("""COMPUTED_VALUE"""),"Acepto")</f>
        <v>Acepto</v>
      </c>
      <c r="AA145" s="45" t="str">
        <f>IFERROR(__xludf.DUMMYFUNCTION("""COMPUTED_VALUE"""),"Terminado")</f>
        <v>Terminado</v>
      </c>
      <c r="AB145" s="45">
        <f>IFERROR(__xludf.DUMMYFUNCTION("""COMPUTED_VALUE"""),60000.0)</f>
        <v>60000</v>
      </c>
      <c r="AC145" s="7">
        <f>IFERROR(__xludf.DUMMYFUNCTION("""COMPUTED_VALUE"""),205358.0)</f>
        <v>205358</v>
      </c>
      <c r="AD145" s="7" t="str">
        <f>IFERROR(__xludf.DUMMYFUNCTION("""COMPUTED_VALUE"""),"TRF 31-08")</f>
        <v>TRF 31-08</v>
      </c>
      <c r="AE145" s="7" t="str">
        <f>IFERROR(__xludf.DUMMYFUNCTION("""COMPUTED_VALUE"""),"Pendiente")</f>
        <v>Pendiente</v>
      </c>
      <c r="AF145" s="7"/>
    </row>
    <row r="146">
      <c r="A146" s="42">
        <f>IFERROR(__xludf.DUMMYFUNCTION("""COMPUTED_VALUE"""),45535.591154236114)</f>
        <v>45535.59115</v>
      </c>
      <c r="B146" s="43" t="str">
        <f>IFERROR(__xludf.DUMMYFUNCTION("""COMPUTED_VALUE"""),"Mateo")</f>
        <v>Mateo</v>
      </c>
      <c r="C146" s="43" t="str">
        <f>IFERROR(__xludf.DUMMYFUNCTION("""COMPUTED_VALUE"""),"Guille")</f>
        <v>Guille</v>
      </c>
      <c r="D146" s="43" t="str">
        <f>IFERROR(__xludf.DUMMYFUNCTION("""COMPUTED_VALUE"""),"Zárate")</f>
        <v>Zárate</v>
      </c>
      <c r="E146" s="45" t="str">
        <f>IFERROR(__xludf.DUMMYFUNCTION("""COMPUTED_VALUE"""),"ARG")</f>
        <v>ARG</v>
      </c>
      <c r="F146" s="45">
        <f>IFERROR(__xludf.DUMMYFUNCTION("""COMPUTED_VALUE"""),5.2136031E7)</f>
        <v>52136031</v>
      </c>
      <c r="G146" s="44">
        <f>IFERROR(__xludf.DUMMYFUNCTION("""COMPUTED_VALUE"""),40917.0)</f>
        <v>40917</v>
      </c>
      <c r="H146" s="45">
        <f>IFERROR(__xludf.DUMMYFUNCTION("""COMPUTED_VALUE"""),3.487536965E9)</f>
        <v>3487536965</v>
      </c>
      <c r="I146" s="45">
        <f>IFERROR(__xludf.DUMMYFUNCTION("""COMPUTED_VALUE"""),3.487471784E9)</f>
        <v>3487471784</v>
      </c>
      <c r="J146" s="45" t="str">
        <f>IFERROR(__xludf.DUMMYFUNCTION("""COMPUTED_VALUE"""),"mcecih@hotmail.com")</f>
        <v>mcecih@hotmail.com</v>
      </c>
      <c r="K146" s="45" t="str">
        <f>IFERROR(__xludf.DUMMYFUNCTION("""COMPUTED_VALUE"""),"Masculino")</f>
        <v>Masculino</v>
      </c>
      <c r="L146" s="45" t="str">
        <f>IFERROR(__xludf.DUMMYFUNCTION("""COMPUTED_VALUE"""),"CNZ")</f>
        <v>CNZ</v>
      </c>
      <c r="M146" s="45" t="str">
        <f>IFERROR(__xludf.DUMMYFUNCTION("""COMPUTED_VALUE"""),"Interior (Optimist)")</f>
        <v>Interior (Optimist)</v>
      </c>
      <c r="N146" s="7" t="str">
        <f>IFERROR(__xludf.DUMMYFUNCTION("""COMPUTED_VALUE"""),"OPTIMIST TIMONELES")</f>
        <v>OPTIMIST TIMONELES</v>
      </c>
      <c r="O146" s="7"/>
      <c r="P146" s="7">
        <f>IFERROR(__xludf.DUMMYFUNCTION("""COMPUTED_VALUE"""),4093.0)</f>
        <v>4093</v>
      </c>
      <c r="Q146" s="45" t="str">
        <f>IFERROR(__xludf.DUMMYFUNCTION("""COMPUTED_VALUE"""),"Capitán Chino")</f>
        <v>Capitán Chino</v>
      </c>
      <c r="R146" s="45"/>
      <c r="S146" s="45"/>
      <c r="T146" s="45"/>
      <c r="U146" s="45"/>
      <c r="V146" s="45"/>
      <c r="W146" s="45"/>
      <c r="X146" s="47" t="str">
        <f>IFERROR(__xludf.DUMMYFUNCTION("""COMPUTED_VALUE"""),"IOMA ")</f>
        <v>IOMA </v>
      </c>
      <c r="Y146" s="7" t="str">
        <f>IFERROR(__xludf.DUMMYFUNCTION("""COMPUTED_VALUE"""),"Si")</f>
        <v>Si</v>
      </c>
      <c r="Z146" s="45" t="str">
        <f>IFERROR(__xludf.DUMMYFUNCTION("""COMPUTED_VALUE"""),"Acepto")</f>
        <v>Acepto</v>
      </c>
      <c r="AA146" s="45" t="str">
        <f>IFERROR(__xludf.DUMMYFUNCTION("""COMPUTED_VALUE"""),"Terminado")</f>
        <v>Terminado</v>
      </c>
      <c r="AB146" s="45">
        <f>IFERROR(__xludf.DUMMYFUNCTION("""COMPUTED_VALUE"""),50000.0)</f>
        <v>50000</v>
      </c>
      <c r="AC146" s="7">
        <f>IFERROR(__xludf.DUMMYFUNCTION("""COMPUTED_VALUE"""),205336.0)</f>
        <v>205336</v>
      </c>
      <c r="AD146" s="7" t="str">
        <f>IFERROR(__xludf.DUMMYFUNCTION("""COMPUTED_VALUE"""),"TRF01-09")</f>
        <v>TRF01-09</v>
      </c>
      <c r="AE146" s="7" t="str">
        <f>IFERROR(__xludf.DUMMYFUNCTION("""COMPUTED_VALUE"""),"OK")</f>
        <v>OK</v>
      </c>
      <c r="AF146" s="7"/>
    </row>
    <row r="147">
      <c r="A147" s="42">
        <f>IFERROR(__xludf.DUMMYFUNCTION("""COMPUTED_VALUE"""),45535.59291368056)</f>
        <v>45535.59291</v>
      </c>
      <c r="B147" s="43" t="str">
        <f>IFERROR(__xludf.DUMMYFUNCTION("""COMPUTED_VALUE"""),"Sofía")</f>
        <v>Sofía</v>
      </c>
      <c r="C147" s="43" t="str">
        <f>IFERROR(__xludf.DUMMYFUNCTION("""COMPUTED_VALUE"""),"Guille")</f>
        <v>Guille</v>
      </c>
      <c r="D147" s="43" t="str">
        <f>IFERROR(__xludf.DUMMYFUNCTION("""COMPUTED_VALUE"""),"Zárate")</f>
        <v>Zárate</v>
      </c>
      <c r="E147" s="45" t="str">
        <f>IFERROR(__xludf.DUMMYFUNCTION("""COMPUTED_VALUE"""),"ARG")</f>
        <v>ARG</v>
      </c>
      <c r="F147" s="45">
        <f>IFERROR(__xludf.DUMMYFUNCTION("""COMPUTED_VALUE"""),5.4297764E7)</f>
        <v>54297764</v>
      </c>
      <c r="G147" s="44">
        <f>IFERROR(__xludf.DUMMYFUNCTION("""COMPUTED_VALUE"""),41886.0)</f>
        <v>41886</v>
      </c>
      <c r="H147" s="45">
        <f>IFERROR(__xludf.DUMMYFUNCTION("""COMPUTED_VALUE"""),3.487536965E9)</f>
        <v>3487536965</v>
      </c>
      <c r="I147" s="45">
        <f>IFERROR(__xludf.DUMMYFUNCTION("""COMPUTED_VALUE"""),3.487471784E9)</f>
        <v>3487471784</v>
      </c>
      <c r="J147" s="45" t="str">
        <f>IFERROR(__xludf.DUMMYFUNCTION("""COMPUTED_VALUE"""),"mcecih@hotmail.com")</f>
        <v>mcecih@hotmail.com</v>
      </c>
      <c r="K147" s="45" t="str">
        <f>IFERROR(__xludf.DUMMYFUNCTION("""COMPUTED_VALUE"""),"Femenino")</f>
        <v>Femenino</v>
      </c>
      <c r="L147" s="45" t="str">
        <f>IFERROR(__xludf.DUMMYFUNCTION("""COMPUTED_VALUE"""),"CNZ")</f>
        <v>CNZ</v>
      </c>
      <c r="M147" s="45" t="str">
        <f>IFERROR(__xludf.DUMMYFUNCTION("""COMPUTED_VALUE"""),"Interior (Optimist)")</f>
        <v>Interior (Optimist)</v>
      </c>
      <c r="N147" s="7" t="str">
        <f>IFERROR(__xludf.DUMMYFUNCTION("""COMPUTED_VALUE"""),"OPTIMIST PRINCIPIANTES")</f>
        <v>OPTIMIST PRINCIPIANTES</v>
      </c>
      <c r="O147" s="7"/>
      <c r="P147" s="7">
        <f>IFERROR(__xludf.DUMMYFUNCTION("""COMPUTED_VALUE"""),4064.0)</f>
        <v>4064</v>
      </c>
      <c r="Q147" s="45" t="str">
        <f>IFERROR(__xludf.DUMMYFUNCTION("""COMPUTED_VALUE"""),"CHINA")</f>
        <v>CHINA</v>
      </c>
      <c r="R147" s="45"/>
      <c r="S147" s="45"/>
      <c r="T147" s="45"/>
      <c r="U147" s="45"/>
      <c r="V147" s="45"/>
      <c r="W147" s="45"/>
      <c r="X147" s="47" t="str">
        <f>IFERROR(__xludf.DUMMYFUNCTION("""COMPUTED_VALUE"""),"IOMA ")</f>
        <v>IOMA </v>
      </c>
      <c r="Y147" s="7" t="str">
        <f>IFERROR(__xludf.DUMMYFUNCTION("""COMPUTED_VALUE"""),"Si")</f>
        <v>Si</v>
      </c>
      <c r="Z147" s="45" t="str">
        <f>IFERROR(__xludf.DUMMYFUNCTION("""COMPUTED_VALUE"""),"Acepto")</f>
        <v>Acepto</v>
      </c>
      <c r="AA147" s="45" t="str">
        <f>IFERROR(__xludf.DUMMYFUNCTION("""COMPUTED_VALUE"""),"Terminado")</f>
        <v>Terminado</v>
      </c>
      <c r="AB147" s="45">
        <f>IFERROR(__xludf.DUMMYFUNCTION("""COMPUTED_VALUE"""),50000.0)</f>
        <v>50000</v>
      </c>
      <c r="AC147" s="7">
        <f>IFERROR(__xludf.DUMMYFUNCTION("""COMPUTED_VALUE"""),205337.0)</f>
        <v>205337</v>
      </c>
      <c r="AD147" s="7" t="str">
        <f>IFERROR(__xludf.DUMMYFUNCTION("""COMPUTED_VALUE"""),"TRF01-09")</f>
        <v>TRF01-09</v>
      </c>
      <c r="AE147" s="7" t="str">
        <f>IFERROR(__xludf.DUMMYFUNCTION("""COMPUTED_VALUE"""),"OK")</f>
        <v>OK</v>
      </c>
      <c r="AF147" s="7"/>
    </row>
    <row r="148">
      <c r="A148" s="42">
        <f>IFERROR(__xludf.DUMMYFUNCTION("""COMPUTED_VALUE"""),45535.879819131944)</f>
        <v>45535.87982</v>
      </c>
      <c r="B148" s="43" t="str">
        <f>IFERROR(__xludf.DUMMYFUNCTION("""COMPUTED_VALUE"""),"Emilia")</f>
        <v>Emilia</v>
      </c>
      <c r="C148" s="43" t="str">
        <f>IFERROR(__xludf.DUMMYFUNCTION("""COMPUTED_VALUE"""),"Gullo")</f>
        <v>Gullo</v>
      </c>
      <c r="D148" s="43" t="str">
        <f>IFERROR(__xludf.DUMMYFUNCTION("""COMPUTED_VALUE"""),"La Plata")</f>
        <v>La Plata</v>
      </c>
      <c r="E148" s="45" t="str">
        <f>IFERROR(__xludf.DUMMYFUNCTION("""COMPUTED_VALUE"""),"ARG")</f>
        <v>ARG</v>
      </c>
      <c r="F148" s="45">
        <f>IFERROR(__xludf.DUMMYFUNCTION("""COMPUTED_VALUE"""),5.144073E7)</f>
        <v>51440730</v>
      </c>
      <c r="G148" s="44">
        <f>IFERROR(__xludf.DUMMYFUNCTION("""COMPUTED_VALUE"""),40834.0)</f>
        <v>40834</v>
      </c>
      <c r="H148" s="45">
        <f>IFERROR(__xludf.DUMMYFUNCTION("""COMPUTED_VALUE"""),2.215659991E9)</f>
        <v>2215659991</v>
      </c>
      <c r="I148" s="45">
        <f>IFERROR(__xludf.DUMMYFUNCTION("""COMPUTED_VALUE"""),2.215659991E9)</f>
        <v>2215659991</v>
      </c>
      <c r="J148" s="45" t="str">
        <f>IFERROR(__xludf.DUMMYFUNCTION("""COMPUTED_VALUE"""),"maxigullo@gmail.com")</f>
        <v>maxigullo@gmail.com</v>
      </c>
      <c r="K148" s="45" t="str">
        <f>IFERROR(__xludf.DUMMYFUNCTION("""COMPUTED_VALUE"""),"Femenino")</f>
        <v>Femenino</v>
      </c>
      <c r="L148" s="45" t="str">
        <f>IFERROR(__xludf.DUMMYFUNCTION("""COMPUTED_VALUE"""),"CRLP")</f>
        <v>CRLP</v>
      </c>
      <c r="M148" s="45" t="str">
        <f>IFERROR(__xludf.DUMMYFUNCTION("""COMPUTED_VALUE"""),"Femenino")</f>
        <v>Femenino</v>
      </c>
      <c r="N148" s="7" t="str">
        <f>IFERROR(__xludf.DUMMYFUNCTION("""COMPUTED_VALUE"""),"OPTIMIST TIMONELES")</f>
        <v>OPTIMIST TIMONELES</v>
      </c>
      <c r="O148" s="7"/>
      <c r="P148" s="7">
        <f>IFERROR(__xludf.DUMMYFUNCTION("""COMPUTED_VALUE"""),3590.0)</f>
        <v>3590</v>
      </c>
      <c r="Q148" s="45" t="str">
        <f>IFERROR(__xludf.DUMMYFUNCTION("""COMPUTED_VALUE"""),"Perseo")</f>
        <v>Perseo</v>
      </c>
      <c r="R148" s="45"/>
      <c r="S148" s="45"/>
      <c r="T148" s="45"/>
      <c r="U148" s="45"/>
      <c r="V148" s="45"/>
      <c r="W148" s="45"/>
      <c r="X148" s="47" t="str">
        <f>IFERROR(__xludf.DUMMYFUNCTION("""COMPUTED_VALUE"""),"IOMA")</f>
        <v>IOMA</v>
      </c>
      <c r="Y148" s="7" t="str">
        <f>IFERROR(__xludf.DUMMYFUNCTION("""COMPUTED_VALUE"""),"Si")</f>
        <v>Si</v>
      </c>
      <c r="Z148" s="45" t="str">
        <f>IFERROR(__xludf.DUMMYFUNCTION("""COMPUTED_VALUE"""),"Acepto")</f>
        <v>Acepto</v>
      </c>
      <c r="AA148" s="45" t="str">
        <f>IFERROR(__xludf.DUMMYFUNCTION("""COMPUTED_VALUE"""),"Terminado")</f>
        <v>Terminado</v>
      </c>
      <c r="AB148" s="45">
        <f>IFERROR(__xludf.DUMMYFUNCTION("""COMPUTED_VALUE"""),50000.0)</f>
        <v>50000</v>
      </c>
      <c r="AC148" s="7">
        <f>IFERROR(__xludf.DUMMYFUNCTION("""COMPUTED_VALUE"""),205341.0)</f>
        <v>205341</v>
      </c>
      <c r="AD148" s="7" t="str">
        <f>IFERROR(__xludf.DUMMYFUNCTION("""COMPUTED_VALUE"""),"TRF 31-08")</f>
        <v>TRF 31-08</v>
      </c>
      <c r="AE148" s="7" t="str">
        <f>IFERROR(__xludf.DUMMYFUNCTION("""COMPUTED_VALUE"""),"OK")</f>
        <v>OK</v>
      </c>
      <c r="AF148" s="7"/>
    </row>
    <row r="149">
      <c r="A149" s="42">
        <f>IFERROR(__xludf.DUMMYFUNCTION("""COMPUTED_VALUE"""),45530.67343997685)</f>
        <v>45530.67344</v>
      </c>
      <c r="B149" s="43" t="str">
        <f>IFERROR(__xludf.DUMMYFUNCTION("""COMPUTED_VALUE"""),"Fernando  ")</f>
        <v>Fernando  </v>
      </c>
      <c r="C149" s="43" t="str">
        <f>IFERROR(__xludf.DUMMYFUNCTION("""COMPUTED_VALUE"""),"Gwozdz")</f>
        <v>Gwozdz</v>
      </c>
      <c r="D149" s="43" t="str">
        <f>IFERROR(__xludf.DUMMYFUNCTION("""COMPUTED_VALUE"""),"Quilmes ")</f>
        <v>Quilmes </v>
      </c>
      <c r="E149" s="45" t="str">
        <f>IFERROR(__xludf.DUMMYFUNCTION("""COMPUTED_VALUE"""),"ARG")</f>
        <v>ARG</v>
      </c>
      <c r="F149" s="45">
        <f>IFERROR(__xludf.DUMMYFUNCTION("""COMPUTED_VALUE"""),3.0820322E7)</f>
        <v>30820322</v>
      </c>
      <c r="G149" s="44">
        <f>IFERROR(__xludf.DUMMYFUNCTION("""COMPUTED_VALUE"""),30719.0)</f>
        <v>30719</v>
      </c>
      <c r="H149" s="45" t="str">
        <f>IFERROR(__xludf.DUMMYFUNCTION("""COMPUTED_VALUE"""),"01140248300")</f>
        <v>01140248300</v>
      </c>
      <c r="I149" s="45"/>
      <c r="J149" s="45" t="str">
        <f>IFERROR(__xludf.DUMMYFUNCTION("""COMPUTED_VALUE"""),"fergwozdz@gmail.com")</f>
        <v>fergwozdz@gmail.com</v>
      </c>
      <c r="K149" s="45" t="str">
        <f>IFERROR(__xludf.DUMMYFUNCTION("""COMPUTED_VALUE"""),"Masculino")</f>
        <v>Masculino</v>
      </c>
      <c r="L149" s="45" t="str">
        <f>IFERROR(__xludf.DUMMYFUNCTION("""COMPUTED_VALUE"""),"YCA ")</f>
        <v>YCA </v>
      </c>
      <c r="M149" s="45" t="str">
        <f>IFERROR(__xludf.DUMMYFUNCTION("""COMPUTED_VALUE"""),"J70")</f>
        <v>J70</v>
      </c>
      <c r="N149" s="7" t="str">
        <f>IFERROR(__xludf.DUMMYFUNCTION("""COMPUTED_VALUE"""),"J 70")</f>
        <v>J 70</v>
      </c>
      <c r="O149" s="7">
        <f>IFERROR(__xludf.DUMMYFUNCTION("""COMPUTED_VALUE"""),46.0)</f>
        <v>46</v>
      </c>
      <c r="P149" s="7">
        <f>IFERROR(__xludf.DUMMYFUNCTION("""COMPUTED_VALUE"""),1560.0)</f>
        <v>1560</v>
      </c>
      <c r="Q149" s="45"/>
      <c r="R149" s="45" t="str">
        <f>IFERROR(__xludf.DUMMYFUNCTION("""COMPUTED_VALUE"""),"Beeb Beep ")</f>
        <v>Beeb Beep </v>
      </c>
      <c r="S149" s="45" t="str">
        <f>IFERROR(__xludf.DUMMYFUNCTION("""COMPUTED_VALUE"""),"Federico Travasio ")</f>
        <v>Federico Travasio </v>
      </c>
      <c r="T149" s="45" t="str">
        <f>IFERROR(__xludf.DUMMYFUNCTION("""COMPUTED_VALUE"""),"Piru Di Bernardo ")</f>
        <v>Piru Di Bernardo </v>
      </c>
      <c r="U149" s="45" t="str">
        <f>IFERROR(__xludf.DUMMYFUNCTION("""COMPUTED_VALUE"""),"Manuel  Gonzalez Vidal ")</f>
        <v>Manuel  Gonzalez Vidal </v>
      </c>
      <c r="V149" s="45"/>
      <c r="W149" s="45"/>
      <c r="X149" s="47" t="str">
        <f>IFERROR(__xludf.DUMMYFUNCTION("""COMPUTED_VALUE"""),"Osde ")</f>
        <v>Osde </v>
      </c>
      <c r="Y149" s="7" t="str">
        <f>IFERROR(__xludf.DUMMYFUNCTION("""COMPUTED_VALUE"""),"No")</f>
        <v>No</v>
      </c>
      <c r="Z149" s="45" t="str">
        <f>IFERROR(__xludf.DUMMYFUNCTION("""COMPUTED_VALUE"""),"Acepto")</f>
        <v>Acepto</v>
      </c>
      <c r="AA149" s="45" t="str">
        <f>IFERROR(__xludf.DUMMYFUNCTION("""COMPUTED_VALUE"""),"Terminado")</f>
        <v>Terminado</v>
      </c>
      <c r="AB149" s="45">
        <f>IFERROR(__xludf.DUMMYFUNCTION("""COMPUTED_VALUE"""),90000.0)</f>
        <v>90000</v>
      </c>
      <c r="AC149" s="7">
        <f>IFERROR(__xludf.DUMMYFUNCTION("""COMPUTED_VALUE"""),205064.0)</f>
        <v>205064</v>
      </c>
      <c r="AD149" s="7" t="str">
        <f>IFERROR(__xludf.DUMMYFUNCTION("""COMPUTED_VALUE"""),"TRF 27-08")</f>
        <v>TRF 27-08</v>
      </c>
      <c r="AE149" s="7" t="str">
        <f>IFERROR(__xludf.DUMMYFUNCTION("""COMPUTED_VALUE"""),"No Corresp")</f>
        <v>No Corresp</v>
      </c>
      <c r="AF149" s="7"/>
    </row>
    <row r="150">
      <c r="A150" s="42">
        <f>IFERROR(__xludf.DUMMYFUNCTION("""COMPUTED_VALUE"""),45540.55586703704)</f>
        <v>45540.55587</v>
      </c>
      <c r="B150" s="43" t="str">
        <f>IFERROR(__xludf.DUMMYFUNCTION("""COMPUTED_VALUE"""),"Andres")</f>
        <v>Andres</v>
      </c>
      <c r="C150" s="43" t="str">
        <f>IFERROR(__xludf.DUMMYFUNCTION("""COMPUTED_VALUE"""),"Heredia")</f>
        <v>Heredia</v>
      </c>
      <c r="D150" s="43" t="str">
        <f>IFERROR(__xludf.DUMMYFUNCTION("""COMPUTED_VALUE"""),"Buenos Aires")</f>
        <v>Buenos Aires</v>
      </c>
      <c r="E150" s="45" t="str">
        <f>IFERROR(__xludf.DUMMYFUNCTION("""COMPUTED_VALUE"""),"ARG")</f>
        <v>ARG</v>
      </c>
      <c r="F150" s="45">
        <f>IFERROR(__xludf.DUMMYFUNCTION("""COMPUTED_VALUE"""),3.0368109E7)</f>
        <v>30368109</v>
      </c>
      <c r="G150" s="44">
        <f>IFERROR(__xludf.DUMMYFUNCTION("""COMPUTED_VALUE"""),30473.0)</f>
        <v>30473</v>
      </c>
      <c r="H150" s="45" t="str">
        <f>IFERROR(__xludf.DUMMYFUNCTION("""COMPUTED_VALUE"""),"+5491161347543")</f>
        <v>+5491161347543</v>
      </c>
      <c r="I150" s="45" t="str">
        <f>IFERROR(__xludf.DUMMYFUNCTION("""COMPUTED_VALUE"""),"+5491161347543")</f>
        <v>+5491161347543</v>
      </c>
      <c r="J150" s="45" t="str">
        <f>IFERROR(__xludf.DUMMYFUNCTION("""COMPUTED_VALUE"""),"flotalaser@gmail.com")</f>
        <v>flotalaser@gmail.com</v>
      </c>
      <c r="K150" s="45" t="str">
        <f>IFERROR(__xludf.DUMMYFUNCTION("""COMPUTED_VALUE"""),"Masculino")</f>
        <v>Masculino</v>
      </c>
      <c r="L150" s="45" t="str">
        <f>IFERROR(__xludf.DUMMYFUNCTION("""COMPUTED_VALUE"""),"YCO")</f>
        <v>YCO</v>
      </c>
      <c r="M150" s="45" t="str">
        <f>IFERROR(__xludf.DUMMYFUNCTION("""COMPUTED_VALUE"""),"Master (ILCA)")</f>
        <v>Master (ILCA)</v>
      </c>
      <c r="N150" s="7" t="str">
        <f>IFERROR(__xludf.DUMMYFUNCTION("""COMPUTED_VALUE"""),"ILCA 7")</f>
        <v>ILCA 7</v>
      </c>
      <c r="O150" s="7"/>
      <c r="P150" s="7">
        <f>IFERROR(__xludf.DUMMYFUNCTION("""COMPUTED_VALUE"""),202660.0)</f>
        <v>202660</v>
      </c>
      <c r="Q150" s="45"/>
      <c r="R150" s="45"/>
      <c r="S150" s="45"/>
      <c r="T150" s="45"/>
      <c r="U150" s="45"/>
      <c r="V150" s="45"/>
      <c r="W150" s="45"/>
      <c r="X150" s="47" t="str">
        <f>IFERROR(__xludf.DUMMYFUNCTION("""COMPUTED_VALUE"""),"OSDE")</f>
        <v>OSDE</v>
      </c>
      <c r="Y150" s="7" t="str">
        <f>IFERROR(__xludf.DUMMYFUNCTION("""COMPUTED_VALUE"""),"Si")</f>
        <v>Si</v>
      </c>
      <c r="Z150" s="45" t="str">
        <f>IFERROR(__xludf.DUMMYFUNCTION("""COMPUTED_VALUE"""),"Acepto")</f>
        <v>Acepto</v>
      </c>
      <c r="AA150" s="45" t="str">
        <f>IFERROR(__xludf.DUMMYFUNCTION("""COMPUTED_VALUE"""),"Terminado")</f>
        <v>Terminado</v>
      </c>
      <c r="AB150" s="45">
        <f>IFERROR(__xludf.DUMMYFUNCTION("""COMPUTED_VALUE"""),45000.0)</f>
        <v>45000</v>
      </c>
      <c r="AC150" s="7">
        <f>IFERROR(__xludf.DUMMYFUNCTION("""COMPUTED_VALUE"""),205479.0)</f>
        <v>205479</v>
      </c>
      <c r="AD150" s="7" t="str">
        <f>IFERROR(__xludf.DUMMYFUNCTION("""COMPUTED_VALUE"""),"TRF 05-09")</f>
        <v>TRF 05-09</v>
      </c>
      <c r="AE150" s="7" t="str">
        <f>IFERROR(__xludf.DUMMYFUNCTION("""COMPUTED_VALUE"""),"No Corresp")</f>
        <v>No Corresp</v>
      </c>
      <c r="AF150" s="7"/>
    </row>
    <row r="151">
      <c r="A151" s="42">
        <f>IFERROR(__xludf.DUMMYFUNCTION("""COMPUTED_VALUE"""),45540.55957469907)</f>
        <v>45540.55957</v>
      </c>
      <c r="B151" s="43" t="str">
        <f>IFERROR(__xludf.DUMMYFUNCTION("""COMPUTED_VALUE"""),"Marcos")</f>
        <v>Marcos</v>
      </c>
      <c r="C151" s="43" t="str">
        <f>IFERROR(__xludf.DUMMYFUNCTION("""COMPUTED_VALUE"""),"Heredia")</f>
        <v>Heredia</v>
      </c>
      <c r="D151" s="43" t="str">
        <f>IFERROR(__xludf.DUMMYFUNCTION("""COMPUTED_VALUE"""),"Buenos Aires")</f>
        <v>Buenos Aires</v>
      </c>
      <c r="E151" s="45" t="str">
        <f>IFERROR(__xludf.DUMMYFUNCTION("""COMPUTED_VALUE"""),"ARG")</f>
        <v>ARG</v>
      </c>
      <c r="F151" s="45">
        <f>IFERROR(__xludf.DUMMYFUNCTION("""COMPUTED_VALUE"""),5.3855489E7)</f>
        <v>53855489</v>
      </c>
      <c r="G151" s="44">
        <f>IFERROR(__xludf.DUMMYFUNCTION("""COMPUTED_VALUE"""),41725.0)</f>
        <v>41725</v>
      </c>
      <c r="H151" s="45" t="str">
        <f>IFERROR(__xludf.DUMMYFUNCTION("""COMPUTED_VALUE"""),"+5491161347543")</f>
        <v>+5491161347543</v>
      </c>
      <c r="I151" s="45" t="str">
        <f>IFERROR(__xludf.DUMMYFUNCTION("""COMPUTED_VALUE"""),"+5491161347543")</f>
        <v>+5491161347543</v>
      </c>
      <c r="J151" s="45" t="str">
        <f>IFERROR(__xludf.DUMMYFUNCTION("""COMPUTED_VALUE"""),"flotalaser@gmail.com")</f>
        <v>flotalaser@gmail.com</v>
      </c>
      <c r="K151" s="45" t="str">
        <f>IFERROR(__xludf.DUMMYFUNCTION("""COMPUTED_VALUE"""),"Masculino")</f>
        <v>Masculino</v>
      </c>
      <c r="L151" s="45" t="str">
        <f>IFERROR(__xludf.DUMMYFUNCTION("""COMPUTED_VALUE"""),"YCO")</f>
        <v>YCO</v>
      </c>
      <c r="M151" s="45"/>
      <c r="N151" s="7" t="str">
        <f>IFERROR(__xludf.DUMMYFUNCTION("""COMPUTED_VALUE"""),"OPTIMIST PRINCIPIANTES")</f>
        <v>OPTIMIST PRINCIPIANTES</v>
      </c>
      <c r="O151" s="7"/>
      <c r="P151" s="7">
        <f>IFERROR(__xludf.DUMMYFUNCTION("""COMPUTED_VALUE"""),4011.0)</f>
        <v>4011</v>
      </c>
      <c r="Q151" s="45"/>
      <c r="R151" s="45"/>
      <c r="S151" s="45"/>
      <c r="T151" s="45"/>
      <c r="U151" s="45"/>
      <c r="V151" s="45"/>
      <c r="W151" s="45"/>
      <c r="X151" s="47" t="str">
        <f>IFERROR(__xludf.DUMMYFUNCTION("""COMPUTED_VALUE"""),"OSDE")</f>
        <v>OSDE</v>
      </c>
      <c r="Y151" s="7" t="str">
        <f>IFERROR(__xludf.DUMMYFUNCTION("""COMPUTED_VALUE"""),"Si")</f>
        <v>Si</v>
      </c>
      <c r="Z151" s="45" t="str">
        <f>IFERROR(__xludf.DUMMYFUNCTION("""COMPUTED_VALUE"""),"Acepto")</f>
        <v>Acepto</v>
      </c>
      <c r="AA151" s="45" t="str">
        <f>IFERROR(__xludf.DUMMYFUNCTION("""COMPUTED_VALUE"""),"Terminado")</f>
        <v>Terminado</v>
      </c>
      <c r="AB151" s="45">
        <f>IFERROR(__xludf.DUMMYFUNCTION("""COMPUTED_VALUE"""),50000.0)</f>
        <v>50000</v>
      </c>
      <c r="AC151" s="7">
        <f>IFERROR(__xludf.DUMMYFUNCTION("""COMPUTED_VALUE"""),205479.0)</f>
        <v>205479</v>
      </c>
      <c r="AD151" s="7" t="str">
        <f>IFERROR(__xludf.DUMMYFUNCTION("""COMPUTED_VALUE"""),"TRF 05-09")</f>
        <v>TRF 05-09</v>
      </c>
      <c r="AE151" s="7" t="str">
        <f>IFERROR(__xludf.DUMMYFUNCTION("""COMPUTED_VALUE"""),"Pendiente")</f>
        <v>Pendiente</v>
      </c>
      <c r="AF151" s="7"/>
    </row>
    <row r="152">
      <c r="A152" s="42">
        <f>IFERROR(__xludf.DUMMYFUNCTION("""COMPUTED_VALUE"""),45534.59747461806)</f>
        <v>45534.59747</v>
      </c>
      <c r="B152" s="43" t="str">
        <f>IFERROR(__xludf.DUMMYFUNCTION("""COMPUTED_VALUE"""),"Inés ")</f>
        <v>Inés </v>
      </c>
      <c r="C152" s="43" t="str">
        <f>IFERROR(__xludf.DUMMYFUNCTION("""COMPUTED_VALUE"""),"Hernández ")</f>
        <v>Hernández </v>
      </c>
      <c r="D152" s="43" t="str">
        <f>IFERROR(__xludf.DUMMYFUNCTION("""COMPUTED_VALUE"""),"San Pedro")</f>
        <v>San Pedro</v>
      </c>
      <c r="E152" s="45" t="str">
        <f>IFERROR(__xludf.DUMMYFUNCTION("""COMPUTED_VALUE"""),"ARG")</f>
        <v>ARG</v>
      </c>
      <c r="F152" s="45">
        <f>IFERROR(__xludf.DUMMYFUNCTION("""COMPUTED_VALUE"""),5.3442924E7)</f>
        <v>53442924</v>
      </c>
      <c r="G152" s="44">
        <f>IFERROR(__xludf.DUMMYFUNCTION("""COMPUTED_VALUE"""),41557.0)</f>
        <v>41557</v>
      </c>
      <c r="H152" s="45">
        <f>IFERROR(__xludf.DUMMYFUNCTION("""COMPUTED_VALUE"""),3.329515502E9)</f>
        <v>3329515502</v>
      </c>
      <c r="I152" s="45">
        <f>IFERROR(__xludf.DUMMYFUNCTION("""COMPUTED_VALUE"""),3.329522546E9)</f>
        <v>3329522546</v>
      </c>
      <c r="J152" s="45" t="str">
        <f>IFERROR(__xludf.DUMMYFUNCTION("""COMPUTED_VALUE"""),"rotundosofia@hotmail.com")</f>
        <v>rotundosofia@hotmail.com</v>
      </c>
      <c r="K152" s="45" t="str">
        <f>IFERROR(__xludf.DUMMYFUNCTION("""COMPUTED_VALUE"""),"Femenino")</f>
        <v>Femenino</v>
      </c>
      <c r="L152" s="45" t="str">
        <f>IFERROR(__xludf.DUMMYFUNCTION("""COMPUTED_VALUE"""),"CNSP")</f>
        <v>CNSP</v>
      </c>
      <c r="M152" s="45"/>
      <c r="N152" s="7" t="str">
        <f>IFERROR(__xludf.DUMMYFUNCTION("""COMPUTED_VALUE"""),"OPTIMIST TIMONELES")</f>
        <v>OPTIMIST TIMONELES</v>
      </c>
      <c r="O152" s="7"/>
      <c r="P152" s="7">
        <f>IFERROR(__xludf.DUMMYFUNCTION("""COMPUTED_VALUE"""),4141.0)</f>
        <v>4141</v>
      </c>
      <c r="Q152" s="45"/>
      <c r="R152" s="45"/>
      <c r="S152" s="45"/>
      <c r="T152" s="45"/>
      <c r="U152" s="45"/>
      <c r="V152" s="45"/>
      <c r="W152" s="45"/>
      <c r="X152" s="47" t="str">
        <f>IFERROR(__xludf.DUMMYFUNCTION("""COMPUTED_VALUE"""),"Accord Dorado ")</f>
        <v>Accord Dorado </v>
      </c>
      <c r="Y152" s="7" t="str">
        <f>IFERROR(__xludf.DUMMYFUNCTION("""COMPUTED_VALUE"""),"Si")</f>
        <v>Si</v>
      </c>
      <c r="Z152" s="45" t="str">
        <f>IFERROR(__xludf.DUMMYFUNCTION("""COMPUTED_VALUE"""),"Acepto")</f>
        <v>Acepto</v>
      </c>
      <c r="AA152" s="45" t="str">
        <f>IFERROR(__xludf.DUMMYFUNCTION("""COMPUTED_VALUE"""),"Terminado")</f>
        <v>Terminado</v>
      </c>
      <c r="AB152" s="45">
        <f>IFERROR(__xludf.DUMMYFUNCTION("""COMPUTED_VALUE"""),50000.0)</f>
        <v>50000</v>
      </c>
      <c r="AC152" s="7">
        <f>IFERROR(__xludf.DUMMYFUNCTION("""COMPUTED_VALUE"""),205106.0)</f>
        <v>205106</v>
      </c>
      <c r="AD152" s="7" t="str">
        <f>IFERROR(__xludf.DUMMYFUNCTION("""COMPUTED_VALUE"""),"TRF 30-08")</f>
        <v>TRF 30-08</v>
      </c>
      <c r="AE152" s="7" t="str">
        <f>IFERROR(__xludf.DUMMYFUNCTION("""COMPUTED_VALUE"""),"OK")</f>
        <v>OK</v>
      </c>
      <c r="AF152" s="7"/>
    </row>
    <row r="153">
      <c r="A153" s="42">
        <f>IFERROR(__xludf.DUMMYFUNCTION("""COMPUTED_VALUE"""),45538.47685523148)</f>
        <v>45538.47686</v>
      </c>
      <c r="B153" s="43" t="str">
        <f>IFERROR(__xludf.DUMMYFUNCTION("""COMPUTED_VALUE"""),"Brandon")</f>
        <v>Brandon</v>
      </c>
      <c r="C153" s="43" t="str">
        <f>IFERROR(__xludf.DUMMYFUNCTION("""COMPUTED_VALUE"""),"Herrera Barrera")</f>
        <v>Herrera Barrera</v>
      </c>
      <c r="D153" s="43" t="str">
        <f>IFERROR(__xludf.DUMMYFUNCTION("""COMPUTED_VALUE"""),"San Isidro")</f>
        <v>San Isidro</v>
      </c>
      <c r="E153" s="45" t="str">
        <f>IFERROR(__xludf.DUMMYFUNCTION("""COMPUTED_VALUE"""),"ARG")</f>
        <v>ARG</v>
      </c>
      <c r="F153" s="45">
        <f>IFERROR(__xludf.DUMMYFUNCTION("""COMPUTED_VALUE"""),4.9264184E7)</f>
        <v>49264184</v>
      </c>
      <c r="G153" s="44">
        <f>IFERROR(__xludf.DUMMYFUNCTION("""COMPUTED_VALUE"""),39876.0)</f>
        <v>39876</v>
      </c>
      <c r="H153" s="45" t="str">
        <f>IFERROR(__xludf.DUMMYFUNCTION("""COMPUTED_VALUE"""),"+54 9 11 3394-3846")</f>
        <v>+54 9 11 3394-3846</v>
      </c>
      <c r="I153" s="45"/>
      <c r="J153" s="45" t="str">
        <f>IFERROR(__xludf.DUMMYFUNCTION("""COMPUTED_VALUE"""),"ignacio.varisco@gmail.com")</f>
        <v>ignacio.varisco@gmail.com</v>
      </c>
      <c r="K153" s="45" t="str">
        <f>IFERROR(__xludf.DUMMYFUNCTION("""COMPUTED_VALUE"""),"Masculino")</f>
        <v>Masculino</v>
      </c>
      <c r="L153" s="45" t="str">
        <f>IFERROR(__xludf.DUMMYFUNCTION("""COMPUTED_VALUE"""),"CPNLB- CBRIO")</f>
        <v>CPNLB- CBRIO</v>
      </c>
      <c r="M153" s="45"/>
      <c r="N153" s="7" t="str">
        <f>IFERROR(__xludf.DUMMYFUNCTION("""COMPUTED_VALUE"""),"OPTIMIST TIMONELES")</f>
        <v>OPTIMIST TIMONELES</v>
      </c>
      <c r="O153" s="7"/>
      <c r="P153" s="7" t="str">
        <f>IFERROR(__xludf.DUMMYFUNCTION("""COMPUTED_VALUE"""),"ARG 3513")</f>
        <v>ARG 3513</v>
      </c>
      <c r="Q153" s="45" t="str">
        <f>IFERROR(__xludf.DUMMYFUNCTION("""COMPUTED_VALUE"""),"Tronador")</f>
        <v>Tronador</v>
      </c>
      <c r="R153" s="45"/>
      <c r="S153" s="45"/>
      <c r="T153" s="45"/>
      <c r="U153" s="45"/>
      <c r="V153" s="45"/>
      <c r="W153" s="45"/>
      <c r="X153" s="47"/>
      <c r="Y153" s="7" t="str">
        <f>IFERROR(__xludf.DUMMYFUNCTION("""COMPUTED_VALUE"""),"Si")</f>
        <v>Si</v>
      </c>
      <c r="Z153" s="45" t="str">
        <f>IFERROR(__xludf.DUMMYFUNCTION("""COMPUTED_VALUE"""),"Acepto")</f>
        <v>Acepto</v>
      </c>
      <c r="AA153" s="45" t="str">
        <f>IFERROR(__xludf.DUMMYFUNCTION("""COMPUTED_VALUE"""),"Terminado")</f>
        <v>Terminado</v>
      </c>
      <c r="AB153" s="45"/>
      <c r="AC153" s="7"/>
      <c r="AD153" s="7" t="str">
        <f>IFERROR(__xludf.DUMMYFUNCTION("""COMPUTED_VALUE"""),"Beca CBrrio")</f>
        <v>Beca CBrrio</v>
      </c>
      <c r="AE153" s="7" t="str">
        <f>IFERROR(__xludf.DUMMYFUNCTION("""COMPUTED_VALUE"""),"OK")</f>
        <v>OK</v>
      </c>
      <c r="AF153" s="7" t="str">
        <f>IFERROR(__xludf.DUMMYFUNCTION("""COMPUTED_VALUE"""),"SI")</f>
        <v>SI</v>
      </c>
    </row>
    <row r="154">
      <c r="A154" s="42">
        <f>IFERROR(__xludf.DUMMYFUNCTION("""COMPUTED_VALUE"""),45535.48876015046)</f>
        <v>45535.48876</v>
      </c>
      <c r="B154" s="43" t="str">
        <f>IFERROR(__xludf.DUMMYFUNCTION("""COMPUTED_VALUE"""),"Thaya")</f>
        <v>Thaya</v>
      </c>
      <c r="C154" s="43" t="str">
        <f>IFERROR(__xludf.DUMMYFUNCTION("""COMPUTED_VALUE"""),"Jaimovich Landeo")</f>
        <v>Jaimovich Landeo</v>
      </c>
      <c r="D154" s="43" t="str">
        <f>IFERROR(__xludf.DUMMYFUNCTION("""COMPUTED_VALUE"""),"CABA")</f>
        <v>CABA</v>
      </c>
      <c r="E154" s="45" t="str">
        <f>IFERROR(__xludf.DUMMYFUNCTION("""COMPUTED_VALUE"""),"ARG")</f>
        <v>ARG</v>
      </c>
      <c r="F154" s="45">
        <f>IFERROR(__xludf.DUMMYFUNCTION("""COMPUTED_VALUE"""),5.3236008E7)</f>
        <v>53236008</v>
      </c>
      <c r="G154" s="44">
        <f>IFERROR(__xludf.DUMMYFUNCTION("""COMPUTED_VALUE"""),41388.0)</f>
        <v>41388</v>
      </c>
      <c r="H154" s="45">
        <f>IFERROR(__xludf.DUMMYFUNCTION("""COMPUTED_VALUE"""),1.140883466E9)</f>
        <v>1140883466</v>
      </c>
      <c r="I154" s="45">
        <f>IFERROR(__xludf.DUMMYFUNCTION("""COMPUTED_VALUE"""),1.1658290733E10)</f>
        <v>11658290733</v>
      </c>
      <c r="J154" s="45" t="str">
        <f>IFERROR(__xludf.DUMMYFUNCTION("""COMPUTED_VALUE"""),"Damianjaimovichdrive@gmail.com")</f>
        <v>Damianjaimovichdrive@gmail.com</v>
      </c>
      <c r="K154" s="45" t="str">
        <f>IFERROR(__xludf.DUMMYFUNCTION("""COMPUTED_VALUE"""),"Femenino")</f>
        <v>Femenino</v>
      </c>
      <c r="L154" s="45" t="str">
        <f>IFERROR(__xludf.DUMMYFUNCTION("""COMPUTED_VALUE"""),"CPNLB")</f>
        <v>CPNLB</v>
      </c>
      <c r="M154" s="45" t="str">
        <f>IFERROR(__xludf.DUMMYFUNCTION("""COMPUTED_VALUE"""),"Femenino")</f>
        <v>Femenino</v>
      </c>
      <c r="N154" s="7" t="str">
        <f>IFERROR(__xludf.DUMMYFUNCTION("""COMPUTED_VALUE"""),"OPTIMIST PRINCIPIANTES")</f>
        <v>OPTIMIST PRINCIPIANTES</v>
      </c>
      <c r="O154" s="7"/>
      <c r="P154" s="7">
        <f>IFERROR(__xludf.DUMMYFUNCTION("""COMPUTED_VALUE"""),2793.0)</f>
        <v>2793</v>
      </c>
      <c r="Q154" s="45"/>
      <c r="R154" s="45"/>
      <c r="S154" s="45"/>
      <c r="T154" s="45"/>
      <c r="U154" s="45"/>
      <c r="V154" s="45"/>
      <c r="W154" s="45"/>
      <c r="X154" s="47" t="str">
        <f>IFERROR(__xludf.DUMMYFUNCTION("""COMPUTED_VALUE"""),"Medicus 14084892001")</f>
        <v>Medicus 14084892001</v>
      </c>
      <c r="Y154" s="7" t="str">
        <f>IFERROR(__xludf.DUMMYFUNCTION("""COMPUTED_VALUE"""),"Si")</f>
        <v>Si</v>
      </c>
      <c r="Z154" s="45" t="str">
        <f>IFERROR(__xludf.DUMMYFUNCTION("""COMPUTED_VALUE"""),"Acepto")</f>
        <v>Acepto</v>
      </c>
      <c r="AA154" s="45" t="str">
        <f>IFERROR(__xludf.DUMMYFUNCTION("""COMPUTED_VALUE"""),"Terminado")</f>
        <v>Terminado</v>
      </c>
      <c r="AB154" s="45">
        <f>IFERROR(__xludf.DUMMYFUNCTION("""COMPUTED_VALUE"""),50000.0)</f>
        <v>50000</v>
      </c>
      <c r="AC154" s="7">
        <f>IFERROR(__xludf.DUMMYFUNCTION("""COMPUTED_VALUE"""),205157.0)</f>
        <v>205157</v>
      </c>
      <c r="AD154" s="7" t="str">
        <f>IFERROR(__xludf.DUMMYFUNCTION("""COMPUTED_VALUE"""),"TRF 31-08")</f>
        <v>TRF 31-08</v>
      </c>
      <c r="AE154" s="7" t="str">
        <f>IFERROR(__xludf.DUMMYFUNCTION("""COMPUTED_VALUE"""),"OK")</f>
        <v>OK</v>
      </c>
      <c r="AF154" s="7" t="str">
        <f>IFERROR(__xludf.DUMMYFUNCTION("""COMPUTED_VALUE"""),"SI")</f>
        <v>SI</v>
      </c>
    </row>
    <row r="155">
      <c r="A155" s="42">
        <f>IFERROR(__xludf.DUMMYFUNCTION("""COMPUTED_VALUE"""),45535.64085170139)</f>
        <v>45535.64085</v>
      </c>
      <c r="B155" s="43" t="str">
        <f>IFERROR(__xludf.DUMMYFUNCTION("""COMPUTED_VALUE"""),"Ciro")</f>
        <v>Ciro</v>
      </c>
      <c r="C155" s="43" t="str">
        <f>IFERROR(__xludf.DUMMYFUNCTION("""COMPUTED_VALUE"""),"Juan de Paz")</f>
        <v>Juan de Paz</v>
      </c>
      <c r="D155" s="43" t="str">
        <f>IFERROR(__xludf.DUMMYFUNCTION("""COMPUTED_VALUE"""),"Zarate")</f>
        <v>Zarate</v>
      </c>
      <c r="E155" s="45" t="str">
        <f>IFERROR(__xludf.DUMMYFUNCTION("""COMPUTED_VALUE"""),"ARG")</f>
        <v>ARG</v>
      </c>
      <c r="F155" s="45">
        <f>IFERROR(__xludf.DUMMYFUNCTION("""COMPUTED_VALUE"""),5.3595476E7)</f>
        <v>53595476</v>
      </c>
      <c r="G155" s="44">
        <f>IFERROR(__xludf.DUMMYFUNCTION("""COMPUTED_VALUE"""),41624.0)</f>
        <v>41624</v>
      </c>
      <c r="H155" s="45">
        <f>IFERROR(__xludf.DUMMYFUNCTION("""COMPUTED_VALUE"""),1.141749061E9)</f>
        <v>1141749061</v>
      </c>
      <c r="I155" s="45">
        <f>IFERROR(__xludf.DUMMYFUNCTION("""COMPUTED_VALUE"""),1.141749061E9)</f>
        <v>1141749061</v>
      </c>
      <c r="J155" s="45" t="str">
        <f>IFERROR(__xludf.DUMMYFUNCTION("""COMPUTED_VALUE"""),"Alejdepaz@hotmail.com")</f>
        <v>Alejdepaz@hotmail.com</v>
      </c>
      <c r="K155" s="45" t="str">
        <f>IFERROR(__xludf.DUMMYFUNCTION("""COMPUTED_VALUE"""),"Masculino")</f>
        <v>Masculino</v>
      </c>
      <c r="L155" s="45" t="str">
        <f>IFERROR(__xludf.DUMMYFUNCTION("""COMPUTED_VALUE"""),"CNZ")</f>
        <v>CNZ</v>
      </c>
      <c r="M155" s="45" t="str">
        <f>IFERROR(__xludf.DUMMYFUNCTION("""COMPUTED_VALUE"""),"Interior (Optimist)")</f>
        <v>Interior (Optimist)</v>
      </c>
      <c r="N155" s="7" t="str">
        <f>IFERROR(__xludf.DUMMYFUNCTION("""COMPUTED_VALUE"""),"OPTIMIST PRINCIPIANTES")</f>
        <v>OPTIMIST PRINCIPIANTES</v>
      </c>
      <c r="O155" s="7">
        <f>IFERROR(__xludf.DUMMYFUNCTION("""COMPUTED_VALUE"""),0.0)</f>
        <v>0</v>
      </c>
      <c r="P155" s="7" t="str">
        <f>IFERROR(__xludf.DUMMYFUNCTION("""COMPUTED_VALUE"""),"ARG4053")</f>
        <v>ARG4053</v>
      </c>
      <c r="Q155" s="45" t="str">
        <f>IFERROR(__xludf.DUMMYFUNCTION("""COMPUTED_VALUE"""),"Supra")</f>
        <v>Supra</v>
      </c>
      <c r="R155" s="45"/>
      <c r="S155" s="45"/>
      <c r="T155" s="45"/>
      <c r="U155" s="45"/>
      <c r="V155" s="45"/>
      <c r="W155" s="45"/>
      <c r="X155" s="47"/>
      <c r="Y155" s="7" t="str">
        <f>IFERROR(__xludf.DUMMYFUNCTION("""COMPUTED_VALUE"""),"Si")</f>
        <v>Si</v>
      </c>
      <c r="Z155" s="45" t="str">
        <f>IFERROR(__xludf.DUMMYFUNCTION("""COMPUTED_VALUE"""),"Acepto")</f>
        <v>Acepto</v>
      </c>
      <c r="AA155" s="45" t="str">
        <f>IFERROR(__xludf.DUMMYFUNCTION("""COMPUTED_VALUE"""),"Terminado")</f>
        <v>Terminado</v>
      </c>
      <c r="AB155" s="45">
        <f>IFERROR(__xludf.DUMMYFUNCTION("""COMPUTED_VALUE"""),50000.0)</f>
        <v>50000</v>
      </c>
      <c r="AC155" s="7">
        <f>IFERROR(__xludf.DUMMYFUNCTION("""COMPUTED_VALUE"""),205380.0)</f>
        <v>205380</v>
      </c>
      <c r="AD155" s="7" t="str">
        <f>IFERROR(__xludf.DUMMYFUNCTION("""COMPUTED_VALUE"""),"TRF 02-09")</f>
        <v>TRF 02-09</v>
      </c>
      <c r="AE155" s="7" t="str">
        <f>IFERROR(__xludf.DUMMYFUNCTION("""COMPUTED_VALUE"""),"OK")</f>
        <v>OK</v>
      </c>
      <c r="AF155" s="7"/>
    </row>
    <row r="156">
      <c r="A156" s="42">
        <f>IFERROR(__xludf.DUMMYFUNCTION("""COMPUTED_VALUE"""),45535.501205023145)</f>
        <v>45535.50121</v>
      </c>
      <c r="B156" s="43" t="str">
        <f>IFERROR(__xludf.DUMMYFUNCTION("""COMPUTED_VALUE"""),"Ticiano")</f>
        <v>Ticiano</v>
      </c>
      <c r="C156" s="43" t="str">
        <f>IFERROR(__xludf.DUMMYFUNCTION("""COMPUTED_VALUE"""),"Koltez")</f>
        <v>Koltez</v>
      </c>
      <c r="D156" s="43" t="str">
        <f>IFERROR(__xludf.DUMMYFUNCTION("""COMPUTED_VALUE"""),"Rada Tilly")</f>
        <v>Rada Tilly</v>
      </c>
      <c r="E156" s="45" t="str">
        <f>IFERROR(__xludf.DUMMYFUNCTION("""COMPUTED_VALUE"""),"ARG")</f>
        <v>ARG</v>
      </c>
      <c r="F156" s="45">
        <f>IFERROR(__xludf.DUMMYFUNCTION("""COMPUTED_VALUE"""),4.4601424E7)</f>
        <v>44601424</v>
      </c>
      <c r="G156" s="44">
        <f>IFERROR(__xludf.DUMMYFUNCTION("""COMPUTED_VALUE"""),37689.0)</f>
        <v>37689</v>
      </c>
      <c r="H156" s="45">
        <f>IFERROR(__xludf.DUMMYFUNCTION("""COMPUTED_VALUE"""),2.974572501E9)</f>
        <v>2974572501</v>
      </c>
      <c r="I156" s="45"/>
      <c r="J156" s="45" t="str">
        <f>IFERROR(__xludf.DUMMYFUNCTION("""COMPUTED_VALUE"""),"ticianokoltez@gmail.com")</f>
        <v>ticianokoltez@gmail.com</v>
      </c>
      <c r="K156" s="45" t="str">
        <f>IFERROR(__xludf.DUMMYFUNCTION("""COMPUTED_VALUE"""),"Masculino")</f>
        <v>Masculino</v>
      </c>
      <c r="L156" s="45" t="str">
        <f>IFERROR(__xludf.DUMMYFUNCTION("""COMPUTED_VALUE"""),"YCO - CNRT")</f>
        <v>YCO - CNRT</v>
      </c>
      <c r="M156" s="45"/>
      <c r="N156" s="7" t="str">
        <f>IFERROR(__xludf.DUMMYFUNCTION("""COMPUTED_VALUE"""),"ILCA 6")</f>
        <v>ILCA 6</v>
      </c>
      <c r="O156" s="7"/>
      <c r="P156" s="7">
        <f>IFERROR(__xludf.DUMMYFUNCTION("""COMPUTED_VALUE"""),195383.0)</f>
        <v>195383</v>
      </c>
      <c r="Q156" s="45"/>
      <c r="R156" s="45"/>
      <c r="S156" s="45"/>
      <c r="T156" s="45"/>
      <c r="U156" s="45"/>
      <c r="V156" s="45"/>
      <c r="W156" s="45"/>
      <c r="X156" s="47" t="str">
        <f>IFERROR(__xludf.DUMMYFUNCTION("""COMPUTED_VALUE"""),"Osde")</f>
        <v>Osde</v>
      </c>
      <c r="Y156" s="7" t="str">
        <f>IFERROR(__xludf.DUMMYFUNCTION("""COMPUTED_VALUE"""),"Si")</f>
        <v>Si</v>
      </c>
      <c r="Z156" s="45" t="str">
        <f>IFERROR(__xludf.DUMMYFUNCTION("""COMPUTED_VALUE"""),"Acepto")</f>
        <v>Acepto</v>
      </c>
      <c r="AA156" s="45" t="str">
        <f>IFERROR(__xludf.DUMMYFUNCTION("""COMPUTED_VALUE"""),"Terminado")</f>
        <v>Terminado</v>
      </c>
      <c r="AB156" s="45">
        <f>IFERROR(__xludf.DUMMYFUNCTION("""COMPUTED_VALUE"""),45000.0)</f>
        <v>45000</v>
      </c>
      <c r="AC156" s="7">
        <f>IFERROR(__xludf.DUMMYFUNCTION("""COMPUTED_VALUE"""),205159.0)</f>
        <v>205159</v>
      </c>
      <c r="AD156" s="7" t="str">
        <f>IFERROR(__xludf.DUMMYFUNCTION("""COMPUTED_VALUE"""),"TRF 31-08")</f>
        <v>TRF 31-08</v>
      </c>
      <c r="AE156" s="7" t="str">
        <f>IFERROR(__xludf.DUMMYFUNCTION("""COMPUTED_VALUE"""),"No Corresp")</f>
        <v>No Corresp</v>
      </c>
      <c r="AF156" s="7"/>
    </row>
    <row r="157">
      <c r="A157" s="42">
        <f>IFERROR(__xludf.DUMMYFUNCTION("""COMPUTED_VALUE"""),45525.60530859954)</f>
        <v>45525.60531</v>
      </c>
      <c r="B157" s="43" t="str">
        <f>IFERROR(__xludf.DUMMYFUNCTION("""COMPUTED_VALUE"""),"Francisco")</f>
        <v>Francisco</v>
      </c>
      <c r="C157" s="43" t="str">
        <f>IFERROR(__xludf.DUMMYFUNCTION("""COMPUTED_VALUE"""),"Krenek")</f>
        <v>Krenek</v>
      </c>
      <c r="D157" s="43" t="str">
        <f>IFERROR(__xludf.DUMMYFUNCTION("""COMPUTED_VALUE"""),"VICENTE LOPEZ")</f>
        <v>VICENTE LOPEZ</v>
      </c>
      <c r="E157" s="45" t="str">
        <f>IFERROR(__xludf.DUMMYFUNCTION("""COMPUTED_VALUE"""),"ARG")</f>
        <v>ARG</v>
      </c>
      <c r="F157" s="45">
        <f>IFERROR(__xludf.DUMMYFUNCTION("""COMPUTED_VALUE"""),5.2856304E7)</f>
        <v>52856304</v>
      </c>
      <c r="G157" s="44">
        <f>IFERROR(__xludf.DUMMYFUNCTION("""COMPUTED_VALUE"""),41238.0)</f>
        <v>41238</v>
      </c>
      <c r="H157" s="45">
        <f>IFERROR(__xludf.DUMMYFUNCTION("""COMPUTED_VALUE"""),1.165688066E9)</f>
        <v>1165688066</v>
      </c>
      <c r="I157" s="45">
        <f>IFERROR(__xludf.DUMMYFUNCTION("""COMPUTED_VALUE"""),1.162859402E9)</f>
        <v>1162859402</v>
      </c>
      <c r="J157" s="45" t="str">
        <f>IFERROR(__xludf.DUMMYFUNCTION("""COMPUTED_VALUE"""),"carloskrenek@yahoo.com.ar")</f>
        <v>carloskrenek@yahoo.com.ar</v>
      </c>
      <c r="K157" s="45" t="str">
        <f>IFERROR(__xludf.DUMMYFUNCTION("""COMPUTED_VALUE"""),"Masculino")</f>
        <v>Masculino</v>
      </c>
      <c r="L157" s="45" t="str">
        <f>IFERROR(__xludf.DUMMYFUNCTION("""COMPUTED_VALUE"""),"YCO")</f>
        <v>YCO</v>
      </c>
      <c r="M157" s="45"/>
      <c r="N157" s="7" t="str">
        <f>IFERROR(__xludf.DUMMYFUNCTION("""COMPUTED_VALUE"""),"OPTIMIST TIMONELES")</f>
        <v>OPTIMIST TIMONELES</v>
      </c>
      <c r="O157" s="7"/>
      <c r="P157" s="7" t="str">
        <f>IFERROR(__xludf.DUMMYFUNCTION("""COMPUTED_VALUE"""),"ARG 3817")</f>
        <v>ARG 3817</v>
      </c>
      <c r="Q157" s="45"/>
      <c r="R157" s="45"/>
      <c r="S157" s="45"/>
      <c r="T157" s="45"/>
      <c r="U157" s="45"/>
      <c r="V157" s="45"/>
      <c r="W157" s="45"/>
      <c r="X157" s="47" t="str">
        <f>IFERROR(__xludf.DUMMYFUNCTION("""COMPUTED_VALUE"""),"OSDE")</f>
        <v>OSDE</v>
      </c>
      <c r="Y157" s="7" t="str">
        <f>IFERROR(__xludf.DUMMYFUNCTION("""COMPUTED_VALUE"""),"Si")</f>
        <v>Si</v>
      </c>
      <c r="Z157" s="45" t="str">
        <f>IFERROR(__xludf.DUMMYFUNCTION("""COMPUTED_VALUE"""),"Acepto")</f>
        <v>Acepto</v>
      </c>
      <c r="AA157" s="45" t="str">
        <f>IFERROR(__xludf.DUMMYFUNCTION("""COMPUTED_VALUE"""),"Terminado")</f>
        <v>Terminado</v>
      </c>
      <c r="AB157" s="45">
        <f>IFERROR(__xludf.DUMMYFUNCTION("""COMPUTED_VALUE"""),60000.0)</f>
        <v>60000</v>
      </c>
      <c r="AC157" s="7">
        <f>IFERROR(__xludf.DUMMYFUNCTION("""COMPUTED_VALUE"""),205016.0)</f>
        <v>205016</v>
      </c>
      <c r="AD157" s="7" t="str">
        <f>IFERROR(__xludf.DUMMYFUNCTION("""COMPUTED_VALUE"""),"TRF 21-08")</f>
        <v>TRF 21-08</v>
      </c>
      <c r="AE157" s="7" t="str">
        <f>IFERROR(__xludf.DUMMYFUNCTION("""COMPUTED_VALUE"""),"OK")</f>
        <v>OK</v>
      </c>
      <c r="AF157" s="7"/>
    </row>
    <row r="158">
      <c r="A158" s="42">
        <f>IFERROR(__xludf.DUMMYFUNCTION("""COMPUTED_VALUE"""),45523.75030945602)</f>
        <v>45523.75031</v>
      </c>
      <c r="B158" s="43" t="str">
        <f>IFERROR(__xludf.DUMMYFUNCTION("""COMPUTED_VALUE"""),"RAUL")</f>
        <v>RAUL</v>
      </c>
      <c r="C158" s="43" t="str">
        <f>IFERROR(__xludf.DUMMYFUNCTION("""COMPUTED_VALUE"""),"LACCHINI")</f>
        <v>LACCHINI</v>
      </c>
      <c r="D158" s="43" t="str">
        <f>IFERROR(__xludf.DUMMYFUNCTION("""COMPUTED_VALUE"""),"City Bell")</f>
        <v>City Bell</v>
      </c>
      <c r="E158" s="45" t="str">
        <f>IFERROR(__xludf.DUMMYFUNCTION("""COMPUTED_VALUE"""),"ARG")</f>
        <v>ARG</v>
      </c>
      <c r="F158" s="45">
        <f>IFERROR(__xludf.DUMMYFUNCTION("""COMPUTED_VALUE"""),7828749.0)</f>
        <v>7828749</v>
      </c>
      <c r="G158" s="44">
        <f>IFERROR(__xludf.DUMMYFUNCTION("""COMPUTED_VALUE"""),18225.0)</f>
        <v>18225</v>
      </c>
      <c r="H158" s="45" t="str">
        <f>IFERROR(__xludf.DUMMYFUNCTION("""COMPUTED_VALUE"""),"221_408 3720")</f>
        <v>221_408 3720</v>
      </c>
      <c r="I158" s="45"/>
      <c r="J158" s="45" t="str">
        <f>IFERROR(__xludf.DUMMYFUNCTION("""COMPUTED_VALUE"""),"Raulachi@gmail.com")</f>
        <v>Raulachi@gmail.com</v>
      </c>
      <c r="K158" s="45" t="str">
        <f>IFERROR(__xludf.DUMMYFUNCTION("""COMPUTED_VALUE"""),"Masculino")</f>
        <v>Masculino</v>
      </c>
      <c r="L158" s="45" t="str">
        <f>IFERROR(__xludf.DUMMYFUNCTION("""COMPUTED_VALUE"""),"CRLP")</f>
        <v>CRLP</v>
      </c>
      <c r="M158" s="45" t="str">
        <f>IFERROR(__xludf.DUMMYFUNCTION("""COMPUTED_VALUE"""),"Master (ILCA)")</f>
        <v>Master (ILCA)</v>
      </c>
      <c r="N158" s="7" t="str">
        <f>IFERROR(__xludf.DUMMYFUNCTION("""COMPUTED_VALUE"""),"PAMPERO")</f>
        <v>PAMPERO</v>
      </c>
      <c r="O158" s="7"/>
      <c r="P158" s="7">
        <f>IFERROR(__xludf.DUMMYFUNCTION("""COMPUTED_VALUE"""),1017.0)</f>
        <v>1017</v>
      </c>
      <c r="Q158" s="45" t="str">
        <f>IFERROR(__xludf.DUMMYFUNCTION("""COMPUTED_VALUE"""),"EPAMINONDA")</f>
        <v>EPAMINONDA</v>
      </c>
      <c r="R158" s="45" t="str">
        <f>IFERROR(__xludf.DUMMYFUNCTION("""COMPUTED_VALUE"""),"Ana María Acevedo")</f>
        <v>Ana María Acevedo</v>
      </c>
      <c r="S158" s="45"/>
      <c r="T158" s="45"/>
      <c r="U158" s="45"/>
      <c r="V158" s="45"/>
      <c r="W158" s="45"/>
      <c r="X158" s="47"/>
      <c r="Y158" s="7" t="str">
        <f>IFERROR(__xludf.DUMMYFUNCTION("""COMPUTED_VALUE"""),"Si")</f>
        <v>Si</v>
      </c>
      <c r="Z158" s="45" t="str">
        <f>IFERROR(__xludf.DUMMYFUNCTION("""COMPUTED_VALUE"""),"Acepto")</f>
        <v>Acepto</v>
      </c>
      <c r="AA158" s="45" t="str">
        <f>IFERROR(__xludf.DUMMYFUNCTION("""COMPUTED_VALUE"""),"Terminado")</f>
        <v>Terminado</v>
      </c>
      <c r="AB158" s="45">
        <f>IFERROR(__xludf.DUMMYFUNCTION("""COMPUTED_VALUE"""),60000.0)</f>
        <v>60000</v>
      </c>
      <c r="AC158" s="7">
        <f>IFERROR(__xludf.DUMMYFUNCTION("""COMPUTED_VALUE"""),205007.0)</f>
        <v>205007</v>
      </c>
      <c r="AD158" s="7" t="str">
        <f>IFERROR(__xludf.DUMMYFUNCTION("""COMPUTED_VALUE"""),"TRF 19-8")</f>
        <v>TRF 19-8</v>
      </c>
      <c r="AE158" s="7" t="str">
        <f>IFERROR(__xludf.DUMMYFUNCTION("""COMPUTED_VALUE"""),"No Corresp")</f>
        <v>No Corresp</v>
      </c>
      <c r="AF158" s="7" t="str">
        <f>IFERROR(__xludf.DUMMYFUNCTION("""COMPUTED_VALUE"""),"Si")</f>
        <v>Si</v>
      </c>
    </row>
    <row r="159">
      <c r="A159" s="42">
        <f>IFERROR(__xludf.DUMMYFUNCTION("""COMPUTED_VALUE"""),45527.79132775463)</f>
        <v>45527.79133</v>
      </c>
      <c r="B159" s="43" t="str">
        <f>IFERROR(__xludf.DUMMYFUNCTION("""COMPUTED_VALUE"""),"Carlos ")</f>
        <v>Carlos </v>
      </c>
      <c r="C159" s="43" t="str">
        <f>IFERROR(__xludf.DUMMYFUNCTION("""COMPUTED_VALUE"""),"Lacchini")</f>
        <v>Lacchini</v>
      </c>
      <c r="D159" s="43" t="str">
        <f>IFERROR(__xludf.DUMMYFUNCTION("""COMPUTED_VALUE"""),"La Plata")</f>
        <v>La Plata</v>
      </c>
      <c r="E159" s="45" t="str">
        <f>IFERROR(__xludf.DUMMYFUNCTION("""COMPUTED_VALUE"""),"ARG")</f>
        <v>ARG</v>
      </c>
      <c r="F159" s="45">
        <f>IFERROR(__xludf.DUMMYFUNCTION("""COMPUTED_VALUE"""),2.6106153E7)</f>
        <v>26106153</v>
      </c>
      <c r="G159" s="44">
        <f>IFERROR(__xludf.DUMMYFUNCTION("""COMPUTED_VALUE"""),28310.0)</f>
        <v>28310</v>
      </c>
      <c r="H159" s="45">
        <f>IFERROR(__xludf.DUMMYFUNCTION("""COMPUTED_VALUE"""),2.214188871E9)</f>
        <v>2214188871</v>
      </c>
      <c r="I159" s="45">
        <f>IFERROR(__xludf.DUMMYFUNCTION("""COMPUTED_VALUE"""),2.216371227E9)</f>
        <v>2216371227</v>
      </c>
      <c r="J159" s="45" t="str">
        <f>IFERROR(__xludf.DUMMYFUNCTION("""COMPUTED_VALUE"""),"carloslacchini@gmail.com")</f>
        <v>carloslacchini@gmail.com</v>
      </c>
      <c r="K159" s="45" t="str">
        <f>IFERROR(__xludf.DUMMYFUNCTION("""COMPUTED_VALUE"""),"Masculino")</f>
        <v>Masculino</v>
      </c>
      <c r="L159" s="45" t="str">
        <f>IFERROR(__xludf.DUMMYFUNCTION("""COMPUTED_VALUE"""),"YCA - CRLP")</f>
        <v>YCA - CRLP</v>
      </c>
      <c r="M159" s="45" t="str">
        <f>IFERROR(__xludf.DUMMYFUNCTION("""COMPUTED_VALUE"""),"Corinthian")</f>
        <v>Corinthian</v>
      </c>
      <c r="N159" s="7" t="str">
        <f>IFERROR(__xludf.DUMMYFUNCTION("""COMPUTED_VALUE"""),"J 70")</f>
        <v>J 70</v>
      </c>
      <c r="O159" s="7" t="str">
        <f>IFERROR(__xludf.DUMMYFUNCTION("""COMPUTED_VALUE"""),"01")</f>
        <v>01</v>
      </c>
      <c r="P159" s="7">
        <f>IFERROR(__xludf.DUMMYFUNCTION("""COMPUTED_VALUE"""),1020.0)</f>
        <v>1020</v>
      </c>
      <c r="Q159" s="45" t="str">
        <f>IFERROR(__xludf.DUMMYFUNCTION("""COMPUTED_VALUE"""),"Si Querida")</f>
        <v>Si Querida</v>
      </c>
      <c r="R159" s="45" t="str">
        <f>IFERROR(__xludf.DUMMYFUNCTION("""COMPUTED_VALUE"""),"Juani Queirel")</f>
        <v>Juani Queirel</v>
      </c>
      <c r="S159" s="45" t="str">
        <f>IFERROR(__xludf.DUMMYFUNCTION("""COMPUTED_VALUE"""),"Ana Julia Lacchini")</f>
        <v>Ana Julia Lacchini</v>
      </c>
      <c r="T159" s="45" t="str">
        <f>IFERROR(__xludf.DUMMYFUNCTION("""COMPUTED_VALUE"""),"Lihuel Gomez Lacchini")</f>
        <v>Lihuel Gomez Lacchini</v>
      </c>
      <c r="U159" s="45" t="str">
        <f>IFERROR(__xludf.DUMMYFUNCTION("""COMPUTED_VALUE"""),"Ulises Gomez LAcchini")</f>
        <v>Ulises Gomez LAcchini</v>
      </c>
      <c r="V159" s="45"/>
      <c r="W159" s="45"/>
      <c r="X159" s="47"/>
      <c r="Y159" s="7" t="str">
        <f>IFERROR(__xludf.DUMMYFUNCTION("""COMPUTED_VALUE"""),"No")</f>
        <v>No</v>
      </c>
      <c r="Z159" s="45" t="str">
        <f>IFERROR(__xludf.DUMMYFUNCTION("""COMPUTED_VALUE"""),"Acepto")</f>
        <v>Acepto</v>
      </c>
      <c r="AA159" s="45" t="str">
        <f>IFERROR(__xludf.DUMMYFUNCTION("""COMPUTED_VALUE"""),"Terminado")</f>
        <v>Terminado</v>
      </c>
      <c r="AB159" s="45">
        <f>IFERROR(__xludf.DUMMYFUNCTION("""COMPUTED_VALUE"""),80000.0)</f>
        <v>80000</v>
      </c>
      <c r="AC159" s="7">
        <f>IFERROR(__xludf.DUMMYFUNCTION("""COMPUTED_VALUE"""),205045.0)</f>
        <v>205045</v>
      </c>
      <c r="AD159" s="7" t="str">
        <f>IFERROR(__xludf.DUMMYFUNCTION("""COMPUTED_VALUE"""),"TRF 23-08")</f>
        <v>TRF 23-08</v>
      </c>
      <c r="AE159" s="7" t="str">
        <f>IFERROR(__xludf.DUMMYFUNCTION("""COMPUTED_VALUE"""),"No Corresp")</f>
        <v>No Corresp</v>
      </c>
      <c r="AF159" s="7"/>
    </row>
    <row r="160">
      <c r="A160" s="42">
        <f>IFERROR(__xludf.DUMMYFUNCTION("""COMPUTED_VALUE"""),45534.659200775466)</f>
        <v>45534.6592</v>
      </c>
      <c r="B160" s="43" t="str">
        <f>IFERROR(__xludf.DUMMYFUNCTION("""COMPUTED_VALUE"""),"Fausto")</f>
        <v>Fausto</v>
      </c>
      <c r="C160" s="43" t="str">
        <f>IFERROR(__xludf.DUMMYFUNCTION("""COMPUTED_VALUE"""),"Lacchini")</f>
        <v>Lacchini</v>
      </c>
      <c r="D160" s="43" t="str">
        <f>IFERROR(__xludf.DUMMYFUNCTION("""COMPUTED_VALUE"""),"La Plata")</f>
        <v>La Plata</v>
      </c>
      <c r="E160" s="45" t="str">
        <f>IFERROR(__xludf.DUMMYFUNCTION("""COMPUTED_VALUE"""),"ARG")</f>
        <v>ARG</v>
      </c>
      <c r="F160" s="45">
        <f>IFERROR(__xludf.DUMMYFUNCTION("""COMPUTED_VALUE"""),5.345604E7)</f>
        <v>53456040</v>
      </c>
      <c r="G160" s="44">
        <f>IFERROR(__xludf.DUMMYFUNCTION("""COMPUTED_VALUE"""),41535.0)</f>
        <v>41535</v>
      </c>
      <c r="H160" s="45">
        <f>IFERROR(__xludf.DUMMYFUNCTION("""COMPUTED_VALUE"""),2.214188871E9)</f>
        <v>2214188871</v>
      </c>
      <c r="I160" s="45">
        <f>IFERROR(__xludf.DUMMYFUNCTION("""COMPUTED_VALUE"""),2.216371227E9)</f>
        <v>2216371227</v>
      </c>
      <c r="J160" s="45" t="str">
        <f>IFERROR(__xludf.DUMMYFUNCTION("""COMPUTED_VALUE"""),"carloslacchini@gmail.com")</f>
        <v>carloslacchini@gmail.com</v>
      </c>
      <c r="K160" s="45" t="str">
        <f>IFERROR(__xludf.DUMMYFUNCTION("""COMPUTED_VALUE"""),"Masculino")</f>
        <v>Masculino</v>
      </c>
      <c r="L160" s="45" t="str">
        <f>IFERROR(__xludf.DUMMYFUNCTION("""COMPUTED_VALUE"""),"CRLP")</f>
        <v>CRLP</v>
      </c>
      <c r="M160" s="45"/>
      <c r="N160" s="7" t="str">
        <f>IFERROR(__xludf.DUMMYFUNCTION("""COMPUTED_VALUE"""),"OPTIMIST TIMONELES")</f>
        <v>OPTIMIST TIMONELES</v>
      </c>
      <c r="O160" s="7"/>
      <c r="P160" s="7">
        <f>IFERROR(__xludf.DUMMYFUNCTION("""COMPUTED_VALUE"""),3781.0)</f>
        <v>3781</v>
      </c>
      <c r="Q160" s="45" t="str">
        <f>IFERROR(__xludf.DUMMYFUNCTION("""COMPUTED_VALUE"""),"Biondina 2.0")</f>
        <v>Biondina 2.0</v>
      </c>
      <c r="R160" s="45"/>
      <c r="S160" s="45"/>
      <c r="T160" s="45"/>
      <c r="U160" s="45"/>
      <c r="V160" s="45"/>
      <c r="W160" s="45"/>
      <c r="X160" s="47" t="str">
        <f>IFERROR(__xludf.DUMMYFUNCTION("""COMPUTED_VALUE"""),"Galeno 023399760201")</f>
        <v>Galeno 023399760201</v>
      </c>
      <c r="Y160" s="7" t="str">
        <f>IFERROR(__xludf.DUMMYFUNCTION("""COMPUTED_VALUE"""),"Si")</f>
        <v>Si</v>
      </c>
      <c r="Z160" s="45" t="str">
        <f>IFERROR(__xludf.DUMMYFUNCTION("""COMPUTED_VALUE"""),"Acepto")</f>
        <v>Acepto</v>
      </c>
      <c r="AA160" s="45" t="str">
        <f>IFERROR(__xludf.DUMMYFUNCTION("""COMPUTED_VALUE"""),"Terminado")</f>
        <v>Terminado</v>
      </c>
      <c r="AB160" s="45">
        <f>IFERROR(__xludf.DUMMYFUNCTION("""COMPUTED_VALUE"""),50000.0)</f>
        <v>50000</v>
      </c>
      <c r="AC160" s="7">
        <f>IFERROR(__xludf.DUMMYFUNCTION("""COMPUTED_VALUE"""),205101.0)</f>
        <v>205101</v>
      </c>
      <c r="AD160" s="7" t="str">
        <f>IFERROR(__xludf.DUMMYFUNCTION("""COMPUTED_VALUE"""),"TRF 30-08")</f>
        <v>TRF 30-08</v>
      </c>
      <c r="AE160" s="7" t="str">
        <f>IFERROR(__xludf.DUMMYFUNCTION("""COMPUTED_VALUE"""),"OK")</f>
        <v>OK</v>
      </c>
      <c r="AF160" s="7"/>
    </row>
    <row r="161">
      <c r="A161" s="42">
        <f>IFERROR(__xludf.DUMMYFUNCTION("""COMPUTED_VALUE"""),45531.43804915509)</f>
        <v>45531.43805</v>
      </c>
      <c r="B161" s="43" t="str">
        <f>IFERROR(__xludf.DUMMYFUNCTION("""COMPUTED_VALUE"""),"Tiziano")</f>
        <v>Tiziano</v>
      </c>
      <c r="C161" s="43" t="str">
        <f>IFERROR(__xludf.DUMMYFUNCTION("""COMPUTED_VALUE"""),"Laise")</f>
        <v>Laise</v>
      </c>
      <c r="D161" s="43" t="str">
        <f>IFERROR(__xludf.DUMMYFUNCTION("""COMPUTED_VALUE"""),"CABA")</f>
        <v>CABA</v>
      </c>
      <c r="E161" s="45" t="str">
        <f>IFERROR(__xludf.DUMMYFUNCTION("""COMPUTED_VALUE"""),"ARG")</f>
        <v>ARG</v>
      </c>
      <c r="F161" s="45">
        <f>IFERROR(__xludf.DUMMYFUNCTION("""COMPUTED_VALUE"""),5.3957972E7)</f>
        <v>53957972</v>
      </c>
      <c r="G161" s="44">
        <f>IFERROR(__xludf.DUMMYFUNCTION("""COMPUTED_VALUE"""),41776.0)</f>
        <v>41776</v>
      </c>
      <c r="H161" s="45">
        <f>IFERROR(__xludf.DUMMYFUNCTION("""COMPUTED_VALUE"""),1.140759121E9)</f>
        <v>1140759121</v>
      </c>
      <c r="I161" s="45">
        <f>IFERROR(__xludf.DUMMYFUNCTION("""COMPUTED_VALUE"""),1.140444113E9)</f>
        <v>1140444113</v>
      </c>
      <c r="J161" s="45" t="str">
        <f>IFERROR(__xludf.DUMMYFUNCTION("""COMPUTED_VALUE"""),"Andreafriedlander@hotmail.com")</f>
        <v>Andreafriedlander@hotmail.com</v>
      </c>
      <c r="K161" s="45" t="str">
        <f>IFERROR(__xludf.DUMMYFUNCTION("""COMPUTED_VALUE"""),"Masculino")</f>
        <v>Masculino</v>
      </c>
      <c r="L161" s="45" t="str">
        <f>IFERROR(__xludf.DUMMYFUNCTION("""COMPUTED_VALUE"""),"YCA")</f>
        <v>YCA</v>
      </c>
      <c r="M161" s="45"/>
      <c r="N161" s="7" t="str">
        <f>IFERROR(__xludf.DUMMYFUNCTION("""COMPUTED_VALUE"""),"OPTIMIST PRINCIPIANTES")</f>
        <v>OPTIMIST PRINCIPIANTES</v>
      </c>
      <c r="O161" s="7"/>
      <c r="P161" s="7" t="str">
        <f>IFERROR(__xludf.DUMMYFUNCTION("""COMPUTED_VALUE"""),"ARG 3946")</f>
        <v>ARG 3946</v>
      </c>
      <c r="Q161" s="45" t="str">
        <f>IFERROR(__xludf.DUMMYFUNCTION("""COMPUTED_VALUE"""),"Seductor")</f>
        <v>Seductor</v>
      </c>
      <c r="R161" s="45" t="str">
        <f>IFERROR(__xludf.DUMMYFUNCTION("""COMPUTED_VALUE"""),"Tiziano Laise")</f>
        <v>Tiziano Laise</v>
      </c>
      <c r="S161" s="45"/>
      <c r="T161" s="45"/>
      <c r="U161" s="45"/>
      <c r="V161" s="45"/>
      <c r="W161" s="45"/>
      <c r="X161" s="47" t="str">
        <f>IFERROR(__xludf.DUMMYFUNCTION("""COMPUTED_VALUE"""),"OSDE 310")</f>
        <v>OSDE 310</v>
      </c>
      <c r="Y161" s="7" t="str">
        <f>IFERROR(__xludf.DUMMYFUNCTION("""COMPUTED_VALUE"""),"Si")</f>
        <v>Si</v>
      </c>
      <c r="Z161" s="45" t="str">
        <f>IFERROR(__xludf.DUMMYFUNCTION("""COMPUTED_VALUE"""),"Acepto")</f>
        <v>Acepto</v>
      </c>
      <c r="AA161" s="45" t="str">
        <f>IFERROR(__xludf.DUMMYFUNCTION("""COMPUTED_VALUE"""),"Terminado")</f>
        <v>Terminado</v>
      </c>
      <c r="AB161" s="45">
        <f>IFERROR(__xludf.DUMMYFUNCTION("""COMPUTED_VALUE"""),50000.0)</f>
        <v>50000</v>
      </c>
      <c r="AC161" s="7">
        <f>IFERROR(__xludf.DUMMYFUNCTION("""COMPUTED_VALUE"""),205055.0)</f>
        <v>205055</v>
      </c>
      <c r="AD161" s="7" t="str">
        <f>IFERROR(__xludf.DUMMYFUNCTION("""COMPUTED_VALUE"""),"TRF 27-08")</f>
        <v>TRF 27-08</v>
      </c>
      <c r="AE161" s="7" t="str">
        <f>IFERROR(__xludf.DUMMYFUNCTION("""COMPUTED_VALUE"""),"OK")</f>
        <v>OK</v>
      </c>
      <c r="AF161" s="7"/>
    </row>
    <row r="162">
      <c r="A162" s="42">
        <f>IFERROR(__xludf.DUMMYFUNCTION("""COMPUTED_VALUE"""),45534.68862523148)</f>
        <v>45534.68863</v>
      </c>
      <c r="B162" s="43" t="str">
        <f>IFERROR(__xludf.DUMMYFUNCTION("""COMPUTED_VALUE"""),"Enzo ")</f>
        <v>Enzo </v>
      </c>
      <c r="C162" s="43" t="str">
        <f>IFERROR(__xludf.DUMMYFUNCTION("""COMPUTED_VALUE"""),"Lannia ")</f>
        <v>Lannia </v>
      </c>
      <c r="D162" s="43" t="str">
        <f>IFERROR(__xludf.DUMMYFUNCTION("""COMPUTED_VALUE"""),"Buenos aires")</f>
        <v>Buenos aires</v>
      </c>
      <c r="E162" s="45" t="str">
        <f>IFERROR(__xludf.DUMMYFUNCTION("""COMPUTED_VALUE"""),"ARG")</f>
        <v>ARG</v>
      </c>
      <c r="F162" s="45">
        <f>IFERROR(__xludf.DUMMYFUNCTION("""COMPUTED_VALUE"""),5.0306735E7)</f>
        <v>50306735</v>
      </c>
      <c r="G162" s="44">
        <f>IFERROR(__xludf.DUMMYFUNCTION("""COMPUTED_VALUE"""),40316.0)</f>
        <v>40316</v>
      </c>
      <c r="H162" s="45">
        <f>IFERROR(__xludf.DUMMYFUNCTION("""COMPUTED_VALUE"""),1.132763991E9)</f>
        <v>1132763991</v>
      </c>
      <c r="I162" s="45">
        <f>IFERROR(__xludf.DUMMYFUNCTION("""COMPUTED_VALUE"""),1.132763953E9)</f>
        <v>1132763953</v>
      </c>
      <c r="J162" s="45" t="str">
        <f>IFERROR(__xludf.DUMMYFUNCTION("""COMPUTED_VALUE"""),"andreval05@homail.com")</f>
        <v>andreval05@homail.com</v>
      </c>
      <c r="K162" s="45" t="str">
        <f>IFERROR(__xludf.DUMMYFUNCTION("""COMPUTED_VALUE"""),"Masculino")</f>
        <v>Masculino</v>
      </c>
      <c r="L162" s="45" t="str">
        <f>IFERROR(__xludf.DUMMYFUNCTION("""COMPUTED_VALUE"""),"Cvb")</f>
        <v>Cvb</v>
      </c>
      <c r="M162" s="45" t="str">
        <f>IFERROR(__xludf.DUMMYFUNCTION("""COMPUTED_VALUE"""),"Interior (Optimist)")</f>
        <v>Interior (Optimist)</v>
      </c>
      <c r="N162" s="7" t="str">
        <f>IFERROR(__xludf.DUMMYFUNCTION("""COMPUTED_VALUE"""),"OPTIMIST TIMONELES")</f>
        <v>OPTIMIST TIMONELES</v>
      </c>
      <c r="O162" s="7"/>
      <c r="P162" s="7">
        <f>IFERROR(__xludf.DUMMYFUNCTION("""COMPUTED_VALUE"""),3114.0)</f>
        <v>3114</v>
      </c>
      <c r="Q162" s="45"/>
      <c r="R162" s="45"/>
      <c r="S162" s="45"/>
      <c r="T162" s="45"/>
      <c r="U162" s="45"/>
      <c r="V162" s="45"/>
      <c r="W162" s="45"/>
      <c r="X162" s="47" t="str">
        <f>IFERROR(__xludf.DUMMYFUNCTION("""COMPUTED_VALUE"""),"Swiss medical")</f>
        <v>Swiss medical</v>
      </c>
      <c r="Y162" s="7" t="str">
        <f>IFERROR(__xludf.DUMMYFUNCTION("""COMPUTED_VALUE"""),"Si")</f>
        <v>Si</v>
      </c>
      <c r="Z162" s="45" t="str">
        <f>IFERROR(__xludf.DUMMYFUNCTION("""COMPUTED_VALUE"""),"Acepto")</f>
        <v>Acepto</v>
      </c>
      <c r="AA162" s="45" t="str">
        <f>IFERROR(__xludf.DUMMYFUNCTION("""COMPUTED_VALUE"""),"Terminado")</f>
        <v>Terminado</v>
      </c>
      <c r="AB162" s="45">
        <f>IFERROR(__xludf.DUMMYFUNCTION("""COMPUTED_VALUE"""),50000.0)</f>
        <v>50000</v>
      </c>
      <c r="AC162" s="7">
        <f>IFERROR(__xludf.DUMMYFUNCTION("""COMPUTED_VALUE"""),205136.0)</f>
        <v>205136</v>
      </c>
      <c r="AD162" s="7" t="str">
        <f>IFERROR(__xludf.DUMMYFUNCTION("""COMPUTED_VALUE"""),"TRF 30-08")</f>
        <v>TRF 30-08</v>
      </c>
      <c r="AE162" s="7" t="str">
        <f>IFERROR(__xludf.DUMMYFUNCTION("""COMPUTED_VALUE"""),"OK")</f>
        <v>OK</v>
      </c>
      <c r="AF162" s="7" t="str">
        <f>IFERROR(__xludf.DUMMYFUNCTION("""COMPUTED_VALUE"""),"SI")</f>
        <v>SI</v>
      </c>
    </row>
    <row r="163">
      <c r="A163" s="42">
        <f>IFERROR(__xludf.DUMMYFUNCTION("""COMPUTED_VALUE"""),45535.8106453125)</f>
        <v>45535.81065</v>
      </c>
      <c r="B163" s="43" t="str">
        <f>IFERROR(__xludf.DUMMYFUNCTION("""COMPUTED_VALUE"""),"Santiago")</f>
        <v>Santiago</v>
      </c>
      <c r="C163" s="43" t="str">
        <f>IFERROR(__xludf.DUMMYFUNCTION("""COMPUTED_VALUE"""),"Latorre")</f>
        <v>Latorre</v>
      </c>
      <c r="D163" s="43" t="str">
        <f>IFERROR(__xludf.DUMMYFUNCTION("""COMPUTED_VALUE"""),"Buenos Aires")</f>
        <v>Buenos Aires</v>
      </c>
      <c r="E163" s="45" t="str">
        <f>IFERROR(__xludf.DUMMYFUNCTION("""COMPUTED_VALUE"""),"ARG")</f>
        <v>ARG</v>
      </c>
      <c r="F163" s="45">
        <f>IFERROR(__xludf.DUMMYFUNCTION("""COMPUTED_VALUE"""),4.8715531E7)</f>
        <v>48715531</v>
      </c>
      <c r="G163" s="44">
        <f>IFERROR(__xludf.DUMMYFUNCTION("""COMPUTED_VALUE"""),39575.0)</f>
        <v>39575</v>
      </c>
      <c r="H163" s="45">
        <f>IFERROR(__xludf.DUMMYFUNCTION("""COMPUTED_VALUE"""),1.556687314E9)</f>
        <v>1556687314</v>
      </c>
      <c r="I163" s="45">
        <f>IFERROR(__xludf.DUMMYFUNCTION("""COMPUTED_VALUE"""),1.556687314E9)</f>
        <v>1556687314</v>
      </c>
      <c r="J163" s="45" t="str">
        <f>IFERROR(__xludf.DUMMYFUNCTION("""COMPUTED_VALUE"""),"mariananasrala69@gmail.com")</f>
        <v>mariananasrala69@gmail.com</v>
      </c>
      <c r="K163" s="45" t="str">
        <f>IFERROR(__xludf.DUMMYFUNCTION("""COMPUTED_VALUE"""),"Masculino")</f>
        <v>Masculino</v>
      </c>
      <c r="L163" s="45" t="str">
        <f>IFERROR(__xludf.DUMMYFUNCTION("""COMPUTED_VALUE"""),"Yca")</f>
        <v>Yca</v>
      </c>
      <c r="M163" s="45"/>
      <c r="N163" s="7" t="str">
        <f>IFERROR(__xludf.DUMMYFUNCTION("""COMPUTED_VALUE"""),"ILCA 6")</f>
        <v>ILCA 6</v>
      </c>
      <c r="O163" s="7"/>
      <c r="P163" s="7">
        <f>IFERROR(__xludf.DUMMYFUNCTION("""COMPUTED_VALUE"""),218118.0)</f>
        <v>218118</v>
      </c>
      <c r="Q163" s="45"/>
      <c r="R163" s="45"/>
      <c r="S163" s="45"/>
      <c r="T163" s="45"/>
      <c r="U163" s="45"/>
      <c r="V163" s="45"/>
      <c r="W163" s="45"/>
      <c r="X163" s="47"/>
      <c r="Y163" s="7" t="str">
        <f>IFERROR(__xludf.DUMMYFUNCTION("""COMPUTED_VALUE"""),"No")</f>
        <v>No</v>
      </c>
      <c r="Z163" s="45" t="str">
        <f>IFERROR(__xludf.DUMMYFUNCTION("""COMPUTED_VALUE"""),"Acepto")</f>
        <v>Acepto</v>
      </c>
      <c r="AA163" s="45" t="str">
        <f>IFERROR(__xludf.DUMMYFUNCTION("""COMPUTED_VALUE"""),"Terminado")</f>
        <v>Terminado</v>
      </c>
      <c r="AB163" s="45">
        <f>IFERROR(__xludf.DUMMYFUNCTION("""COMPUTED_VALUE"""),45000.0)</f>
        <v>45000</v>
      </c>
      <c r="AC163" s="7">
        <f>IFERROR(__xludf.DUMMYFUNCTION("""COMPUTED_VALUE"""),205375.0)</f>
        <v>205375</v>
      </c>
      <c r="AD163" s="7" t="str">
        <f>IFERROR(__xludf.DUMMYFUNCTION("""COMPUTED_VALUE"""),"TRF02-09")</f>
        <v>TRF02-09</v>
      </c>
      <c r="AE163" s="7" t="str">
        <f>IFERROR(__xludf.DUMMYFUNCTION("""COMPUTED_VALUE"""),"OK")</f>
        <v>OK</v>
      </c>
      <c r="AF163" s="7"/>
    </row>
    <row r="164">
      <c r="A164" s="42">
        <f>IFERROR(__xludf.DUMMYFUNCTION("""COMPUTED_VALUE"""),45537.745579814815)</f>
        <v>45537.74558</v>
      </c>
      <c r="B164" s="43" t="str">
        <f>IFERROR(__xludf.DUMMYFUNCTION("""COMPUTED_VALUE"""),"Agustin")</f>
        <v>Agustin</v>
      </c>
      <c r="C164" s="43" t="str">
        <f>IFERROR(__xludf.DUMMYFUNCTION("""COMPUTED_VALUE"""),"Layafa")</f>
        <v>Layafa</v>
      </c>
      <c r="D164" s="43" t="str">
        <f>IFERROR(__xludf.DUMMYFUNCTION("""COMPUTED_VALUE"""),"Parque del plata ")</f>
        <v>Parque del plata </v>
      </c>
      <c r="E164" s="45" t="str">
        <f>IFERROR(__xludf.DUMMYFUNCTION("""COMPUTED_VALUE"""),"URU")</f>
        <v>URU</v>
      </c>
      <c r="F164" s="45">
        <f>IFERROR(__xludf.DUMMYFUNCTION("""COMPUTED_VALUE"""),5.9244211E7)</f>
        <v>59244211</v>
      </c>
      <c r="G164" s="44">
        <f>IFERROR(__xludf.DUMMYFUNCTION("""COMPUTED_VALUE"""),40770.0)</f>
        <v>40770</v>
      </c>
      <c r="H164" s="45" t="str">
        <f>IFERROR(__xludf.DUMMYFUNCTION("""COMPUTED_VALUE"""),"+59899728846")</f>
        <v>+59899728846</v>
      </c>
      <c r="I164" s="45" t="str">
        <f>IFERROR(__xludf.DUMMYFUNCTION("""COMPUTED_VALUE"""),"+59899976289")</f>
        <v>+59899976289</v>
      </c>
      <c r="J164" s="45" t="str">
        <f>IFERROR(__xludf.DUMMYFUNCTION("""COMPUTED_VALUE"""),"Mlayafa@hotmail.com")</f>
        <v>Mlayafa@hotmail.com</v>
      </c>
      <c r="K164" s="45" t="str">
        <f>IFERROR(__xludf.DUMMYFUNCTION("""COMPUTED_VALUE"""),"Masculino")</f>
        <v>Masculino</v>
      </c>
      <c r="L164" s="45" t="str">
        <f>IFERROR(__xludf.DUMMYFUNCTION("""COMPUTED_VALUE"""),"NYC")</f>
        <v>NYC</v>
      </c>
      <c r="M164" s="45" t="str">
        <f>IFERROR(__xludf.DUMMYFUNCTION("""COMPUTED_VALUE"""),"Interior (Optimist)")</f>
        <v>Interior (Optimist)</v>
      </c>
      <c r="N164" s="7" t="str">
        <f>IFERROR(__xludf.DUMMYFUNCTION("""COMPUTED_VALUE"""),"OPTIMIST TIMONELES")</f>
        <v>OPTIMIST TIMONELES</v>
      </c>
      <c r="O164" s="7"/>
      <c r="P164" s="7">
        <f>IFERROR(__xludf.DUMMYFUNCTION("""COMPUTED_VALUE"""),409.0)</f>
        <v>409</v>
      </c>
      <c r="Q164" s="45" t="str">
        <f>IFERROR(__xludf.DUMMYFUNCTION("""COMPUTED_VALUE"""),"“ el tata “")</f>
        <v>“ el tata “</v>
      </c>
      <c r="R164" s="45"/>
      <c r="S164" s="45"/>
      <c r="T164" s="45"/>
      <c r="U164" s="45"/>
      <c r="V164" s="45"/>
      <c r="W164" s="45"/>
      <c r="X164" s="47" t="str">
        <f>IFERROR(__xludf.DUMMYFUNCTION("""COMPUTED_VALUE"""),"Assep")</f>
        <v>Assep</v>
      </c>
      <c r="Y164" s="7" t="str">
        <f>IFERROR(__xludf.DUMMYFUNCTION("""COMPUTED_VALUE"""),"Si")</f>
        <v>Si</v>
      </c>
      <c r="Z164" s="45" t="str">
        <f>IFERROR(__xludf.DUMMYFUNCTION("""COMPUTED_VALUE"""),"Acepto")</f>
        <v>Acepto</v>
      </c>
      <c r="AA164" s="45" t="str">
        <f>IFERROR(__xludf.DUMMYFUNCTION("""COMPUTED_VALUE"""),"Terminado")</f>
        <v>Terminado</v>
      </c>
      <c r="AB164" s="45">
        <f>IFERROR(__xludf.DUMMYFUNCTION("""COMPUTED_VALUE"""),42500.0)</f>
        <v>42500</v>
      </c>
      <c r="AC164" s="7">
        <f>IFERROR(__xludf.DUMMYFUNCTION("""COMPUTED_VALUE"""),205391.0)</f>
        <v>205391</v>
      </c>
      <c r="AD164" s="7" t="str">
        <f>IFERROR(__xludf.DUMMYFUNCTION("""COMPUTED_VALUE"""),"TRF 02-09")</f>
        <v>TRF 02-09</v>
      </c>
      <c r="AE164" s="7" t="str">
        <f>IFERROR(__xludf.DUMMYFUNCTION("""COMPUTED_VALUE"""),"Pendiente")</f>
        <v>Pendiente</v>
      </c>
      <c r="AF164" s="7" t="str">
        <f>IFERROR(__xludf.DUMMYFUNCTION("""COMPUTED_VALUE"""),"SI")</f>
        <v>SI</v>
      </c>
    </row>
    <row r="165">
      <c r="A165" s="42">
        <f>IFERROR(__xludf.DUMMYFUNCTION("""COMPUTED_VALUE"""),45531.79245790509)</f>
        <v>45531.79246</v>
      </c>
      <c r="B165" s="43" t="str">
        <f>IFERROR(__xludf.DUMMYFUNCTION("""COMPUTED_VALUE"""),"Agustin")</f>
        <v>Agustin</v>
      </c>
      <c r="C165" s="43" t="str">
        <f>IFERROR(__xludf.DUMMYFUNCTION("""COMPUTED_VALUE"""),"Lemos Viviant")</f>
        <v>Lemos Viviant</v>
      </c>
      <c r="D165" s="43" t="str">
        <f>IFERROR(__xludf.DUMMYFUNCTION("""COMPUTED_VALUE"""),"CABA")</f>
        <v>CABA</v>
      </c>
      <c r="E165" s="45" t="str">
        <f>IFERROR(__xludf.DUMMYFUNCTION("""COMPUTED_VALUE"""),"ARG")</f>
        <v>ARG</v>
      </c>
      <c r="F165" s="45">
        <f>IFERROR(__xludf.DUMMYFUNCTION("""COMPUTED_VALUE"""),2.0185318E7)</f>
        <v>20185318</v>
      </c>
      <c r="G165" s="44">
        <f>IFERROR(__xludf.DUMMYFUNCTION("""COMPUTED_VALUE"""),40754.0)</f>
        <v>40754</v>
      </c>
      <c r="H165" s="45">
        <f>IFERROR(__xludf.DUMMYFUNCTION("""COMPUTED_VALUE"""),1.122407512E9)</f>
        <v>1122407512</v>
      </c>
      <c r="I165" s="45" t="str">
        <f>IFERROR(__xludf.DUMMYFUNCTION("""COMPUTED_VALUE"""),"01122407512")</f>
        <v>01122407512</v>
      </c>
      <c r="J165" s="45" t="str">
        <f>IFERROR(__xludf.DUMMYFUNCTION("""COMPUTED_VALUE"""),"jlemos@cema.edu.ar")</f>
        <v>jlemos@cema.edu.ar</v>
      </c>
      <c r="K165" s="45" t="str">
        <f>IFERROR(__xludf.DUMMYFUNCTION("""COMPUTED_VALUE"""),"Masculino")</f>
        <v>Masculino</v>
      </c>
      <c r="L165" s="45" t="str">
        <f>IFERROR(__xludf.DUMMYFUNCTION("""COMPUTED_VALUE"""),"CVB")</f>
        <v>CVB</v>
      </c>
      <c r="M165" s="45" t="str">
        <f>IFERROR(__xludf.DUMMYFUNCTION("""COMPUTED_VALUE"""),"Interior (Optimist)")</f>
        <v>Interior (Optimist)</v>
      </c>
      <c r="N165" s="7" t="str">
        <f>IFERROR(__xludf.DUMMYFUNCTION("""COMPUTED_VALUE"""),"OPTIMIST PRINCIPIANTES")</f>
        <v>OPTIMIST PRINCIPIANTES</v>
      </c>
      <c r="O165" s="7"/>
      <c r="P165" s="7">
        <f>IFERROR(__xludf.DUMMYFUNCTION("""COMPUTED_VALUE"""),3856.0)</f>
        <v>3856</v>
      </c>
      <c r="Q165" s="45" t="str">
        <f>IFERROR(__xludf.DUMMYFUNCTION("""COMPUTED_VALUE"""),"Agustin lemos viviant")</f>
        <v>Agustin lemos viviant</v>
      </c>
      <c r="R165" s="45"/>
      <c r="S165" s="45"/>
      <c r="T165" s="45"/>
      <c r="U165" s="45"/>
      <c r="V165" s="45"/>
      <c r="W165" s="45"/>
      <c r="X165" s="47" t="str">
        <f>IFERROR(__xludf.DUMMYFUNCTION("""COMPUTED_VALUE"""),"Swiss medical")</f>
        <v>Swiss medical</v>
      </c>
      <c r="Y165" s="7" t="str">
        <f>IFERROR(__xludf.DUMMYFUNCTION("""COMPUTED_VALUE"""),"Si")</f>
        <v>Si</v>
      </c>
      <c r="Z165" s="45" t="str">
        <f>IFERROR(__xludf.DUMMYFUNCTION("""COMPUTED_VALUE"""),"Acepto")</f>
        <v>Acepto</v>
      </c>
      <c r="AA165" s="45" t="str">
        <f>IFERROR(__xludf.DUMMYFUNCTION("""COMPUTED_VALUE"""),"Terminado")</f>
        <v>Terminado</v>
      </c>
      <c r="AB165" s="45">
        <f>IFERROR(__xludf.DUMMYFUNCTION("""COMPUTED_VALUE"""),50000.0)</f>
        <v>50000</v>
      </c>
      <c r="AC165" s="7">
        <f>IFERROR(__xludf.DUMMYFUNCTION("""COMPUTED_VALUE"""),205062.0)</f>
        <v>205062</v>
      </c>
      <c r="AD165" s="7" t="str">
        <f>IFERROR(__xludf.DUMMYFUNCTION("""COMPUTED_VALUE"""),"TRF 27-08")</f>
        <v>TRF 27-08</v>
      </c>
      <c r="AE165" s="7" t="str">
        <f>IFERROR(__xludf.DUMMYFUNCTION("""COMPUTED_VALUE"""),"OK")</f>
        <v>OK</v>
      </c>
      <c r="AF165" s="7" t="str">
        <f>IFERROR(__xludf.DUMMYFUNCTION("""COMPUTED_VALUE"""),"SI")</f>
        <v>SI</v>
      </c>
    </row>
    <row r="166">
      <c r="A166" s="42">
        <f>IFERROR(__xludf.DUMMYFUNCTION("""COMPUTED_VALUE"""),45532.37768521991)</f>
        <v>45532.37769</v>
      </c>
      <c r="B166" s="43" t="str">
        <f>IFERROR(__xludf.DUMMYFUNCTION("""COMPUTED_VALUE"""),"Grecia")</f>
        <v>Grecia</v>
      </c>
      <c r="C166" s="43" t="str">
        <f>IFERROR(__xludf.DUMMYFUNCTION("""COMPUTED_VALUE"""),"Lenzetti Colin")</f>
        <v>Lenzetti Colin</v>
      </c>
      <c r="D166" s="43" t="str">
        <f>IFERROR(__xludf.DUMMYFUNCTION("""COMPUTED_VALUE"""),"La Plata")</f>
        <v>La Plata</v>
      </c>
      <c r="E166" s="45" t="str">
        <f>IFERROR(__xludf.DUMMYFUNCTION("""COMPUTED_VALUE"""),"ARG")</f>
        <v>ARG</v>
      </c>
      <c r="F166" s="45">
        <f>IFERROR(__xludf.DUMMYFUNCTION("""COMPUTED_VALUE"""),4.892246E7)</f>
        <v>48922460</v>
      </c>
      <c r="G166" s="44">
        <f>IFERROR(__xludf.DUMMYFUNCTION("""COMPUTED_VALUE"""),39692.0)</f>
        <v>39692</v>
      </c>
      <c r="H166" s="45">
        <f>IFERROR(__xludf.DUMMYFUNCTION("""COMPUTED_VALUE"""),2.213573333E9)</f>
        <v>2213573333</v>
      </c>
      <c r="I166" s="45">
        <f>IFERROR(__xludf.DUMMYFUNCTION("""COMPUTED_VALUE"""),2.213573333E9)</f>
        <v>2213573333</v>
      </c>
      <c r="J166" s="45" t="str">
        <f>IFERROR(__xludf.DUMMYFUNCTION("""COMPUTED_VALUE"""),"martin.lenzetti@gmail.com")</f>
        <v>martin.lenzetti@gmail.com</v>
      </c>
      <c r="K166" s="45" t="str">
        <f>IFERROR(__xludf.DUMMYFUNCTION("""COMPUTED_VALUE"""),"Femenino")</f>
        <v>Femenino</v>
      </c>
      <c r="L166" s="45" t="str">
        <f>IFERROR(__xludf.DUMMYFUNCTION("""COMPUTED_VALUE"""),"CRLP")</f>
        <v>CRLP</v>
      </c>
      <c r="M166" s="45" t="str">
        <f>IFERROR(__xludf.DUMMYFUNCTION("""COMPUTED_VALUE"""),"Femenino")</f>
        <v>Femenino</v>
      </c>
      <c r="N166" s="7" t="str">
        <f>IFERROR(__xludf.DUMMYFUNCTION("""COMPUTED_VALUE"""),"ILCA 4")</f>
        <v>ILCA 4</v>
      </c>
      <c r="O166" s="7"/>
      <c r="P166" s="7">
        <f>IFERROR(__xludf.DUMMYFUNCTION("""COMPUTED_VALUE"""),221267.0)</f>
        <v>221267</v>
      </c>
      <c r="Q166" s="45"/>
      <c r="R166" s="45"/>
      <c r="S166" s="45"/>
      <c r="T166" s="45"/>
      <c r="U166" s="45"/>
      <c r="V166" s="45"/>
      <c r="W166" s="45"/>
      <c r="X166" s="47" t="str">
        <f>IFERROR(__xludf.DUMMYFUNCTION("""COMPUTED_VALUE"""),"Swiss Medical / Nº8000063965174030015")</f>
        <v>Swiss Medical / Nº8000063965174030015</v>
      </c>
      <c r="Y166" s="7" t="str">
        <f>IFERROR(__xludf.DUMMYFUNCTION("""COMPUTED_VALUE"""),"No")</f>
        <v>No</v>
      </c>
      <c r="Z166" s="45" t="str">
        <f>IFERROR(__xludf.DUMMYFUNCTION("""COMPUTED_VALUE"""),"Acepto")</f>
        <v>Acepto</v>
      </c>
      <c r="AA166" s="45" t="str">
        <f>IFERROR(__xludf.DUMMYFUNCTION("""COMPUTED_VALUE"""),"Terminado")</f>
        <v>Terminado</v>
      </c>
      <c r="AB166" s="45">
        <f>IFERROR(__xludf.DUMMYFUNCTION("""COMPUTED_VALUE"""),45000.0)</f>
        <v>45000</v>
      </c>
      <c r="AC166" s="7">
        <f>IFERROR(__xludf.DUMMYFUNCTION("""COMPUTED_VALUE"""),205065.0)</f>
        <v>205065</v>
      </c>
      <c r="AD166" s="7" t="str">
        <f>IFERROR(__xludf.DUMMYFUNCTION("""COMPUTED_VALUE"""),"TRF 28-08")</f>
        <v>TRF 28-08</v>
      </c>
      <c r="AE166" s="7" t="str">
        <f>IFERROR(__xludf.DUMMYFUNCTION("""COMPUTED_VALUE"""),"OK")</f>
        <v>OK</v>
      </c>
      <c r="AF166" s="7"/>
    </row>
    <row r="167">
      <c r="A167" s="42">
        <f>IFERROR(__xludf.DUMMYFUNCTION("""COMPUTED_VALUE"""),45532.529716377314)</f>
        <v>45532.52972</v>
      </c>
      <c r="B167" s="43" t="str">
        <f>IFERROR(__xludf.DUMMYFUNCTION("""COMPUTED_VALUE"""),"Emma")</f>
        <v>Emma</v>
      </c>
      <c r="C167" s="43" t="str">
        <f>IFERROR(__xludf.DUMMYFUNCTION("""COMPUTED_VALUE"""),"Lenzetti Colin ")</f>
        <v>Lenzetti Colin </v>
      </c>
      <c r="D167" s="43" t="str">
        <f>IFERROR(__xludf.DUMMYFUNCTION("""COMPUTED_VALUE"""),"La Plata ")</f>
        <v>La Plata </v>
      </c>
      <c r="E167" s="45" t="str">
        <f>IFERROR(__xludf.DUMMYFUNCTION("""COMPUTED_VALUE"""),"ARG")</f>
        <v>ARG</v>
      </c>
      <c r="F167" s="45">
        <f>IFERROR(__xludf.DUMMYFUNCTION("""COMPUTED_VALUE"""),5.126117E7)</f>
        <v>51261170</v>
      </c>
      <c r="G167" s="44">
        <f>IFERROR(__xludf.DUMMYFUNCTION("""COMPUTED_VALUE"""),40755.0)</f>
        <v>40755</v>
      </c>
      <c r="H167" s="45">
        <f>IFERROR(__xludf.DUMMYFUNCTION("""COMPUTED_VALUE"""),2.216112066E9)</f>
        <v>2216112066</v>
      </c>
      <c r="I167" s="45">
        <f>IFERROR(__xludf.DUMMYFUNCTION("""COMPUTED_VALUE"""),2.213573333E9)</f>
        <v>2213573333</v>
      </c>
      <c r="J167" s="45" t="str">
        <f>IFERROR(__xludf.DUMMYFUNCTION("""COMPUTED_VALUE"""),"emmalenzetticolin@gmail.com")</f>
        <v>emmalenzetticolin@gmail.com</v>
      </c>
      <c r="K167" s="45" t="str">
        <f>IFERROR(__xludf.DUMMYFUNCTION("""COMPUTED_VALUE"""),"Femenino")</f>
        <v>Femenino</v>
      </c>
      <c r="L167" s="45" t="str">
        <f>IFERROR(__xludf.DUMMYFUNCTION("""COMPUTED_VALUE"""),"CRLP")</f>
        <v>CRLP</v>
      </c>
      <c r="M167" s="45" t="str">
        <f>IFERROR(__xludf.DUMMYFUNCTION("""COMPUTED_VALUE"""),"Femenino")</f>
        <v>Femenino</v>
      </c>
      <c r="N167" s="7" t="str">
        <f>IFERROR(__xludf.DUMMYFUNCTION("""COMPUTED_VALUE"""),"OPTIMIST TIMONELES")</f>
        <v>OPTIMIST TIMONELES</v>
      </c>
      <c r="O167" s="7"/>
      <c r="P167" s="7">
        <f>IFERROR(__xludf.DUMMYFUNCTION("""COMPUTED_VALUE"""),3754.0)</f>
        <v>3754</v>
      </c>
      <c r="Q167" s="45"/>
      <c r="R167" s="45"/>
      <c r="S167" s="45"/>
      <c r="T167" s="45"/>
      <c r="U167" s="45"/>
      <c r="V167" s="45"/>
      <c r="W167" s="45"/>
      <c r="X167" s="47" t="str">
        <f>IFERROR(__xludf.DUMMYFUNCTION("""COMPUTED_VALUE"""),"swiss medical 800006 3965174 04 0014")</f>
        <v>swiss medical 800006 3965174 04 0014</v>
      </c>
      <c r="Y167" s="7" t="str">
        <f>IFERROR(__xludf.DUMMYFUNCTION("""COMPUTED_VALUE"""),"Si")</f>
        <v>Si</v>
      </c>
      <c r="Z167" s="45" t="str">
        <f>IFERROR(__xludf.DUMMYFUNCTION("""COMPUTED_VALUE"""),"Acepto")</f>
        <v>Acepto</v>
      </c>
      <c r="AA167" s="45" t="str">
        <f>IFERROR(__xludf.DUMMYFUNCTION("""COMPUTED_VALUE"""),"Terminado")</f>
        <v>Terminado</v>
      </c>
      <c r="AB167" s="45">
        <f>IFERROR(__xludf.DUMMYFUNCTION("""COMPUTED_VALUE"""),50000.0)</f>
        <v>50000</v>
      </c>
      <c r="AC167" s="7">
        <f>IFERROR(__xludf.DUMMYFUNCTION("""COMPUTED_VALUE"""),205067.0)</f>
        <v>205067</v>
      </c>
      <c r="AD167" s="7" t="str">
        <f>IFERROR(__xludf.DUMMYFUNCTION("""COMPUTED_VALUE"""),"TRF 28-08")</f>
        <v>TRF 28-08</v>
      </c>
      <c r="AE167" s="7" t="str">
        <f>IFERROR(__xludf.DUMMYFUNCTION("""COMPUTED_VALUE"""),"OK")</f>
        <v>OK</v>
      </c>
      <c r="AF167" s="7"/>
    </row>
    <row r="168">
      <c r="A168" s="42">
        <f>IFERROR(__xludf.DUMMYFUNCTION("""COMPUTED_VALUE"""),45538.779014722226)</f>
        <v>45538.77901</v>
      </c>
      <c r="B168" s="43" t="str">
        <f>IFERROR(__xludf.DUMMYFUNCTION("""COMPUTED_VALUE"""),"María Trinidad ")</f>
        <v>María Trinidad </v>
      </c>
      <c r="C168" s="43" t="str">
        <f>IFERROR(__xludf.DUMMYFUNCTION("""COMPUTED_VALUE"""),"León Herrán")</f>
        <v>León Herrán</v>
      </c>
      <c r="D168" s="43" t="str">
        <f>IFERROR(__xludf.DUMMYFUNCTION("""COMPUTED_VALUE"""),"CABA")</f>
        <v>CABA</v>
      </c>
      <c r="E168" s="45" t="str">
        <f>IFERROR(__xludf.DUMMYFUNCTION("""COMPUTED_VALUE"""),"ARG")</f>
        <v>ARG</v>
      </c>
      <c r="F168" s="45">
        <f>IFERROR(__xludf.DUMMYFUNCTION("""COMPUTED_VALUE"""),4.9701997E7)</f>
        <v>49701997</v>
      </c>
      <c r="G168" s="44">
        <f>IFERROR(__xludf.DUMMYFUNCTION("""COMPUTED_VALUE"""),40052.0)</f>
        <v>40052</v>
      </c>
      <c r="H168" s="45">
        <f>IFERROR(__xludf.DUMMYFUNCTION("""COMPUTED_VALUE"""),1.155842334E9)</f>
        <v>1155842334</v>
      </c>
      <c r="I168" s="45">
        <f>IFERROR(__xludf.DUMMYFUNCTION("""COMPUTED_VALUE"""),1.155842334E9)</f>
        <v>1155842334</v>
      </c>
      <c r="J168" s="45" t="str">
        <f>IFERROR(__xludf.DUMMYFUNCTION("""COMPUTED_VALUE"""),"l.a.leon80@gmail.com")</f>
        <v>l.a.leon80@gmail.com</v>
      </c>
      <c r="K168" s="45" t="str">
        <f>IFERROR(__xludf.DUMMYFUNCTION("""COMPUTED_VALUE"""),"Femenino")</f>
        <v>Femenino</v>
      </c>
      <c r="L168" s="45" t="str">
        <f>IFERROR(__xludf.DUMMYFUNCTION("""COMPUTED_VALUE"""),"CUBA")</f>
        <v>CUBA</v>
      </c>
      <c r="M168" s="45" t="str">
        <f>IFERROR(__xludf.DUMMYFUNCTION("""COMPUTED_VALUE"""),"Femenino")</f>
        <v>Femenino</v>
      </c>
      <c r="N168" s="7" t="str">
        <f>IFERROR(__xludf.DUMMYFUNCTION("""COMPUTED_VALUE"""),"OPTIMIST TIMONELES")</f>
        <v>OPTIMIST TIMONELES</v>
      </c>
      <c r="O168" s="7"/>
      <c r="P168" s="7">
        <f>IFERROR(__xludf.DUMMYFUNCTION("""COMPUTED_VALUE"""),3721.0)</f>
        <v>3721</v>
      </c>
      <c r="Q168" s="45"/>
      <c r="R168" s="45"/>
      <c r="S168" s="45"/>
      <c r="T168" s="45"/>
      <c r="U168" s="45"/>
      <c r="V168" s="45"/>
      <c r="W168" s="45"/>
      <c r="X168" s="47">
        <f>IFERROR(__xludf.DUMMYFUNCTION("""COMPUTED_VALUE"""),6.1628272803E10)</f>
        <v>61628272803</v>
      </c>
      <c r="Y168" s="7" t="str">
        <f>IFERROR(__xludf.DUMMYFUNCTION("""COMPUTED_VALUE"""),"No")</f>
        <v>No</v>
      </c>
      <c r="Z168" s="45" t="str">
        <f>IFERROR(__xludf.DUMMYFUNCTION("""COMPUTED_VALUE"""),"Acepto")</f>
        <v>Acepto</v>
      </c>
      <c r="AA168" s="45" t="str">
        <f>IFERROR(__xludf.DUMMYFUNCTION("""COMPUTED_VALUE"""),"Terminado")</f>
        <v>Terminado</v>
      </c>
      <c r="AB168" s="45">
        <f>IFERROR(__xludf.DUMMYFUNCTION("""COMPUTED_VALUE"""),50000.0)</f>
        <v>50000</v>
      </c>
      <c r="AC168" s="7">
        <f>IFERROR(__xludf.DUMMYFUNCTION("""COMPUTED_VALUE"""),205471.0)</f>
        <v>205471</v>
      </c>
      <c r="AD168" s="7" t="str">
        <f>IFERROR(__xludf.DUMMYFUNCTION("""COMPUTED_VALUE"""),"TRF 03-09")</f>
        <v>TRF 03-09</v>
      </c>
      <c r="AE168" s="7" t="str">
        <f>IFERROR(__xludf.DUMMYFUNCTION("""COMPUTED_VALUE"""),"OK")</f>
        <v>OK</v>
      </c>
      <c r="AF168" s="7"/>
    </row>
    <row r="169">
      <c r="A169" s="42">
        <f>IFERROR(__xludf.DUMMYFUNCTION("""COMPUTED_VALUE"""),45535.52085274305)</f>
        <v>45535.52085</v>
      </c>
      <c r="B169" s="43" t="str">
        <f>IFERROR(__xludf.DUMMYFUNCTION("""COMPUTED_VALUE"""),"Beltran ")</f>
        <v>Beltran </v>
      </c>
      <c r="C169" s="43" t="str">
        <f>IFERROR(__xludf.DUMMYFUNCTION("""COMPUTED_VALUE"""),"Lepori")</f>
        <v>Lepori</v>
      </c>
      <c r="D169" s="43" t="str">
        <f>IFERROR(__xludf.DUMMYFUNCTION("""COMPUTED_VALUE"""),"CABA")</f>
        <v>CABA</v>
      </c>
      <c r="E169" s="45" t="str">
        <f>IFERROR(__xludf.DUMMYFUNCTION("""COMPUTED_VALUE"""),"ARG")</f>
        <v>ARG</v>
      </c>
      <c r="F169" s="45">
        <f>IFERROR(__xludf.DUMMYFUNCTION("""COMPUTED_VALUE"""),4.7436729E7)</f>
        <v>47436729</v>
      </c>
      <c r="G169" s="44">
        <f>IFERROR(__xludf.DUMMYFUNCTION("""COMPUTED_VALUE"""),38946.0)</f>
        <v>38946</v>
      </c>
      <c r="H169" s="45">
        <f>IFERROR(__xludf.DUMMYFUNCTION("""COMPUTED_VALUE"""),1.163353841E9)</f>
        <v>1163353841</v>
      </c>
      <c r="I169" s="45">
        <f>IFERROR(__xludf.DUMMYFUNCTION("""COMPUTED_VALUE"""),1.561528948E9)</f>
        <v>1561528948</v>
      </c>
      <c r="J169" s="45" t="str">
        <f>IFERROR(__xludf.DUMMYFUNCTION("""COMPUTED_VALUE"""),"bi.lepori@scms.edu.ar")</f>
        <v>bi.lepori@scms.edu.ar</v>
      </c>
      <c r="K169" s="45" t="str">
        <f>IFERROR(__xludf.DUMMYFUNCTION("""COMPUTED_VALUE"""),"Masculino")</f>
        <v>Masculino</v>
      </c>
      <c r="L169" s="45" t="str">
        <f>IFERROR(__xludf.DUMMYFUNCTION("""COMPUTED_VALUE"""),"YCA")</f>
        <v>YCA</v>
      </c>
      <c r="M169" s="45"/>
      <c r="N169" s="7">
        <f>IFERROR(__xludf.DUMMYFUNCTION("""COMPUTED_VALUE"""),420.0)</f>
        <v>420</v>
      </c>
      <c r="O169" s="7" t="str">
        <f>IFERROR(__xludf.DUMMYFUNCTION("""COMPUTED_VALUE"""),"02")</f>
        <v>02</v>
      </c>
      <c r="P169" s="7">
        <f>IFERROR(__xludf.DUMMYFUNCTION("""COMPUTED_VALUE"""),57295.0)</f>
        <v>57295</v>
      </c>
      <c r="Q169" s="45" t="str">
        <f>IFERROR(__xludf.DUMMYFUNCTION("""COMPUTED_VALUE"""),"KATANGA")</f>
        <v>KATANGA</v>
      </c>
      <c r="R169" s="45" t="str">
        <f>IFERROR(__xludf.DUMMYFUNCTION("""COMPUTED_VALUE"""),"Celeste Parini")</f>
        <v>Celeste Parini</v>
      </c>
      <c r="S169" s="45"/>
      <c r="T169" s="45"/>
      <c r="U169" s="45"/>
      <c r="V169" s="45"/>
      <c r="W169" s="45"/>
      <c r="X169" s="47" t="str">
        <f>IFERROR(__xludf.DUMMYFUNCTION("""COMPUTED_VALUE"""),"OSDE")</f>
        <v>OSDE</v>
      </c>
      <c r="Y169" s="7" t="str">
        <f>IFERROR(__xludf.DUMMYFUNCTION("""COMPUTED_VALUE"""),"No")</f>
        <v>No</v>
      </c>
      <c r="Z169" s="45" t="str">
        <f>IFERROR(__xludf.DUMMYFUNCTION("""COMPUTED_VALUE"""),"Acepto")</f>
        <v>Acepto</v>
      </c>
      <c r="AA169" s="45" t="str">
        <f>IFERROR(__xludf.DUMMYFUNCTION("""COMPUTED_VALUE"""),"Repetido")</f>
        <v>Repetido</v>
      </c>
      <c r="AB169" s="45"/>
      <c r="AC169" s="7"/>
      <c r="AD169" s="7"/>
      <c r="AE169" s="7" t="str">
        <f>IFERROR(__xludf.DUMMYFUNCTION("""COMPUTED_VALUE"""),"No Corresp")</f>
        <v>No Corresp</v>
      </c>
      <c r="AF169" s="7"/>
    </row>
    <row r="170">
      <c r="A170" s="42">
        <f>IFERROR(__xludf.DUMMYFUNCTION("""COMPUTED_VALUE"""),45536.81861803241)</f>
        <v>45536.81862</v>
      </c>
      <c r="B170" s="43" t="str">
        <f>IFERROR(__xludf.DUMMYFUNCTION("""COMPUTED_VALUE"""),"Beltran ")</f>
        <v>Beltran </v>
      </c>
      <c r="C170" s="43" t="str">
        <f>IFERROR(__xludf.DUMMYFUNCTION("""COMPUTED_VALUE"""),"Lepori")</f>
        <v>Lepori</v>
      </c>
      <c r="D170" s="43" t="str">
        <f>IFERROR(__xludf.DUMMYFUNCTION("""COMPUTED_VALUE"""),"CABA")</f>
        <v>CABA</v>
      </c>
      <c r="E170" s="45" t="str">
        <f>IFERROR(__xludf.DUMMYFUNCTION("""COMPUTED_VALUE"""),"ARG")</f>
        <v>ARG</v>
      </c>
      <c r="F170" s="45">
        <f>IFERROR(__xludf.DUMMYFUNCTION("""COMPUTED_VALUE"""),4.7436729E7)</f>
        <v>47436729</v>
      </c>
      <c r="G170" s="44">
        <f>IFERROR(__xludf.DUMMYFUNCTION("""COMPUTED_VALUE"""),38946.0)</f>
        <v>38946</v>
      </c>
      <c r="H170" s="45" t="str">
        <f>IFERROR(__xludf.DUMMYFUNCTION("""COMPUTED_VALUE"""),"6335-3841")</f>
        <v>6335-3841</v>
      </c>
      <c r="I170" s="45">
        <f>IFERROR(__xludf.DUMMYFUNCTION("""COMPUTED_VALUE"""),1.561528948E9)</f>
        <v>1561528948</v>
      </c>
      <c r="J170" s="45" t="str">
        <f>IFERROR(__xludf.DUMMYFUNCTION("""COMPUTED_VALUE"""),"bi.lepori@scms.edu.ar")</f>
        <v>bi.lepori@scms.edu.ar</v>
      </c>
      <c r="K170" s="45" t="str">
        <f>IFERROR(__xludf.DUMMYFUNCTION("""COMPUTED_VALUE"""),"Masculino")</f>
        <v>Masculino</v>
      </c>
      <c r="L170" s="45" t="str">
        <f>IFERROR(__xludf.DUMMYFUNCTION("""COMPUTED_VALUE"""),"YCA")</f>
        <v>YCA</v>
      </c>
      <c r="M170" s="45"/>
      <c r="N170" s="7">
        <f>IFERROR(__xludf.DUMMYFUNCTION("""COMPUTED_VALUE"""),420.0)</f>
        <v>420</v>
      </c>
      <c r="O170" s="7" t="str">
        <f>IFERROR(__xludf.DUMMYFUNCTION("""COMPUTED_VALUE"""),"02")</f>
        <v>02</v>
      </c>
      <c r="P170" s="7">
        <f>IFERROR(__xludf.DUMMYFUNCTION("""COMPUTED_VALUE"""),57295.0)</f>
        <v>57295</v>
      </c>
      <c r="Q170" s="45" t="str">
        <f>IFERROR(__xludf.DUMMYFUNCTION("""COMPUTED_VALUE"""),"KATANGA")</f>
        <v>KATANGA</v>
      </c>
      <c r="R170" s="45" t="str">
        <f>IFERROR(__xludf.DUMMYFUNCTION("""COMPUTED_VALUE"""),"Celeste Parini")</f>
        <v>Celeste Parini</v>
      </c>
      <c r="S170" s="45"/>
      <c r="T170" s="45"/>
      <c r="U170" s="45"/>
      <c r="V170" s="45"/>
      <c r="W170" s="45"/>
      <c r="X170" s="47"/>
      <c r="Y170" s="7" t="str">
        <f>IFERROR(__xludf.DUMMYFUNCTION("""COMPUTED_VALUE"""),"No")</f>
        <v>No</v>
      </c>
      <c r="Z170" s="45" t="str">
        <f>IFERROR(__xludf.DUMMYFUNCTION("""COMPUTED_VALUE"""),"Acepto")</f>
        <v>Acepto</v>
      </c>
      <c r="AA170" s="45" t="str">
        <f>IFERROR(__xludf.DUMMYFUNCTION("""COMPUTED_VALUE"""),"Terminado")</f>
        <v>Terminado</v>
      </c>
      <c r="AB170" s="45">
        <f>IFERROR(__xludf.DUMMYFUNCTION("""COMPUTED_VALUE"""),65000.0)</f>
        <v>65000</v>
      </c>
      <c r="AC170" s="7">
        <f>IFERROR(__xludf.DUMMYFUNCTION("""COMPUTED_VALUE"""),205548.0)</f>
        <v>205548</v>
      </c>
      <c r="AD170" s="7" t="str">
        <f>IFERROR(__xludf.DUMMYFUNCTION("""COMPUTED_VALUE"""),"TRF 06-09")</f>
        <v>TRF 06-09</v>
      </c>
      <c r="AE170" s="7" t="str">
        <f>IFERROR(__xludf.DUMMYFUNCTION("""COMPUTED_VALUE"""),"Ok")</f>
        <v>Ok</v>
      </c>
      <c r="AF170" s="7" t="str">
        <f>IFERROR(__xludf.DUMMYFUNCTION("""COMPUTED_VALUE"""),"Si")</f>
        <v>Si</v>
      </c>
    </row>
    <row r="171">
      <c r="A171" s="42">
        <f>IFERROR(__xludf.DUMMYFUNCTION("""COMPUTED_VALUE"""),45536.57251096064)</f>
        <v>45536.57251</v>
      </c>
      <c r="B171" s="43" t="str">
        <f>IFERROR(__xludf.DUMMYFUNCTION("""COMPUTED_VALUE"""),"Felipe")</f>
        <v>Felipe</v>
      </c>
      <c r="C171" s="43" t="str">
        <f>IFERROR(__xludf.DUMMYFUNCTION("""COMPUTED_VALUE"""),"Lerner")</f>
        <v>Lerner</v>
      </c>
      <c r="D171" s="43" t="str">
        <f>IFERROR(__xludf.DUMMYFUNCTION("""COMPUTED_VALUE"""),"Buenos Aires")</f>
        <v>Buenos Aires</v>
      </c>
      <c r="E171" s="45" t="str">
        <f>IFERROR(__xludf.DUMMYFUNCTION("""COMPUTED_VALUE"""),"ARG")</f>
        <v>ARG</v>
      </c>
      <c r="F171" s="45">
        <f>IFERROR(__xludf.DUMMYFUNCTION("""COMPUTED_VALUE"""),5.0419847E7)</f>
        <v>50419847</v>
      </c>
      <c r="G171" s="44">
        <f>IFERROR(__xludf.DUMMYFUNCTION("""COMPUTED_VALUE"""),40408.0)</f>
        <v>40408</v>
      </c>
      <c r="H171" s="45">
        <f>IFERROR(__xludf.DUMMYFUNCTION("""COMPUTED_VALUE"""),1.155813709E9)</f>
        <v>1155813709</v>
      </c>
      <c r="I171" s="45">
        <f>IFERROR(__xludf.DUMMYFUNCTION("""COMPUTED_VALUE"""),1.136512492E9)</f>
        <v>1136512492</v>
      </c>
      <c r="J171" s="45" t="str">
        <f>IFERROR(__xludf.DUMMYFUNCTION("""COMPUTED_VALUE"""),"nitoler@gmail.com")</f>
        <v>nitoler@gmail.com</v>
      </c>
      <c r="K171" s="45" t="str">
        <f>IFERROR(__xludf.DUMMYFUNCTION("""COMPUTED_VALUE"""),"Masculino")</f>
        <v>Masculino</v>
      </c>
      <c r="L171" s="45" t="str">
        <f>IFERROR(__xludf.DUMMYFUNCTION("""COMPUTED_VALUE"""),"CNAz")</f>
        <v>CNAz</v>
      </c>
      <c r="M171" s="45" t="str">
        <f>IFERROR(__xludf.DUMMYFUNCTION("""COMPUTED_VALUE"""),"Interior (Optimist)")</f>
        <v>Interior (Optimist)</v>
      </c>
      <c r="N171" s="7" t="str">
        <f>IFERROR(__xludf.DUMMYFUNCTION("""COMPUTED_VALUE"""),"OPTIMIST PRINCIPIANTES")</f>
        <v>OPTIMIST PRINCIPIANTES</v>
      </c>
      <c r="O171" s="7"/>
      <c r="P171" s="7">
        <f>IFERROR(__xludf.DUMMYFUNCTION("""COMPUTED_VALUE"""),3405.0)</f>
        <v>3405</v>
      </c>
      <c r="Q171" s="45" t="str">
        <f>IFERROR(__xludf.DUMMYFUNCTION("""COMPUTED_VALUE"""),"VALTRIEK")</f>
        <v>VALTRIEK</v>
      </c>
      <c r="R171" s="45"/>
      <c r="S171" s="45"/>
      <c r="T171" s="45"/>
      <c r="U171" s="45"/>
      <c r="V171" s="45"/>
      <c r="W171" s="45"/>
      <c r="X171" s="47" t="str">
        <f>IFERROR(__xludf.DUMMYFUNCTION("""COMPUTED_VALUE"""),"OSDE")</f>
        <v>OSDE</v>
      </c>
      <c r="Y171" s="7" t="str">
        <f>IFERROR(__xludf.DUMMYFUNCTION("""COMPUTED_VALUE"""),"Si")</f>
        <v>Si</v>
      </c>
      <c r="Z171" s="45" t="str">
        <f>IFERROR(__xludf.DUMMYFUNCTION("""COMPUTED_VALUE"""),"Acepto")</f>
        <v>Acepto</v>
      </c>
      <c r="AA171" s="45" t="str">
        <f>IFERROR(__xludf.DUMMYFUNCTION("""COMPUTED_VALUE"""),"Terminado")</f>
        <v>Terminado</v>
      </c>
      <c r="AB171" s="45">
        <f>IFERROR(__xludf.DUMMYFUNCTION("""COMPUTED_VALUE"""),50000.0)</f>
        <v>50000</v>
      </c>
      <c r="AC171" s="7">
        <f>IFERROR(__xludf.DUMMYFUNCTION("""COMPUTED_VALUE"""),205612.0)</f>
        <v>205612</v>
      </c>
      <c r="AD171" s="7" t="str">
        <f>IFERROR(__xludf.DUMMYFUNCTION("""COMPUTED_VALUE"""),"TRF 09-09")</f>
        <v>TRF 09-09</v>
      </c>
      <c r="AE171" s="7" t="str">
        <f>IFERROR(__xludf.DUMMYFUNCTION("""COMPUTED_VALUE"""),"OK")</f>
        <v>OK</v>
      </c>
      <c r="AF171" s="7"/>
    </row>
    <row r="172">
      <c r="A172" s="42">
        <f>IFERROR(__xludf.DUMMYFUNCTION("""COMPUTED_VALUE"""),45535.60622998842)</f>
        <v>45535.60623</v>
      </c>
      <c r="B172" s="43" t="str">
        <f>IFERROR(__xludf.DUMMYFUNCTION("""COMPUTED_VALUE"""),"Helena")</f>
        <v>Helena</v>
      </c>
      <c r="C172" s="43" t="str">
        <f>IFERROR(__xludf.DUMMYFUNCTION("""COMPUTED_VALUE"""),"Lezana")</f>
        <v>Lezana</v>
      </c>
      <c r="D172" s="43" t="str">
        <f>IFERROR(__xludf.DUMMYFUNCTION("""COMPUTED_VALUE"""),"Zárate ")</f>
        <v>Zárate </v>
      </c>
      <c r="E172" s="45" t="str">
        <f>IFERROR(__xludf.DUMMYFUNCTION("""COMPUTED_VALUE"""),"ARG")</f>
        <v>ARG</v>
      </c>
      <c r="F172" s="45">
        <f>IFERROR(__xludf.DUMMYFUNCTION("""COMPUTED_VALUE"""),5.297709E7)</f>
        <v>52977090</v>
      </c>
      <c r="G172" s="44">
        <f>IFERROR(__xludf.DUMMYFUNCTION("""COMPUTED_VALUE"""),41311.0)</f>
        <v>41311</v>
      </c>
      <c r="H172" s="45">
        <f>IFERROR(__xludf.DUMMYFUNCTION("""COMPUTED_VALUE"""),3.48729198E9)</f>
        <v>3487291980</v>
      </c>
      <c r="I172" s="45">
        <f>IFERROR(__xludf.DUMMYFUNCTION("""COMPUTED_VALUE"""),3.48729198E9)</f>
        <v>3487291980</v>
      </c>
      <c r="J172" s="45" t="str">
        <f>IFERROR(__xludf.DUMMYFUNCTION("""COMPUTED_VALUE"""),"carinaveronicatizi@gmail.com")</f>
        <v>carinaveronicatizi@gmail.com</v>
      </c>
      <c r="K172" s="45" t="str">
        <f>IFERROR(__xludf.DUMMYFUNCTION("""COMPUTED_VALUE"""),"Femenino")</f>
        <v>Femenino</v>
      </c>
      <c r="L172" s="45" t="str">
        <f>IFERROR(__xludf.DUMMYFUNCTION("""COMPUTED_VALUE"""),"CNZ")</f>
        <v>CNZ</v>
      </c>
      <c r="M172" s="45" t="str">
        <f>IFERROR(__xludf.DUMMYFUNCTION("""COMPUTED_VALUE"""),"Interior (Optimist)")</f>
        <v>Interior (Optimist)</v>
      </c>
      <c r="N172" s="7" t="str">
        <f>IFERROR(__xludf.DUMMYFUNCTION("""COMPUTED_VALUE"""),"OPTIMIST TIMONELES")</f>
        <v>OPTIMIST TIMONELES</v>
      </c>
      <c r="O172" s="7"/>
      <c r="P172" s="7">
        <f>IFERROR(__xludf.DUMMYFUNCTION("""COMPUTED_VALUE"""),3457.0)</f>
        <v>3457</v>
      </c>
      <c r="Q172" s="45" t="str">
        <f>IFERROR(__xludf.DUMMYFUNCTION("""COMPUTED_VALUE"""),"Rulos Traviesos")</f>
        <v>Rulos Traviesos</v>
      </c>
      <c r="R172" s="45"/>
      <c r="S172" s="45"/>
      <c r="T172" s="45"/>
      <c r="U172" s="45"/>
      <c r="V172" s="45"/>
      <c r="W172" s="45"/>
      <c r="X172" s="47" t="str">
        <f>IFERROR(__xludf.DUMMYFUNCTION("""COMPUTED_VALUE"""),"OSDE")</f>
        <v>OSDE</v>
      </c>
      <c r="Y172" s="7" t="str">
        <f>IFERROR(__xludf.DUMMYFUNCTION("""COMPUTED_VALUE"""),"No")</f>
        <v>No</v>
      </c>
      <c r="Z172" s="45" t="str">
        <f>IFERROR(__xludf.DUMMYFUNCTION("""COMPUTED_VALUE"""),"Acepto")</f>
        <v>Acepto</v>
      </c>
      <c r="AA172" s="45" t="str">
        <f>IFERROR(__xludf.DUMMYFUNCTION("""COMPUTED_VALUE"""),"Terminado")</f>
        <v>Terminado</v>
      </c>
      <c r="AB172" s="45">
        <f>IFERROR(__xludf.DUMMYFUNCTION("""COMPUTED_VALUE"""),50000.0)</f>
        <v>50000</v>
      </c>
      <c r="AC172" s="7">
        <f>IFERROR(__xludf.DUMMYFUNCTION("""COMPUTED_VALUE"""),205345.0)</f>
        <v>205345</v>
      </c>
      <c r="AD172" s="7" t="str">
        <f>IFERROR(__xludf.DUMMYFUNCTION("""COMPUTED_VALUE"""),"TRF 31-08")</f>
        <v>TRF 31-08</v>
      </c>
      <c r="AE172" s="7" t="str">
        <f>IFERROR(__xludf.DUMMYFUNCTION("""COMPUTED_VALUE"""),"OK")</f>
        <v>OK</v>
      </c>
      <c r="AF172" s="7"/>
    </row>
    <row r="173">
      <c r="A173" s="42">
        <f>IFERROR(__xludf.DUMMYFUNCTION("""COMPUTED_VALUE"""),45536.89442277778)</f>
        <v>45536.89442</v>
      </c>
      <c r="B173" s="43" t="str">
        <f>IFERROR(__xludf.DUMMYFUNCTION("""COMPUTED_VALUE"""),"Juan Martin ")</f>
        <v>Juan Martin </v>
      </c>
      <c r="C173" s="43" t="str">
        <f>IFERROR(__xludf.DUMMYFUNCTION("""COMPUTED_VALUE"""),"Locatelli")</f>
        <v>Locatelli</v>
      </c>
      <c r="D173" s="43" t="str">
        <f>IFERROR(__xludf.DUMMYFUNCTION("""COMPUTED_VALUE"""),"Vicente Lopez")</f>
        <v>Vicente Lopez</v>
      </c>
      <c r="E173" s="45" t="str">
        <f>IFERROR(__xludf.DUMMYFUNCTION("""COMPUTED_VALUE"""),"ARG")</f>
        <v>ARG</v>
      </c>
      <c r="F173" s="45">
        <f>IFERROR(__xludf.DUMMYFUNCTION("""COMPUTED_VALUE"""),2.2826013E7)</f>
        <v>22826013</v>
      </c>
      <c r="G173" s="44">
        <f>IFERROR(__xludf.DUMMYFUNCTION("""COMPUTED_VALUE"""),26535.0)</f>
        <v>26535</v>
      </c>
      <c r="H173" s="45" t="str">
        <f>IFERROR(__xludf.DUMMYFUNCTION("""COMPUTED_VALUE"""),"01154561383")</f>
        <v>01154561383</v>
      </c>
      <c r="I173" s="45" t="str">
        <f>IFERROR(__xludf.DUMMYFUNCTION("""COMPUTED_VALUE"""),"01150229370")</f>
        <v>01150229370</v>
      </c>
      <c r="J173" s="45" t="str">
        <f>IFERROR(__xludf.DUMMYFUNCTION("""COMPUTED_VALUE"""),"juanlocatelli@gmail.com")</f>
        <v>juanlocatelli@gmail.com</v>
      </c>
      <c r="K173" s="45" t="str">
        <f>IFERROR(__xludf.DUMMYFUNCTION("""COMPUTED_VALUE"""),"Masculino")</f>
        <v>Masculino</v>
      </c>
      <c r="L173" s="45" t="str">
        <f>IFERROR(__xludf.DUMMYFUNCTION("""COMPUTED_VALUE"""),"CNO")</f>
        <v>CNO</v>
      </c>
      <c r="M173" s="45" t="str">
        <f>IFERROR(__xludf.DUMMYFUNCTION("""COMPUTED_VALUE"""),"Star")</f>
        <v>Star</v>
      </c>
      <c r="N173" s="7" t="str">
        <f>IFERROR(__xludf.DUMMYFUNCTION("""COMPUTED_VALUE"""),"STAR")</f>
        <v>STAR</v>
      </c>
      <c r="O173" s="7"/>
      <c r="P173" s="7">
        <f>IFERROR(__xludf.DUMMYFUNCTION("""COMPUTED_VALUE"""),7907.0)</f>
        <v>7907</v>
      </c>
      <c r="Q173" s="45" t="str">
        <f>IFERROR(__xludf.DUMMYFUNCTION("""COMPUTED_VALUE"""),"Charly Whisky")</f>
        <v>Charly Whisky</v>
      </c>
      <c r="R173" s="45" t="str">
        <f>IFERROR(__xludf.DUMMYFUNCTION("""COMPUTED_VALUE"""),"Nasim Iusef")</f>
        <v>Nasim Iusef</v>
      </c>
      <c r="S173" s="45"/>
      <c r="T173" s="45"/>
      <c r="U173" s="45"/>
      <c r="V173" s="45"/>
      <c r="W173" s="45"/>
      <c r="X173" s="47" t="str">
        <f>IFERROR(__xludf.DUMMYFUNCTION("""COMPUTED_VALUE"""),"OSDE")</f>
        <v>OSDE</v>
      </c>
      <c r="Y173" s="7" t="str">
        <f>IFERROR(__xludf.DUMMYFUNCTION("""COMPUTED_VALUE"""),"No")</f>
        <v>No</v>
      </c>
      <c r="Z173" s="45" t="str">
        <f>IFERROR(__xludf.DUMMYFUNCTION("""COMPUTED_VALUE"""),"Acepto")</f>
        <v>Acepto</v>
      </c>
      <c r="AA173" s="45" t="str">
        <f>IFERROR(__xludf.DUMMYFUNCTION("""COMPUTED_VALUE"""),"Terminado")</f>
        <v>Terminado</v>
      </c>
      <c r="AB173" s="45">
        <f>IFERROR(__xludf.DUMMYFUNCTION("""COMPUTED_VALUE"""),60000.0)</f>
        <v>60000</v>
      </c>
      <c r="AC173" s="7">
        <f>IFERROR(__xludf.DUMMYFUNCTION("""COMPUTED_VALUE"""),205560.0)</f>
        <v>205560</v>
      </c>
      <c r="AD173" s="7" t="str">
        <f>IFERROR(__xludf.DUMMYFUNCTION("""COMPUTED_VALUE"""),"TRF 06-09")</f>
        <v>TRF 06-09</v>
      </c>
      <c r="AE173" s="7" t="str">
        <f>IFERROR(__xludf.DUMMYFUNCTION("""COMPUTED_VALUE"""),"No Corresp")</f>
        <v>No Corresp</v>
      </c>
      <c r="AF173" s="7"/>
    </row>
    <row r="174">
      <c r="A174" s="42">
        <f>IFERROR(__xludf.DUMMYFUNCTION("""COMPUTED_VALUE"""),45533.779573611115)</f>
        <v>45533.77957</v>
      </c>
      <c r="B174" s="43" t="str">
        <f>IFERROR(__xludf.DUMMYFUNCTION("""COMPUTED_VALUE"""),"Valentín ")</f>
        <v>Valentín </v>
      </c>
      <c r="C174" s="43" t="str">
        <f>IFERROR(__xludf.DUMMYFUNCTION("""COMPUTED_VALUE"""),"López Morgan ")</f>
        <v>López Morgan </v>
      </c>
      <c r="D174" s="43" t="str">
        <f>IFERROR(__xludf.DUMMYFUNCTION("""COMPUTED_VALUE"""),"Puerto Madryn")</f>
        <v>Puerto Madryn</v>
      </c>
      <c r="E174" s="45" t="str">
        <f>IFERROR(__xludf.DUMMYFUNCTION("""COMPUTED_VALUE"""),"ARG")</f>
        <v>ARG</v>
      </c>
      <c r="F174" s="45">
        <f>IFERROR(__xludf.DUMMYFUNCTION("""COMPUTED_VALUE"""),5.0217149E7)</f>
        <v>50217149</v>
      </c>
      <c r="G174" s="44">
        <f>IFERROR(__xludf.DUMMYFUNCTION("""COMPUTED_VALUE"""),40484.0)</f>
        <v>40484</v>
      </c>
      <c r="H174" s="45">
        <f>IFERROR(__xludf.DUMMYFUNCTION("""COMPUTED_VALUE"""),2.804977351E9)</f>
        <v>2804977351</v>
      </c>
      <c r="I174" s="45">
        <f>IFERROR(__xludf.DUMMYFUNCTION("""COMPUTED_VALUE"""),2.80465737E9)</f>
        <v>2804657370</v>
      </c>
      <c r="J174" s="45" t="str">
        <f>IFERROR(__xludf.DUMMYFUNCTION("""COMPUTED_VALUE"""),"vmacsen@gmail.com")</f>
        <v>vmacsen@gmail.com</v>
      </c>
      <c r="K174" s="45" t="str">
        <f>IFERROR(__xludf.DUMMYFUNCTION("""COMPUTED_VALUE"""),"Masculino")</f>
        <v>Masculino</v>
      </c>
      <c r="L174" s="45" t="str">
        <f>IFERROR(__xludf.DUMMYFUNCTION("""COMPUTED_VALUE"""),"CNAS")</f>
        <v>CNAS</v>
      </c>
      <c r="M174" s="45" t="str">
        <f>IFERROR(__xludf.DUMMYFUNCTION("""COMPUTED_VALUE"""),"Interior (Optimist)")</f>
        <v>Interior (Optimist)</v>
      </c>
      <c r="N174" s="7" t="str">
        <f>IFERROR(__xludf.DUMMYFUNCTION("""COMPUTED_VALUE"""),"OPTIMIST TIMONELES")</f>
        <v>OPTIMIST TIMONELES</v>
      </c>
      <c r="O174" s="7"/>
      <c r="P174" s="7">
        <f>IFERROR(__xludf.DUMMYFUNCTION("""COMPUTED_VALUE"""),2339.0)</f>
        <v>2339</v>
      </c>
      <c r="Q174" s="45" t="str">
        <f>IFERROR(__xludf.DUMMYFUNCTION("""COMPUTED_VALUE"""),"Black Dragon")</f>
        <v>Black Dragon</v>
      </c>
      <c r="R174" s="45"/>
      <c r="S174" s="45"/>
      <c r="T174" s="45"/>
      <c r="U174" s="45"/>
      <c r="V174" s="45"/>
      <c r="W174" s="45"/>
      <c r="X174" s="47"/>
      <c r="Y174" s="7" t="str">
        <f>IFERROR(__xludf.DUMMYFUNCTION("""COMPUTED_VALUE"""),"Si")</f>
        <v>Si</v>
      </c>
      <c r="Z174" s="45" t="str">
        <f>IFERROR(__xludf.DUMMYFUNCTION("""COMPUTED_VALUE"""),"Acepto")</f>
        <v>Acepto</v>
      </c>
      <c r="AA174" s="45" t="str">
        <f>IFERROR(__xludf.DUMMYFUNCTION("""COMPUTED_VALUE"""),"Terminado")</f>
        <v>Terminado</v>
      </c>
      <c r="AB174" s="45">
        <f>IFERROR(__xludf.DUMMYFUNCTION("""COMPUTED_VALUE"""),42500.0)</f>
        <v>42500</v>
      </c>
      <c r="AC174" s="7">
        <f>IFERROR(__xludf.DUMMYFUNCTION("""COMPUTED_VALUE"""),205083.0)</f>
        <v>205083</v>
      </c>
      <c r="AD174" s="7" t="str">
        <f>IFERROR(__xludf.DUMMYFUNCTION("""COMPUTED_VALUE"""),"TRF 29-08")</f>
        <v>TRF 29-08</v>
      </c>
      <c r="AE174" s="7" t="str">
        <f>IFERROR(__xludf.DUMMYFUNCTION("""COMPUTED_VALUE"""),"OK")</f>
        <v>OK</v>
      </c>
      <c r="AF174" s="7"/>
    </row>
    <row r="175">
      <c r="A175" s="42">
        <f>IFERROR(__xludf.DUMMYFUNCTION("""COMPUTED_VALUE"""),45533.58737491898)</f>
        <v>45533.58737</v>
      </c>
      <c r="B175" s="43" t="str">
        <f>IFERROR(__xludf.DUMMYFUNCTION("""COMPUTED_VALUE"""),"Tania")</f>
        <v>Tania</v>
      </c>
      <c r="C175" s="43" t="str">
        <f>IFERROR(__xludf.DUMMYFUNCTION("""COMPUTED_VALUE"""),"Lopez Obejero")</f>
        <v>Lopez Obejero</v>
      </c>
      <c r="D175" s="43" t="str">
        <f>IFERROR(__xludf.DUMMYFUNCTION("""COMPUTED_VALUE"""),"Buenos Aires")</f>
        <v>Buenos Aires</v>
      </c>
      <c r="E175" s="45" t="str">
        <f>IFERROR(__xludf.DUMMYFUNCTION("""COMPUTED_VALUE"""),"ARG")</f>
        <v>ARG</v>
      </c>
      <c r="F175" s="45">
        <f>IFERROR(__xludf.DUMMYFUNCTION("""COMPUTED_VALUE"""),5.0320758E7)</f>
        <v>50320758</v>
      </c>
      <c r="G175" s="44">
        <f>IFERROR(__xludf.DUMMYFUNCTION("""COMPUTED_VALUE"""),40344.0)</f>
        <v>40344</v>
      </c>
      <c r="H175" s="45" t="str">
        <f>IFERROR(__xludf.DUMMYFUNCTION("""COMPUTED_VALUE"""),"5578-7005")</f>
        <v>5578-7005</v>
      </c>
      <c r="I175" s="45" t="str">
        <f>IFERROR(__xludf.DUMMYFUNCTION("""COMPUTED_VALUE"""),"5307-7201")</f>
        <v>5307-7201</v>
      </c>
      <c r="J175" s="45" t="str">
        <f>IFERROR(__xludf.DUMMYFUNCTION("""COMPUTED_VALUE"""),"victoria.obejero@startechnology.com.ar")</f>
        <v>victoria.obejero@startechnology.com.ar</v>
      </c>
      <c r="K175" s="45" t="str">
        <f>IFERROR(__xludf.DUMMYFUNCTION("""COMPUTED_VALUE"""),"Femenino")</f>
        <v>Femenino</v>
      </c>
      <c r="L175" s="45" t="str">
        <f>IFERROR(__xludf.DUMMYFUNCTION("""COMPUTED_VALUE"""),"CPNLB")</f>
        <v>CPNLB</v>
      </c>
      <c r="M175" s="45" t="str">
        <f>IFERROR(__xludf.DUMMYFUNCTION("""COMPUTED_VALUE"""),"Femenino")</f>
        <v>Femenino</v>
      </c>
      <c r="N175" s="7" t="str">
        <f>IFERROR(__xludf.DUMMYFUNCTION("""COMPUTED_VALUE"""),"OPTIMIST TIMONELES")</f>
        <v>OPTIMIST TIMONELES</v>
      </c>
      <c r="O175" s="7"/>
      <c r="P175" s="7">
        <f>IFERROR(__xludf.DUMMYFUNCTION("""COMPUTED_VALUE"""),3775.0)</f>
        <v>3775</v>
      </c>
      <c r="Q175" s="45"/>
      <c r="R175" s="45"/>
      <c r="S175" s="45"/>
      <c r="T175" s="45"/>
      <c r="U175" s="45"/>
      <c r="V175" s="45"/>
      <c r="W175" s="45"/>
      <c r="X175" s="47" t="str">
        <f>IFERROR(__xludf.DUMMYFUNCTION("""COMPUTED_VALUE"""),"GALENO ORO")</f>
        <v>GALENO ORO</v>
      </c>
      <c r="Y175" s="7" t="str">
        <f>IFERROR(__xludf.DUMMYFUNCTION("""COMPUTED_VALUE"""),"Si")</f>
        <v>Si</v>
      </c>
      <c r="Z175" s="45" t="str">
        <f>IFERROR(__xludf.DUMMYFUNCTION("""COMPUTED_VALUE"""),"Acepto")</f>
        <v>Acepto</v>
      </c>
      <c r="AA175" s="45" t="str">
        <f>IFERROR(__xludf.DUMMYFUNCTION("""COMPUTED_VALUE"""),"Terminado")</f>
        <v>Terminado</v>
      </c>
      <c r="AB175" s="45">
        <f>IFERROR(__xludf.DUMMYFUNCTION("""COMPUTED_VALUE"""),50000.0)</f>
        <v>50000</v>
      </c>
      <c r="AC175" s="7">
        <f>IFERROR(__xludf.DUMMYFUNCTION("""COMPUTED_VALUE"""),205079.0)</f>
        <v>205079</v>
      </c>
      <c r="AD175" s="7" t="str">
        <f>IFERROR(__xludf.DUMMYFUNCTION("""COMPUTED_VALUE"""),"TRF 29-08")</f>
        <v>TRF 29-08</v>
      </c>
      <c r="AE175" s="7" t="str">
        <f>IFERROR(__xludf.DUMMYFUNCTION("""COMPUTED_VALUE"""),"OK")</f>
        <v>OK</v>
      </c>
      <c r="AF175" s="7" t="str">
        <f>IFERROR(__xludf.DUMMYFUNCTION("""COMPUTED_VALUE"""),"SI")</f>
        <v>SI</v>
      </c>
    </row>
    <row r="176">
      <c r="A176" s="42">
        <f>IFERROR(__xludf.DUMMYFUNCTION("""COMPUTED_VALUE"""),45530.63710908565)</f>
        <v>45530.63711</v>
      </c>
      <c r="B176" s="43" t="str">
        <f>IFERROR(__xludf.DUMMYFUNCTION("""COMPUTED_VALUE"""),"LISANDRO")</f>
        <v>LISANDRO</v>
      </c>
      <c r="C176" s="43" t="str">
        <f>IFERROR(__xludf.DUMMYFUNCTION("""COMPUTED_VALUE"""),"LOUREYRO MORGENSTERN")</f>
        <v>LOUREYRO MORGENSTERN</v>
      </c>
      <c r="D176" s="43" t="str">
        <f>IFERROR(__xludf.DUMMYFUNCTION("""COMPUTED_VALUE"""),"NUÑEZ")</f>
        <v>NUÑEZ</v>
      </c>
      <c r="E176" s="45" t="str">
        <f>IFERROR(__xludf.DUMMYFUNCTION("""COMPUTED_VALUE"""),"ARG")</f>
        <v>ARG</v>
      </c>
      <c r="F176" s="45">
        <f>IFERROR(__xludf.DUMMYFUNCTION("""COMPUTED_VALUE"""),5.1125616E7)</f>
        <v>51125616</v>
      </c>
      <c r="G176" s="44">
        <f>IFERROR(__xludf.DUMMYFUNCTION("""COMPUTED_VALUE"""),40658.0)</f>
        <v>40658</v>
      </c>
      <c r="H176" s="45">
        <f>IFERROR(__xludf.DUMMYFUNCTION("""COMPUTED_VALUE"""),1.552210801E9)</f>
        <v>1552210801</v>
      </c>
      <c r="I176" s="45">
        <f>IFERROR(__xludf.DUMMYFUNCTION("""COMPUTED_VALUE"""),1.552210801E9)</f>
        <v>1552210801</v>
      </c>
      <c r="J176" s="45" t="str">
        <f>IFERROR(__xludf.DUMMYFUNCTION("""COMPUTED_VALUE"""),"laspenelopes2011@gmail.com")</f>
        <v>laspenelopes2011@gmail.com</v>
      </c>
      <c r="K176" s="45" t="str">
        <f>IFERROR(__xludf.DUMMYFUNCTION("""COMPUTED_VALUE"""),"Masculino")</f>
        <v>Masculino</v>
      </c>
      <c r="L176" s="45" t="str">
        <f>IFERROR(__xludf.DUMMYFUNCTION("""COMPUTED_VALUE"""),"CVB")</f>
        <v>CVB</v>
      </c>
      <c r="M176" s="45" t="str">
        <f>IFERROR(__xludf.DUMMYFUNCTION("""COMPUTED_VALUE"""),"OPTIMIST TIMONEL")</f>
        <v>OPTIMIST TIMONEL</v>
      </c>
      <c r="N176" s="7" t="str">
        <f>IFERROR(__xludf.DUMMYFUNCTION("""COMPUTED_VALUE"""),"OPTIMIST TIMONELES")</f>
        <v>OPTIMIST TIMONELES</v>
      </c>
      <c r="O176" s="7"/>
      <c r="P176" s="7">
        <f>IFERROR(__xludf.DUMMYFUNCTION("""COMPUTED_VALUE"""),4126.0)</f>
        <v>4126</v>
      </c>
      <c r="Q176" s="45"/>
      <c r="R176" s="45"/>
      <c r="S176" s="45"/>
      <c r="T176" s="45"/>
      <c r="U176" s="45"/>
      <c r="V176" s="45"/>
      <c r="W176" s="45"/>
      <c r="X176" s="47" t="str">
        <f>IFERROR(__xludf.DUMMYFUNCTION("""COMPUTED_VALUE"""),"OSDE CREDENCIAL 61758693303")</f>
        <v>OSDE CREDENCIAL 61758693303</v>
      </c>
      <c r="Y176" s="7" t="str">
        <f>IFERROR(__xludf.DUMMYFUNCTION("""COMPUTED_VALUE"""),"Si")</f>
        <v>Si</v>
      </c>
      <c r="Z176" s="45" t="str">
        <f>IFERROR(__xludf.DUMMYFUNCTION("""COMPUTED_VALUE"""),"Acepto")</f>
        <v>Acepto</v>
      </c>
      <c r="AA176" s="45" t="str">
        <f>IFERROR(__xludf.DUMMYFUNCTION("""COMPUTED_VALUE"""),"Terminado")</f>
        <v>Terminado</v>
      </c>
      <c r="AB176" s="45">
        <f>IFERROR(__xludf.DUMMYFUNCTION("""COMPUTED_VALUE"""),50000.0)</f>
        <v>50000</v>
      </c>
      <c r="AC176" s="7">
        <f>IFERROR(__xludf.DUMMYFUNCTION("""COMPUTED_VALUE"""),205071.0)</f>
        <v>205071</v>
      </c>
      <c r="AD176" s="7" t="str">
        <f>IFERROR(__xludf.DUMMYFUNCTION("""COMPUTED_VALUE"""),"TRF 28-08")</f>
        <v>TRF 28-08</v>
      </c>
      <c r="AE176" s="7" t="str">
        <f>IFERROR(__xludf.DUMMYFUNCTION("""COMPUTED_VALUE"""),"OK")</f>
        <v>OK</v>
      </c>
      <c r="AF176" s="7" t="str">
        <f>IFERROR(__xludf.DUMMYFUNCTION("""COMPUTED_VALUE"""),"SI")</f>
        <v>SI</v>
      </c>
    </row>
    <row r="177">
      <c r="A177" s="42">
        <f>IFERROR(__xludf.DUMMYFUNCTION("""COMPUTED_VALUE"""),45530.63979071759)</f>
        <v>45530.63979</v>
      </c>
      <c r="B177" s="43" t="str">
        <f>IFERROR(__xludf.DUMMYFUNCTION("""COMPUTED_VALUE"""),"JOAQUINA")</f>
        <v>JOAQUINA</v>
      </c>
      <c r="C177" s="43" t="str">
        <f>IFERROR(__xludf.DUMMYFUNCTION("""COMPUTED_VALUE"""),"LOUREYRO MORGENSTERN")</f>
        <v>LOUREYRO MORGENSTERN</v>
      </c>
      <c r="D177" s="43" t="str">
        <f>IFERROR(__xludf.DUMMYFUNCTION("""COMPUTED_VALUE"""),"NUÑEZ")</f>
        <v>NUÑEZ</v>
      </c>
      <c r="E177" s="45" t="str">
        <f>IFERROR(__xludf.DUMMYFUNCTION("""COMPUTED_VALUE"""),"ARG")</f>
        <v>ARG</v>
      </c>
      <c r="F177" s="45">
        <f>IFERROR(__xludf.DUMMYFUNCTION("""COMPUTED_VALUE"""),5.4383455E7)</f>
        <v>54383455</v>
      </c>
      <c r="G177" s="44">
        <f>IFERROR(__xludf.DUMMYFUNCTION("""COMPUTED_VALUE"""),41935.0)</f>
        <v>41935</v>
      </c>
      <c r="H177" s="45">
        <f>IFERROR(__xludf.DUMMYFUNCTION("""COMPUTED_VALUE"""),1.552210801E9)</f>
        <v>1552210801</v>
      </c>
      <c r="I177" s="45">
        <f>IFERROR(__xludf.DUMMYFUNCTION("""COMPUTED_VALUE"""),1.552210801E9)</f>
        <v>1552210801</v>
      </c>
      <c r="J177" s="45" t="str">
        <f>IFERROR(__xludf.DUMMYFUNCTION("""COMPUTED_VALUE"""),"laspenelopes2011@gmail.com")</f>
        <v>laspenelopes2011@gmail.com</v>
      </c>
      <c r="K177" s="45" t="str">
        <f>IFERROR(__xludf.DUMMYFUNCTION("""COMPUTED_VALUE"""),"Femenino")</f>
        <v>Femenino</v>
      </c>
      <c r="L177" s="45" t="str">
        <f>IFERROR(__xludf.DUMMYFUNCTION("""COMPUTED_VALUE"""),"CVB")</f>
        <v>CVB</v>
      </c>
      <c r="M177" s="45" t="str">
        <f>IFERROR(__xludf.DUMMYFUNCTION("""COMPUTED_VALUE"""),"Femenino")</f>
        <v>Femenino</v>
      </c>
      <c r="N177" s="7" t="str">
        <f>IFERROR(__xludf.DUMMYFUNCTION("""COMPUTED_VALUE"""),"OPTIMIST PRINCIPIANTES")</f>
        <v>OPTIMIST PRINCIPIANTES</v>
      </c>
      <c r="O177" s="7"/>
      <c r="P177" s="7">
        <f>IFERROR(__xludf.DUMMYFUNCTION("""COMPUTED_VALUE"""),3431.0)</f>
        <v>3431</v>
      </c>
      <c r="Q177" s="45" t="str">
        <f>IFERROR(__xludf.DUMMYFUNCTION("""COMPUTED_VALUE"""),"REMOLINO")</f>
        <v>REMOLINO</v>
      </c>
      <c r="R177" s="45"/>
      <c r="S177" s="45"/>
      <c r="T177" s="45"/>
      <c r="U177" s="45"/>
      <c r="V177" s="45"/>
      <c r="W177" s="45"/>
      <c r="X177" s="47" t="str">
        <f>IFERROR(__xludf.DUMMYFUNCTION("""COMPUTED_VALUE"""),"OSDE CREDENCIAL 61758693304")</f>
        <v>OSDE CREDENCIAL 61758693304</v>
      </c>
      <c r="Y177" s="7" t="str">
        <f>IFERROR(__xludf.DUMMYFUNCTION("""COMPUTED_VALUE"""),"Si")</f>
        <v>Si</v>
      </c>
      <c r="Z177" s="45" t="str">
        <f>IFERROR(__xludf.DUMMYFUNCTION("""COMPUTED_VALUE"""),"Acepto")</f>
        <v>Acepto</v>
      </c>
      <c r="AA177" s="45" t="str">
        <f>IFERROR(__xludf.DUMMYFUNCTION("""COMPUTED_VALUE"""),"Terminado")</f>
        <v>Terminado</v>
      </c>
      <c r="AB177" s="45">
        <f>IFERROR(__xludf.DUMMYFUNCTION("""COMPUTED_VALUE"""),50000.0)</f>
        <v>50000</v>
      </c>
      <c r="AC177" s="7">
        <f>IFERROR(__xludf.DUMMYFUNCTION("""COMPUTED_VALUE"""),205071.0)</f>
        <v>205071</v>
      </c>
      <c r="AD177" s="7" t="str">
        <f>IFERROR(__xludf.DUMMYFUNCTION("""COMPUTED_VALUE"""),"TRF 28-08")</f>
        <v>TRF 28-08</v>
      </c>
      <c r="AE177" s="7" t="str">
        <f>IFERROR(__xludf.DUMMYFUNCTION("""COMPUTED_VALUE"""),"OK")</f>
        <v>OK</v>
      </c>
      <c r="AF177" s="7" t="str">
        <f>IFERROR(__xludf.DUMMYFUNCTION("""COMPUTED_VALUE"""),"SI")</f>
        <v>SI</v>
      </c>
    </row>
    <row r="178">
      <c r="A178" s="42">
        <f>IFERROR(__xludf.DUMMYFUNCTION("""COMPUTED_VALUE"""),45538.413341273146)</f>
        <v>45538.41334</v>
      </c>
      <c r="B178" s="43" t="str">
        <f>IFERROR(__xludf.DUMMYFUNCTION("""COMPUTED_VALUE"""),"JOSÉ")</f>
        <v>JOSÉ</v>
      </c>
      <c r="C178" s="43" t="str">
        <f>IFERROR(__xludf.DUMMYFUNCTION("""COMPUTED_VALUE"""),"LOVIGNÉ")</f>
        <v>LOVIGNÉ</v>
      </c>
      <c r="D178" s="43" t="str">
        <f>IFERROR(__xludf.DUMMYFUNCTION("""COMPUTED_VALUE"""),"ROSARIO")</f>
        <v>ROSARIO</v>
      </c>
      <c r="E178" s="45" t="str">
        <f>IFERROR(__xludf.DUMMYFUNCTION("""COMPUTED_VALUE"""),"ARG")</f>
        <v>ARG</v>
      </c>
      <c r="F178" s="45">
        <f>IFERROR(__xludf.DUMMYFUNCTION("""COMPUTED_VALUE"""),1.728104E7)</f>
        <v>17281040</v>
      </c>
      <c r="G178" s="44">
        <f>IFERROR(__xludf.DUMMYFUNCTION("""COMPUTED_VALUE"""),23947.0)</f>
        <v>23947</v>
      </c>
      <c r="H178" s="45" t="str">
        <f>IFERROR(__xludf.DUMMYFUNCTION("""COMPUTED_VALUE"""),"341 6431004")</f>
        <v>341 6431004</v>
      </c>
      <c r="I178" s="45" t="str">
        <f>IFERROR(__xludf.DUMMYFUNCTION("""COMPUTED_VALUE"""),"341 6844204")</f>
        <v>341 6844204</v>
      </c>
      <c r="J178" s="45" t="str">
        <f>IFERROR(__xludf.DUMMYFUNCTION("""COMPUTED_VALUE"""),"joselovigne@gmail.com")</f>
        <v>joselovigne@gmail.com</v>
      </c>
      <c r="K178" s="45" t="str">
        <f>IFERROR(__xludf.DUMMYFUNCTION("""COMPUTED_VALUE"""),"Masculino")</f>
        <v>Masculino</v>
      </c>
      <c r="L178" s="45" t="str">
        <f>IFERROR(__xludf.DUMMYFUNCTION("""COMPUTED_VALUE"""),"YCR")</f>
        <v>YCR</v>
      </c>
      <c r="M178" s="45" t="str">
        <f>IFERROR(__xludf.DUMMYFUNCTION("""COMPUTED_VALUE"""),"J70")</f>
        <v>J70</v>
      </c>
      <c r="N178" s="7" t="str">
        <f>IFERROR(__xludf.DUMMYFUNCTION("""COMPUTED_VALUE"""),"J 70")</f>
        <v>J 70</v>
      </c>
      <c r="O178" s="7">
        <f>IFERROR(__xludf.DUMMYFUNCTION("""COMPUTED_VALUE"""),40.0)</f>
        <v>40</v>
      </c>
      <c r="P178" s="7">
        <f>IFERROR(__xludf.DUMMYFUNCTION("""COMPUTED_VALUE"""),1551.0)</f>
        <v>1551</v>
      </c>
      <c r="Q178" s="45" t="str">
        <f>IFERROR(__xludf.DUMMYFUNCTION("""COMPUTED_VALUE"""),"MAERS")</f>
        <v>MAERS</v>
      </c>
      <c r="R178" s="45" t="str">
        <f>IFERROR(__xludf.DUMMYFUNCTION("""COMPUTED_VALUE"""),"FEDERICO COLELLA")</f>
        <v>FEDERICO COLELLA</v>
      </c>
      <c r="S178" s="45" t="str">
        <f>IFERROR(__xludf.DUMMYFUNCTION("""COMPUTED_VALUE"""),"DANTE CITTADINI")</f>
        <v>DANTE CITTADINI</v>
      </c>
      <c r="T178" s="45" t="str">
        <f>IFERROR(__xludf.DUMMYFUNCTION("""COMPUTED_VALUE"""),"SEGUNDO GARCIA")</f>
        <v>SEGUNDO GARCIA</v>
      </c>
      <c r="U178" s="45"/>
      <c r="V178" s="45"/>
      <c r="W178" s="45"/>
      <c r="X178" s="47" t="str">
        <f>IFERROR(__xludf.DUMMYFUNCTION("""COMPUTED_VALUE"""),"OSDE")</f>
        <v>OSDE</v>
      </c>
      <c r="Y178" s="7" t="str">
        <f>IFERROR(__xludf.DUMMYFUNCTION("""COMPUTED_VALUE"""),"No")</f>
        <v>No</v>
      </c>
      <c r="Z178" s="45" t="str">
        <f>IFERROR(__xludf.DUMMYFUNCTION("""COMPUTED_VALUE"""),"Acepto")</f>
        <v>Acepto</v>
      </c>
      <c r="AA178" s="45" t="str">
        <f>IFERROR(__xludf.DUMMYFUNCTION("""COMPUTED_VALUE"""),"Terminado")</f>
        <v>Terminado</v>
      </c>
      <c r="AB178" s="45">
        <f>IFERROR(__xludf.DUMMYFUNCTION("""COMPUTED_VALUE"""),68000.0)</f>
        <v>68000</v>
      </c>
      <c r="AC178" s="7">
        <f>IFERROR(__xludf.DUMMYFUNCTION("""COMPUTED_VALUE"""),205412.0)</f>
        <v>205412</v>
      </c>
      <c r="AD178" s="7" t="str">
        <f>IFERROR(__xludf.DUMMYFUNCTION("""COMPUTED_VALUE"""),"TRF 03-09")</f>
        <v>TRF 03-09</v>
      </c>
      <c r="AE178" s="7" t="str">
        <f>IFERROR(__xludf.DUMMYFUNCTION("""COMPUTED_VALUE"""),"No Corresp")</f>
        <v>No Corresp</v>
      </c>
      <c r="AF178" s="7"/>
    </row>
    <row r="179">
      <c r="A179" s="42">
        <f>IFERROR(__xludf.DUMMYFUNCTION("""COMPUTED_VALUE"""),45536.381456840274)</f>
        <v>45536.38146</v>
      </c>
      <c r="B179" s="43" t="str">
        <f>IFERROR(__xludf.DUMMYFUNCTION("""COMPUTED_VALUE"""),"Juan Felipe")</f>
        <v>Juan Felipe</v>
      </c>
      <c r="C179" s="43" t="str">
        <f>IFERROR(__xludf.DUMMYFUNCTION("""COMPUTED_VALUE"""),"Luis")</f>
        <v>Luis</v>
      </c>
      <c r="D179" s="43" t="str">
        <f>IFERROR(__xludf.DUMMYFUNCTION("""COMPUTED_VALUE"""),"La Plata ")</f>
        <v>La Plata </v>
      </c>
      <c r="E179" s="45" t="str">
        <f>IFERROR(__xludf.DUMMYFUNCTION("""COMPUTED_VALUE"""),"ARG")</f>
        <v>ARG</v>
      </c>
      <c r="F179" s="45">
        <f>IFERROR(__xludf.DUMMYFUNCTION("""COMPUTED_VALUE"""),5.2908766E7)</f>
        <v>52908766</v>
      </c>
      <c r="G179" s="44">
        <f>IFERROR(__xludf.DUMMYFUNCTION("""COMPUTED_VALUE"""),41234.0)</f>
        <v>41234</v>
      </c>
      <c r="H179" s="45">
        <f>IFERROR(__xludf.DUMMYFUNCTION("""COMPUTED_VALUE"""),2.21616239E9)</f>
        <v>2216162390</v>
      </c>
      <c r="I179" s="45">
        <f>IFERROR(__xludf.DUMMYFUNCTION("""COMPUTED_VALUE"""),2.21616239E9)</f>
        <v>2216162390</v>
      </c>
      <c r="J179" s="45" t="str">
        <f>IFERROR(__xludf.DUMMYFUNCTION("""COMPUTED_VALUE"""),"luciagaray1@gmail.com")</f>
        <v>luciagaray1@gmail.com</v>
      </c>
      <c r="K179" s="45" t="str">
        <f>IFERROR(__xludf.DUMMYFUNCTION("""COMPUTED_VALUE"""),"Masculino")</f>
        <v>Masculino</v>
      </c>
      <c r="L179" s="45" t="str">
        <f>IFERROR(__xludf.DUMMYFUNCTION("""COMPUTED_VALUE"""),"CRLP ")</f>
        <v>CRLP </v>
      </c>
      <c r="M179" s="45"/>
      <c r="N179" s="7" t="str">
        <f>IFERROR(__xludf.DUMMYFUNCTION("""COMPUTED_VALUE"""),"OPTIMIST TIMONELES")</f>
        <v>OPTIMIST TIMONELES</v>
      </c>
      <c r="O179" s="7"/>
      <c r="P179" s="7">
        <f>IFERROR(__xludf.DUMMYFUNCTION("""COMPUTED_VALUE"""),3297.0)</f>
        <v>3297</v>
      </c>
      <c r="Q179" s="45" t="str">
        <f>IFERROR(__xludf.DUMMYFUNCTION("""COMPUTED_VALUE"""),"Enigma")</f>
        <v>Enigma</v>
      </c>
      <c r="R179" s="45"/>
      <c r="S179" s="45"/>
      <c r="T179" s="45"/>
      <c r="U179" s="45"/>
      <c r="V179" s="45"/>
      <c r="W179" s="45"/>
      <c r="X179" s="47" t="str">
        <f>IFERROR(__xludf.DUMMYFUNCTION("""COMPUTED_VALUE"""),"B25224153004")</f>
        <v>B25224153004</v>
      </c>
      <c r="Y179" s="7" t="str">
        <f>IFERROR(__xludf.DUMMYFUNCTION("""COMPUTED_VALUE"""),"Si")</f>
        <v>Si</v>
      </c>
      <c r="Z179" s="45" t="str">
        <f>IFERROR(__xludf.DUMMYFUNCTION("""COMPUTED_VALUE"""),"Acepto")</f>
        <v>Acepto</v>
      </c>
      <c r="AA179" s="45" t="str">
        <f>IFERROR(__xludf.DUMMYFUNCTION("""COMPUTED_VALUE"""),"Terminado")</f>
        <v>Terminado</v>
      </c>
      <c r="AB179" s="45">
        <f>IFERROR(__xludf.DUMMYFUNCTION("""COMPUTED_VALUE"""),70000.0)</f>
        <v>70000</v>
      </c>
      <c r="AC179" s="7">
        <f>IFERROR(__xludf.DUMMYFUNCTION("""COMPUTED_VALUE"""),205334.0)</f>
        <v>205334</v>
      </c>
      <c r="AD179" s="7" t="str">
        <f>IFERROR(__xludf.DUMMYFUNCTION("""COMPUTED_VALUE"""),"TRF 01-09")</f>
        <v>TRF 01-09</v>
      </c>
      <c r="AE179" s="7" t="str">
        <f>IFERROR(__xludf.DUMMYFUNCTION("""COMPUTED_VALUE"""),"OK")</f>
        <v>OK</v>
      </c>
      <c r="AF179" s="7"/>
    </row>
    <row r="180">
      <c r="A180" s="42">
        <f>IFERROR(__xludf.DUMMYFUNCTION("""COMPUTED_VALUE"""),45523.67275103009)</f>
        <v>45523.67275</v>
      </c>
      <c r="B180" s="43" t="str">
        <f>IFERROR(__xludf.DUMMYFUNCTION("""COMPUTED_VALUE"""),"CARLOS GERARDO")</f>
        <v>CARLOS GERARDO</v>
      </c>
      <c r="C180" s="43" t="str">
        <f>IFERROR(__xludf.DUMMYFUNCTION("""COMPUTED_VALUE"""),"LUQUE")</f>
        <v>LUQUE</v>
      </c>
      <c r="D180" s="43" t="str">
        <f>IFERROR(__xludf.DUMMYFUNCTION("""COMPUTED_VALUE"""),"BAHIA BLANCA")</f>
        <v>BAHIA BLANCA</v>
      </c>
      <c r="E180" s="45" t="str">
        <f>IFERROR(__xludf.DUMMYFUNCTION("""COMPUTED_VALUE"""),"ARG")</f>
        <v>ARG</v>
      </c>
      <c r="F180" s="45">
        <f>IFERROR(__xludf.DUMMYFUNCTION("""COMPUTED_VALUE"""),1.7673812E7)</f>
        <v>17673812</v>
      </c>
      <c r="G180" s="44">
        <f>IFERROR(__xludf.DUMMYFUNCTION("""COMPUTED_VALUE"""),24236.0)</f>
        <v>24236</v>
      </c>
      <c r="H180" s="45">
        <f>IFERROR(__xludf.DUMMYFUNCTION("""COMPUTED_VALUE"""),2.914742269E9)</f>
        <v>2914742269</v>
      </c>
      <c r="I180" s="45">
        <f>IFERROR(__xludf.DUMMYFUNCTION("""COMPUTED_VALUE"""),2.914295699E9)</f>
        <v>2914295699</v>
      </c>
      <c r="J180" s="45" t="str">
        <f>IFERROR(__xludf.DUMMYFUNCTION("""COMPUTED_VALUE"""),"CARLONCHOLUQUE@HOTMAIL.COM")</f>
        <v>CARLONCHOLUQUE@HOTMAIL.COM</v>
      </c>
      <c r="K180" s="45" t="str">
        <f>IFERROR(__xludf.DUMMYFUNCTION("""COMPUTED_VALUE"""),"Masculino")</f>
        <v>Masculino</v>
      </c>
      <c r="L180" s="45" t="str">
        <f>IFERROR(__xludf.DUMMYFUNCTION("""COMPUTED_VALUE"""),"CNBB")</f>
        <v>CNBB</v>
      </c>
      <c r="M180" s="45" t="str">
        <f>IFERROR(__xludf.DUMMYFUNCTION("""COMPUTED_VALUE"""),"MASTER PAMPERO")</f>
        <v>MASTER PAMPERO</v>
      </c>
      <c r="N180" s="7" t="str">
        <f>IFERROR(__xludf.DUMMYFUNCTION("""COMPUTED_VALUE"""),"PAMPERO")</f>
        <v>PAMPERO</v>
      </c>
      <c r="O180" s="7"/>
      <c r="P180" s="7">
        <f>IFERROR(__xludf.DUMMYFUNCTION("""COMPUTED_VALUE"""),352.0)</f>
        <v>352</v>
      </c>
      <c r="Q180" s="45" t="str">
        <f>IFERROR(__xludf.DUMMYFUNCTION("""COMPUTED_VALUE"""),"LUQUEADO")</f>
        <v>LUQUEADO</v>
      </c>
      <c r="R180" s="45" t="str">
        <f>IFERROR(__xludf.DUMMYFUNCTION("""COMPUTED_VALUE"""),"LUCRECIA INES DIAZ")</f>
        <v>LUCRECIA INES DIAZ</v>
      </c>
      <c r="S180" s="45"/>
      <c r="T180" s="45"/>
      <c r="U180" s="45"/>
      <c r="V180" s="45"/>
      <c r="W180" s="45"/>
      <c r="X180" s="47" t="str">
        <f>IFERROR(__xludf.DUMMYFUNCTION("""COMPUTED_VALUE"""),"OSDE")</f>
        <v>OSDE</v>
      </c>
      <c r="Y180" s="7" t="str">
        <f>IFERROR(__xludf.DUMMYFUNCTION("""COMPUTED_VALUE"""),"Si")</f>
        <v>Si</v>
      </c>
      <c r="Z180" s="45" t="str">
        <f>IFERROR(__xludf.DUMMYFUNCTION("""COMPUTED_VALUE"""),"Acepto")</f>
        <v>Acepto</v>
      </c>
      <c r="AA180" s="45" t="str">
        <f>IFERROR(__xludf.DUMMYFUNCTION("""COMPUTED_VALUE"""),"Terminado")</f>
        <v>Terminado</v>
      </c>
      <c r="AB180" s="45">
        <f>IFERROR(__xludf.DUMMYFUNCTION("""COMPUTED_VALUE"""),60000.0)</f>
        <v>60000</v>
      </c>
      <c r="AC180" s="7">
        <f>IFERROR(__xludf.DUMMYFUNCTION("""COMPUTED_VALUE"""),205006.0)</f>
        <v>205006</v>
      </c>
      <c r="AD180" s="7" t="str">
        <f>IFERROR(__xludf.DUMMYFUNCTION("""COMPUTED_VALUE"""),"TRF 19-8")</f>
        <v>TRF 19-8</v>
      </c>
      <c r="AE180" s="7" t="str">
        <f>IFERROR(__xludf.DUMMYFUNCTION("""COMPUTED_VALUE"""),"No Corresp")</f>
        <v>No Corresp</v>
      </c>
      <c r="AF180" s="7" t="str">
        <f>IFERROR(__xludf.DUMMYFUNCTION("""COMPUTED_VALUE"""),"Si")</f>
        <v>Si</v>
      </c>
    </row>
    <row r="181">
      <c r="A181" s="42">
        <f>IFERROR(__xludf.DUMMYFUNCTION("""COMPUTED_VALUE"""),45534.76059563657)</f>
        <v>45534.7606</v>
      </c>
      <c r="B181" s="43" t="str">
        <f>IFERROR(__xludf.DUMMYFUNCTION("""COMPUTED_VALUE"""),"Bautista ")</f>
        <v>Bautista </v>
      </c>
      <c r="C181" s="43" t="str">
        <f>IFERROR(__xludf.DUMMYFUNCTION("""COMPUTED_VALUE"""),"Luque ")</f>
        <v>Luque </v>
      </c>
      <c r="D181" s="43" t="str">
        <f>IFERROR(__xludf.DUMMYFUNCTION("""COMPUTED_VALUE"""),"Buenos Aires ")</f>
        <v>Buenos Aires </v>
      </c>
      <c r="E181" s="45" t="str">
        <f>IFERROR(__xludf.DUMMYFUNCTION("""COMPUTED_VALUE"""),"ARG")</f>
        <v>ARG</v>
      </c>
      <c r="F181" s="45">
        <f>IFERROR(__xludf.DUMMYFUNCTION("""COMPUTED_VALUE"""),5.0416772E7)</f>
        <v>50416772</v>
      </c>
      <c r="G181" s="44">
        <f>IFERROR(__xludf.DUMMYFUNCTION("""COMPUTED_VALUE"""),40364.0)</f>
        <v>40364</v>
      </c>
      <c r="H181" s="45">
        <f>IFERROR(__xludf.DUMMYFUNCTION("""COMPUTED_VALUE"""),9.1161879557E10)</f>
        <v>91161879557</v>
      </c>
      <c r="I181" s="45">
        <f>IFERROR(__xludf.DUMMYFUNCTION("""COMPUTED_VALUE"""),9.1161879557E10)</f>
        <v>91161879557</v>
      </c>
      <c r="J181" s="45" t="str">
        <f>IFERROR(__xludf.DUMMYFUNCTION("""COMPUTED_VALUE"""),"Lulipalau@hotmail.com")</f>
        <v>Lulipalau@hotmail.com</v>
      </c>
      <c r="K181" s="45" t="str">
        <f>IFERROR(__xludf.DUMMYFUNCTION("""COMPUTED_VALUE"""),"Masculino")</f>
        <v>Masculino</v>
      </c>
      <c r="L181" s="45" t="str">
        <f>IFERROR(__xludf.DUMMYFUNCTION("""COMPUTED_VALUE"""),"YCO")</f>
        <v>YCO</v>
      </c>
      <c r="M181" s="45"/>
      <c r="N181" s="7" t="str">
        <f>IFERROR(__xludf.DUMMYFUNCTION("""COMPUTED_VALUE"""),"OPTIMIST TIMONELES")</f>
        <v>OPTIMIST TIMONELES</v>
      </c>
      <c r="O181" s="7"/>
      <c r="P181" s="7" t="str">
        <f>IFERROR(__xludf.DUMMYFUNCTION("""COMPUTED_VALUE"""),"ARG 4011")</f>
        <v>ARG 4011</v>
      </c>
      <c r="Q181" s="45"/>
      <c r="R181" s="45"/>
      <c r="S181" s="45"/>
      <c r="T181" s="45"/>
      <c r="U181" s="45"/>
      <c r="V181" s="45"/>
      <c r="W181" s="45"/>
      <c r="X181" s="47">
        <f>IFERROR(__xludf.DUMMYFUNCTION("""COMPUTED_VALUE"""),6.1108063902E10)</f>
        <v>61108063902</v>
      </c>
      <c r="Y181" s="7" t="str">
        <f>IFERROR(__xludf.DUMMYFUNCTION("""COMPUTED_VALUE"""),"Si")</f>
        <v>Si</v>
      </c>
      <c r="Z181" s="45" t="str">
        <f>IFERROR(__xludf.DUMMYFUNCTION("""COMPUTED_VALUE"""),"Acepto")</f>
        <v>Acepto</v>
      </c>
      <c r="AA181" s="45" t="str">
        <f>IFERROR(__xludf.DUMMYFUNCTION("""COMPUTED_VALUE"""),"Terminado")</f>
        <v>Terminado</v>
      </c>
      <c r="AB181" s="45">
        <f>IFERROR(__xludf.DUMMYFUNCTION("""COMPUTED_VALUE"""),50000.0)</f>
        <v>50000</v>
      </c>
      <c r="AC181" s="7"/>
      <c r="AD181" s="7" t="str">
        <f>IFERROR(__xludf.DUMMYFUNCTION("""COMPUTED_VALUE"""),"AF")</f>
        <v>AF</v>
      </c>
      <c r="AE181" s="7" t="str">
        <f>IFERROR(__xludf.DUMMYFUNCTION("""COMPUTED_VALUE"""),"OK")</f>
        <v>OK</v>
      </c>
      <c r="AF181" s="7"/>
    </row>
    <row r="182">
      <c r="A182" s="42">
        <f>IFERROR(__xludf.DUMMYFUNCTION("""COMPUTED_VALUE"""),45534.762057314816)</f>
        <v>45534.76206</v>
      </c>
      <c r="B182" s="43" t="str">
        <f>IFERROR(__xludf.DUMMYFUNCTION("""COMPUTED_VALUE"""),"Delfina ")</f>
        <v>Delfina </v>
      </c>
      <c r="C182" s="43" t="str">
        <f>IFERROR(__xludf.DUMMYFUNCTION("""COMPUTED_VALUE"""),"Luque ")</f>
        <v>Luque </v>
      </c>
      <c r="D182" s="43" t="str">
        <f>IFERROR(__xludf.DUMMYFUNCTION("""COMPUTED_VALUE"""),"Buenos Aires ")</f>
        <v>Buenos Aires </v>
      </c>
      <c r="E182" s="45" t="str">
        <f>IFERROR(__xludf.DUMMYFUNCTION("""COMPUTED_VALUE"""),"ARG")</f>
        <v>ARG</v>
      </c>
      <c r="F182" s="45">
        <f>IFERROR(__xludf.DUMMYFUNCTION("""COMPUTED_VALUE"""),5.2768606E7)</f>
        <v>52768606</v>
      </c>
      <c r="G182" s="44">
        <f>IFERROR(__xludf.DUMMYFUNCTION("""COMPUTED_VALUE"""),41178.0)</f>
        <v>41178</v>
      </c>
      <c r="H182" s="45">
        <f>IFERROR(__xludf.DUMMYFUNCTION("""COMPUTED_VALUE"""),9.1161879557E10)</f>
        <v>91161879557</v>
      </c>
      <c r="I182" s="45">
        <f>IFERROR(__xludf.DUMMYFUNCTION("""COMPUTED_VALUE"""),9.1161879557E10)</f>
        <v>91161879557</v>
      </c>
      <c r="J182" s="45" t="str">
        <f>IFERROR(__xludf.DUMMYFUNCTION("""COMPUTED_VALUE"""),"Lulipalau@hotmail.com")</f>
        <v>Lulipalau@hotmail.com</v>
      </c>
      <c r="K182" s="45" t="str">
        <f>IFERROR(__xludf.DUMMYFUNCTION("""COMPUTED_VALUE"""),"Femenino")</f>
        <v>Femenino</v>
      </c>
      <c r="L182" s="45" t="str">
        <f>IFERROR(__xludf.DUMMYFUNCTION("""COMPUTED_VALUE"""),"YCO")</f>
        <v>YCO</v>
      </c>
      <c r="M182" s="45" t="str">
        <f>IFERROR(__xludf.DUMMYFUNCTION("""COMPUTED_VALUE"""),"Femenino, Sub12")</f>
        <v>Femenino, Sub12</v>
      </c>
      <c r="N182" s="7" t="str">
        <f>IFERROR(__xludf.DUMMYFUNCTION("""COMPUTED_VALUE"""),"OPTIMIST TIMONELES")</f>
        <v>OPTIMIST TIMONELES</v>
      </c>
      <c r="O182" s="7"/>
      <c r="P182" s="7" t="str">
        <f>IFERROR(__xludf.DUMMYFUNCTION("""COMPUTED_VALUE"""),"ARG4031")</f>
        <v>ARG4031</v>
      </c>
      <c r="Q182" s="45"/>
      <c r="R182" s="45"/>
      <c r="S182" s="45"/>
      <c r="T182" s="45"/>
      <c r="U182" s="45"/>
      <c r="V182" s="45"/>
      <c r="W182" s="45"/>
      <c r="X182" s="47">
        <f>IFERROR(__xludf.DUMMYFUNCTION("""COMPUTED_VALUE"""),6.1108063903E10)</f>
        <v>61108063903</v>
      </c>
      <c r="Y182" s="7" t="str">
        <f>IFERROR(__xludf.DUMMYFUNCTION("""COMPUTED_VALUE"""),"Si")</f>
        <v>Si</v>
      </c>
      <c r="Z182" s="45" t="str">
        <f>IFERROR(__xludf.DUMMYFUNCTION("""COMPUTED_VALUE"""),"Acepto")</f>
        <v>Acepto</v>
      </c>
      <c r="AA182" s="45" t="str">
        <f>IFERROR(__xludf.DUMMYFUNCTION("""COMPUTED_VALUE"""),"Terminado")</f>
        <v>Terminado</v>
      </c>
      <c r="AB182" s="45">
        <f>IFERROR(__xludf.DUMMYFUNCTION("""COMPUTED_VALUE"""),50000.0)</f>
        <v>50000</v>
      </c>
      <c r="AC182" s="7"/>
      <c r="AD182" s="7" t="str">
        <f>IFERROR(__xludf.DUMMYFUNCTION("""COMPUTED_VALUE"""),"AF")</f>
        <v>AF</v>
      </c>
      <c r="AE182" s="7" t="str">
        <f>IFERROR(__xludf.DUMMYFUNCTION("""COMPUTED_VALUE"""),"OK")</f>
        <v>OK</v>
      </c>
      <c r="AF182" s="7"/>
    </row>
    <row r="183">
      <c r="A183" s="42">
        <f>IFERROR(__xludf.DUMMYFUNCTION("""COMPUTED_VALUE"""),45540.62934114583)</f>
        <v>45540.62934</v>
      </c>
      <c r="B183" s="43" t="str">
        <f>IFERROR(__xludf.DUMMYFUNCTION("""COMPUTED_VALUE"""),"Patricio ")</f>
        <v>Patricio </v>
      </c>
      <c r="C183" s="43" t="str">
        <f>IFERROR(__xludf.DUMMYFUNCTION("""COMPUTED_VALUE"""),"Lutteral ")</f>
        <v>Lutteral </v>
      </c>
      <c r="D183" s="43" t="str">
        <f>IFERROR(__xludf.DUMMYFUNCTION("""COMPUTED_VALUE"""),"Buenos aires")</f>
        <v>Buenos aires</v>
      </c>
      <c r="E183" s="45" t="str">
        <f>IFERROR(__xludf.DUMMYFUNCTION("""COMPUTED_VALUE"""),"ARG")</f>
        <v>ARG</v>
      </c>
      <c r="F183" s="45">
        <f>IFERROR(__xludf.DUMMYFUNCTION("""COMPUTED_VALUE"""),1.195331E7)</f>
        <v>11953310</v>
      </c>
      <c r="G183" s="44">
        <f>IFERROR(__xludf.DUMMYFUNCTION("""COMPUTED_VALUE"""),21213.0)</f>
        <v>21213</v>
      </c>
      <c r="H183" s="45">
        <f>IFERROR(__xludf.DUMMYFUNCTION("""COMPUTED_VALUE"""),5.491157616021E12)</f>
        <v>5491157616021</v>
      </c>
      <c r="I183" s="45">
        <f>IFERROR(__xludf.DUMMYFUNCTION("""COMPUTED_VALUE"""),5.4911307911E12)</f>
        <v>5491130791100</v>
      </c>
      <c r="J183" s="45" t="str">
        <f>IFERROR(__xludf.DUMMYFUNCTION("""COMPUTED_VALUE"""),"lutteral_patricio@yahoo.com.ar")</f>
        <v>lutteral_patricio@yahoo.com.ar</v>
      </c>
      <c r="K183" s="45" t="str">
        <f>IFERROR(__xludf.DUMMYFUNCTION("""COMPUTED_VALUE"""),"Masculino")</f>
        <v>Masculino</v>
      </c>
      <c r="L183" s="45" t="str">
        <f>IFERROR(__xludf.DUMMYFUNCTION("""COMPUTED_VALUE"""),"CPNLB")</f>
        <v>CPNLB</v>
      </c>
      <c r="M183" s="45"/>
      <c r="N183" s="7" t="str">
        <f>IFERROR(__xludf.DUMMYFUNCTION("""COMPUTED_VALUE"""),"PAMPERO")</f>
        <v>PAMPERO</v>
      </c>
      <c r="O183" s="7"/>
      <c r="P183" s="7">
        <f>IFERROR(__xludf.DUMMYFUNCTION("""COMPUTED_VALUE"""),40.0)</f>
        <v>40</v>
      </c>
      <c r="Q183" s="45" t="str">
        <f>IFERROR(__xludf.DUMMYFUNCTION("""COMPUTED_VALUE"""),"TORMENTA")</f>
        <v>TORMENTA</v>
      </c>
      <c r="R183" s="45" t="str">
        <f>IFERROR(__xludf.DUMMYFUNCTION("""COMPUTED_VALUE"""),"Sebastian Lutteral ")</f>
        <v>Sebastian Lutteral </v>
      </c>
      <c r="S183" s="45"/>
      <c r="T183" s="45"/>
      <c r="U183" s="45"/>
      <c r="V183" s="45"/>
      <c r="W183" s="45"/>
      <c r="X183" s="47"/>
      <c r="Y183" s="7" t="str">
        <f>IFERROR(__xludf.DUMMYFUNCTION("""COMPUTED_VALUE"""),"No")</f>
        <v>No</v>
      </c>
      <c r="Z183" s="45" t="str">
        <f>IFERROR(__xludf.DUMMYFUNCTION("""COMPUTED_VALUE"""),"Acepto")</f>
        <v>Acepto</v>
      </c>
      <c r="AA183" s="45" t="str">
        <f>IFERROR(__xludf.DUMMYFUNCTION("""COMPUTED_VALUE"""),"Terminado")</f>
        <v>Terminado</v>
      </c>
      <c r="AB183" s="45">
        <f>IFERROR(__xludf.DUMMYFUNCTION("""COMPUTED_VALUE"""),70000.0)</f>
        <v>70000</v>
      </c>
      <c r="AC183" s="7">
        <f>IFERROR(__xludf.DUMMYFUNCTION("""COMPUTED_VALUE"""),205484.0)</f>
        <v>205484</v>
      </c>
      <c r="AD183" s="7" t="str">
        <f>IFERROR(__xludf.DUMMYFUNCTION("""COMPUTED_VALUE"""),"TRF 05-09")</f>
        <v>TRF 05-09</v>
      </c>
      <c r="AE183" s="7" t="str">
        <f>IFERROR(__xludf.DUMMYFUNCTION("""COMPUTED_VALUE"""),"No Corresp")</f>
        <v>No Corresp</v>
      </c>
      <c r="AF183" s="7" t="str">
        <f>IFERROR(__xludf.DUMMYFUNCTION("""COMPUTED_VALUE"""),"SI")</f>
        <v>SI</v>
      </c>
    </row>
    <row r="184">
      <c r="A184" s="42">
        <f>IFERROR(__xludf.DUMMYFUNCTION("""COMPUTED_VALUE"""),45530.63520409723)</f>
        <v>45530.6352</v>
      </c>
      <c r="B184" s="43" t="str">
        <f>IFERROR(__xludf.DUMMYFUNCTION("""COMPUTED_VALUE"""),"Lorenzo Agustín")</f>
        <v>Lorenzo Agustín</v>
      </c>
      <c r="C184" s="43" t="str">
        <f>IFERROR(__xludf.DUMMYFUNCTION("""COMPUTED_VALUE"""),"Luzuriaga")</f>
        <v>Luzuriaga</v>
      </c>
      <c r="D184" s="43" t="str">
        <f>IFERROR(__xludf.DUMMYFUNCTION("""COMPUTED_VALUE"""),"CABA")</f>
        <v>CABA</v>
      </c>
      <c r="E184" s="45" t="str">
        <f>IFERROR(__xludf.DUMMYFUNCTION("""COMPUTED_VALUE"""),"ARG")</f>
        <v>ARG</v>
      </c>
      <c r="F184" s="45">
        <f>IFERROR(__xludf.DUMMYFUNCTION("""COMPUTED_VALUE"""),5.3412958E7)</f>
        <v>53412958</v>
      </c>
      <c r="G184" s="44">
        <f>IFERROR(__xludf.DUMMYFUNCTION("""COMPUTED_VALUE"""),41501.0)</f>
        <v>41501</v>
      </c>
      <c r="H184" s="45">
        <f>IFERROR(__xludf.DUMMYFUNCTION("""COMPUTED_VALUE"""),1.155882998E9)</f>
        <v>1155882998</v>
      </c>
      <c r="I184" s="45">
        <f>IFERROR(__xludf.DUMMYFUNCTION("""COMPUTED_VALUE"""),1.155882998E9)</f>
        <v>1155882998</v>
      </c>
      <c r="J184" s="45" t="str">
        <f>IFERROR(__xludf.DUMMYFUNCTION("""COMPUTED_VALUE"""),"matiasluzuriaga@gmail.com")</f>
        <v>matiasluzuriaga@gmail.com</v>
      </c>
      <c r="K184" s="45" t="str">
        <f>IFERROR(__xludf.DUMMYFUNCTION("""COMPUTED_VALUE"""),"Masculino")</f>
        <v>Masculino</v>
      </c>
      <c r="L184" s="45" t="str">
        <f>IFERROR(__xludf.DUMMYFUNCTION("""COMPUTED_VALUE"""),"CUBA")</f>
        <v>CUBA</v>
      </c>
      <c r="M184" s="45" t="str">
        <f>IFERROR(__xludf.DUMMYFUNCTION("""COMPUTED_VALUE"""),"Optimist Principiantes")</f>
        <v>Optimist Principiantes</v>
      </c>
      <c r="N184" s="7" t="str">
        <f>IFERROR(__xludf.DUMMYFUNCTION("""COMPUTED_VALUE"""),"OPTIMIST PRINCIPIANTES")</f>
        <v>OPTIMIST PRINCIPIANTES</v>
      </c>
      <c r="O184" s="7"/>
      <c r="P184" s="7">
        <f>IFERROR(__xludf.DUMMYFUNCTION("""COMPUTED_VALUE"""),3749.0)</f>
        <v>3749</v>
      </c>
      <c r="Q184" s="45" t="str">
        <f>IFERROR(__xludf.DUMMYFUNCTION("""COMPUTED_VALUE"""),"POLAR")</f>
        <v>POLAR</v>
      </c>
      <c r="R184" s="45" t="str">
        <f>IFERROR(__xludf.DUMMYFUNCTION("""COMPUTED_VALUE"""),"Lorenzo Agustín Luzuriaga")</f>
        <v>Lorenzo Agustín Luzuriaga</v>
      </c>
      <c r="S184" s="45"/>
      <c r="T184" s="45"/>
      <c r="U184" s="45"/>
      <c r="V184" s="45"/>
      <c r="W184" s="45"/>
      <c r="X184" s="47" t="str">
        <f>IFERROR(__xludf.DUMMYFUNCTION("""COMPUTED_VALUE"""),"Accord Salud nº 00649274 020")</f>
        <v>Accord Salud nº 00649274 020</v>
      </c>
      <c r="Y184" s="7" t="str">
        <f>IFERROR(__xludf.DUMMYFUNCTION("""COMPUTED_VALUE"""),"Si")</f>
        <v>Si</v>
      </c>
      <c r="Z184" s="45" t="str">
        <f>IFERROR(__xludf.DUMMYFUNCTION("""COMPUTED_VALUE"""),"Acepto")</f>
        <v>Acepto</v>
      </c>
      <c r="AA184" s="45" t="str">
        <f>IFERROR(__xludf.DUMMYFUNCTION("""COMPUTED_VALUE"""),"Terminado")</f>
        <v>Terminado</v>
      </c>
      <c r="AB184" s="45">
        <f>IFERROR(__xludf.DUMMYFUNCTION("""COMPUTED_VALUE"""),60000.0)</f>
        <v>60000</v>
      </c>
      <c r="AC184" s="7">
        <f>IFERROR(__xludf.DUMMYFUNCTION("""COMPUTED_VALUE"""),205511.0)</f>
        <v>205511</v>
      </c>
      <c r="AD184" s="7" t="str">
        <f>IFERROR(__xludf.DUMMYFUNCTION("""COMPUTED_VALUE"""),"TRF 05-09")</f>
        <v>TRF 05-09</v>
      </c>
      <c r="AE184" s="7" t="str">
        <f>IFERROR(__xludf.DUMMYFUNCTION("""COMPUTED_VALUE"""),"OK")</f>
        <v>OK</v>
      </c>
      <c r="AF184" s="7"/>
    </row>
    <row r="185">
      <c r="A185" s="42">
        <f>IFERROR(__xludf.DUMMYFUNCTION("""COMPUTED_VALUE"""),45538.51196900463)</f>
        <v>45538.51197</v>
      </c>
      <c r="B185" s="43" t="str">
        <f>IFERROR(__xludf.DUMMYFUNCTION("""COMPUTED_VALUE"""),"Fabian")</f>
        <v>Fabian</v>
      </c>
      <c r="C185" s="43" t="str">
        <f>IFERROR(__xludf.DUMMYFUNCTION("""COMPUTED_VALUE"""),"Mac Gowan")</f>
        <v>Mac Gowan</v>
      </c>
      <c r="D185" s="43" t="str">
        <f>IFERROR(__xludf.DUMMYFUNCTION("""COMPUTED_VALUE"""),"Buenas aires")</f>
        <v>Buenas aires</v>
      </c>
      <c r="E185" s="45" t="str">
        <f>IFERROR(__xludf.DUMMYFUNCTION("""COMPUTED_VALUE"""),"ARG")</f>
        <v>ARG</v>
      </c>
      <c r="F185" s="45">
        <f>IFERROR(__xludf.DUMMYFUNCTION("""COMPUTED_VALUE"""),2.0606502E7)</f>
        <v>20606502</v>
      </c>
      <c r="G185" s="44">
        <f>IFERROR(__xludf.DUMMYFUNCTION("""COMPUTED_VALUE"""),25203.0)</f>
        <v>25203</v>
      </c>
      <c r="H185" s="45">
        <f>IFERROR(__xludf.DUMMYFUNCTION("""COMPUTED_VALUE"""),1.144285743E9)</f>
        <v>1144285743</v>
      </c>
      <c r="I185" s="45"/>
      <c r="J185" s="45" t="str">
        <f>IFERROR(__xludf.DUMMYFUNCTION("""COMPUTED_VALUE"""),"Sarexpress12@gmail.com")</f>
        <v>Sarexpress12@gmail.com</v>
      </c>
      <c r="K185" s="45" t="str">
        <f>IFERROR(__xludf.DUMMYFUNCTION("""COMPUTED_VALUE"""),"Masculino")</f>
        <v>Masculino</v>
      </c>
      <c r="L185" s="45" t="str">
        <f>IFERROR(__xludf.DUMMYFUNCTION("""COMPUTED_VALUE"""),"CNSE")</f>
        <v>CNSE</v>
      </c>
      <c r="M185" s="45" t="str">
        <f>IFERROR(__xludf.DUMMYFUNCTION("""COMPUTED_VALUE"""),"Master")</f>
        <v>Master</v>
      </c>
      <c r="N185" s="7" t="str">
        <f>IFERROR(__xludf.DUMMYFUNCTION("""COMPUTED_VALUE"""),"STAR")</f>
        <v>STAR</v>
      </c>
      <c r="O185" s="7"/>
      <c r="P185" s="7">
        <f>IFERROR(__xludf.DUMMYFUNCTION("""COMPUTED_VALUE"""),8008.0)</f>
        <v>8008</v>
      </c>
      <c r="Q185" s="45" t="str">
        <f>IFERROR(__xludf.DUMMYFUNCTION("""COMPUTED_VALUE"""),"NTA")</f>
        <v>NTA</v>
      </c>
      <c r="R185" s="45" t="str">
        <f>IFERROR(__xludf.DUMMYFUNCTION("""COMPUTED_VALUE"""),"Nicolás Rosas")</f>
        <v>Nicolás Rosas</v>
      </c>
      <c r="S185" s="45"/>
      <c r="T185" s="45"/>
      <c r="U185" s="45"/>
      <c r="V185" s="45"/>
      <c r="W185" s="45"/>
      <c r="X185" s="47" t="str">
        <f>IFERROR(__xludf.DUMMYFUNCTION("""COMPUTED_VALUE"""),"OSDE ")</f>
        <v>OSDE </v>
      </c>
      <c r="Y185" s="7" t="str">
        <f>IFERROR(__xludf.DUMMYFUNCTION("""COMPUTED_VALUE"""),"No")</f>
        <v>No</v>
      </c>
      <c r="Z185" s="45" t="str">
        <f>IFERROR(__xludf.DUMMYFUNCTION("""COMPUTED_VALUE"""),"Acepto")</f>
        <v>Acepto</v>
      </c>
      <c r="AA185" s="45" t="str">
        <f>IFERROR(__xludf.DUMMYFUNCTION("""COMPUTED_VALUE"""),"Terminado")</f>
        <v>Terminado</v>
      </c>
      <c r="AB185" s="45">
        <f>IFERROR(__xludf.DUMMYFUNCTION("""COMPUTED_VALUE"""),60000.0)</f>
        <v>60000</v>
      </c>
      <c r="AC185" s="7">
        <f>IFERROR(__xludf.DUMMYFUNCTION("""COMPUTED_VALUE"""),205379.0)</f>
        <v>205379</v>
      </c>
      <c r="AD185" s="7" t="str">
        <f>IFERROR(__xludf.DUMMYFUNCTION("""COMPUTED_VALUE"""),"Tarj 03-09")</f>
        <v>Tarj 03-09</v>
      </c>
      <c r="AE185" s="7" t="str">
        <f>IFERROR(__xludf.DUMMYFUNCTION("""COMPUTED_VALUE"""),"No Corresp")</f>
        <v>No Corresp</v>
      </c>
      <c r="AF185" s="7" t="str">
        <f>IFERROR(__xludf.DUMMYFUNCTION("""COMPUTED_VALUE"""),"Si")</f>
        <v>Si</v>
      </c>
    </row>
    <row r="186">
      <c r="A186" s="42">
        <f>IFERROR(__xludf.DUMMYFUNCTION("""COMPUTED_VALUE"""),45535.70011805555)</f>
        <v>45535.70012</v>
      </c>
      <c r="B186" s="43" t="str">
        <f>IFERROR(__xludf.DUMMYFUNCTION("""COMPUTED_VALUE"""),"Evangelina")</f>
        <v>Evangelina</v>
      </c>
      <c r="C186" s="43" t="str">
        <f>IFERROR(__xludf.DUMMYFUNCTION("""COMPUTED_VALUE"""),"Maeso")</f>
        <v>Maeso</v>
      </c>
      <c r="D186" s="43" t="str">
        <f>IFERROR(__xludf.DUMMYFUNCTION("""COMPUTED_VALUE"""),"Buenos Aires")</f>
        <v>Buenos Aires</v>
      </c>
      <c r="E186" s="45" t="str">
        <f>IFERROR(__xludf.DUMMYFUNCTION("""COMPUTED_VALUE"""),"ARG")</f>
        <v>ARG</v>
      </c>
      <c r="F186" s="45">
        <f>IFERROR(__xludf.DUMMYFUNCTION("""COMPUTED_VALUE"""),5.1069814E7)</f>
        <v>51069814</v>
      </c>
      <c r="G186" s="44">
        <f>IFERROR(__xludf.DUMMYFUNCTION("""COMPUTED_VALUE"""),40635.0)</f>
        <v>40635</v>
      </c>
      <c r="H186" s="45">
        <f>IFERROR(__xludf.DUMMYFUNCTION("""COMPUTED_VALUE"""),1.131501011E9)</f>
        <v>1131501011</v>
      </c>
      <c r="I186" s="45">
        <f>IFERROR(__xludf.DUMMYFUNCTION("""COMPUTED_VALUE"""),1.131501011E9)</f>
        <v>1131501011</v>
      </c>
      <c r="J186" s="45" t="str">
        <f>IFERROR(__xludf.DUMMYFUNCTION("""COMPUTED_VALUE"""),"Emiliastrunz@hotmail.com")</f>
        <v>Emiliastrunz@hotmail.com</v>
      </c>
      <c r="K186" s="45" t="str">
        <f>IFERROR(__xludf.DUMMYFUNCTION("""COMPUTED_VALUE"""),"Femenino")</f>
        <v>Femenino</v>
      </c>
      <c r="L186" s="45" t="str">
        <f>IFERROR(__xludf.DUMMYFUNCTION("""COMPUTED_VALUE"""),"CUBA")</f>
        <v>CUBA</v>
      </c>
      <c r="M186" s="45" t="str">
        <f>IFERROR(__xludf.DUMMYFUNCTION("""COMPUTED_VALUE"""),"Interior (Optimist)")</f>
        <v>Interior (Optimist)</v>
      </c>
      <c r="N186" s="7" t="str">
        <f>IFERROR(__xludf.DUMMYFUNCTION("""COMPUTED_VALUE"""),"OPTIMIST PRINCIPIANTES")</f>
        <v>OPTIMIST PRINCIPIANTES</v>
      </c>
      <c r="O186" s="7"/>
      <c r="P186" s="7">
        <f>IFERROR(__xludf.DUMMYFUNCTION("""COMPUTED_VALUE"""),4091.0)</f>
        <v>4091</v>
      </c>
      <c r="Q186" s="45"/>
      <c r="R186" s="45"/>
      <c r="S186" s="45"/>
      <c r="T186" s="45"/>
      <c r="U186" s="45"/>
      <c r="V186" s="45"/>
      <c r="W186" s="45"/>
      <c r="X186" s="47">
        <f>IFERROR(__xludf.DUMMYFUNCTION("""COMPUTED_VALUE"""),6.1142218103E10)</f>
        <v>61142218103</v>
      </c>
      <c r="Y186" s="7" t="str">
        <f>IFERROR(__xludf.DUMMYFUNCTION("""COMPUTED_VALUE"""),"No")</f>
        <v>No</v>
      </c>
      <c r="Z186" s="45" t="str">
        <f>IFERROR(__xludf.DUMMYFUNCTION("""COMPUTED_VALUE"""),"Acepto")</f>
        <v>Acepto</v>
      </c>
      <c r="AA186" s="45" t="str">
        <f>IFERROR(__xludf.DUMMYFUNCTION("""COMPUTED_VALUE"""),"Terminado")</f>
        <v>Terminado</v>
      </c>
      <c r="AB186" s="45">
        <f>IFERROR(__xludf.DUMMYFUNCTION("""COMPUTED_VALUE"""),50000.0)</f>
        <v>50000</v>
      </c>
      <c r="AC186" s="7">
        <f>IFERROR(__xludf.DUMMYFUNCTION("""COMPUTED_VALUE"""),205366.0)</f>
        <v>205366</v>
      </c>
      <c r="AD186" s="7" t="str">
        <f>IFERROR(__xludf.DUMMYFUNCTION("""COMPUTED_VALUE"""),"TRF 31-08")</f>
        <v>TRF 31-08</v>
      </c>
      <c r="AE186" s="7" t="str">
        <f>IFERROR(__xludf.DUMMYFUNCTION("""COMPUTED_VALUE"""),"OK")</f>
        <v>OK</v>
      </c>
      <c r="AF186" s="7"/>
    </row>
    <row r="187">
      <c r="A187" s="42">
        <f>IFERROR(__xludf.DUMMYFUNCTION("""COMPUTED_VALUE"""),45535.9718328125)</f>
        <v>45535.97183</v>
      </c>
      <c r="B187" s="43" t="str">
        <f>IFERROR(__xludf.DUMMYFUNCTION("""COMPUTED_VALUE"""),"Valentina")</f>
        <v>Valentina</v>
      </c>
      <c r="C187" s="43" t="str">
        <f>IFERROR(__xludf.DUMMYFUNCTION("""COMPUTED_VALUE"""),"Maffei")</f>
        <v>Maffei</v>
      </c>
      <c r="D187" s="43" t="str">
        <f>IFERROR(__xludf.DUMMYFUNCTION("""COMPUTED_VALUE"""),"CABA")</f>
        <v>CABA</v>
      </c>
      <c r="E187" s="45" t="str">
        <f>IFERROR(__xludf.DUMMYFUNCTION("""COMPUTED_VALUE"""),"ARG")</f>
        <v>ARG</v>
      </c>
      <c r="F187" s="45">
        <f>IFERROR(__xludf.DUMMYFUNCTION("""COMPUTED_VALUE"""),5.090323E7)</f>
        <v>50903230</v>
      </c>
      <c r="G187" s="44">
        <f>IFERROR(__xludf.DUMMYFUNCTION("""COMPUTED_VALUE"""),40545.0)</f>
        <v>40545</v>
      </c>
      <c r="H187" s="45">
        <f>IFERROR(__xludf.DUMMYFUNCTION("""COMPUTED_VALUE"""),1.156368464E9)</f>
        <v>1156368464</v>
      </c>
      <c r="I187" s="45">
        <f>IFERROR(__xludf.DUMMYFUNCTION("""COMPUTED_VALUE"""),1.121894757E9)</f>
        <v>1121894757</v>
      </c>
      <c r="J187" s="45" t="str">
        <f>IFERROR(__xludf.DUMMYFUNCTION("""COMPUTED_VALUE"""),"dmemergencias@gmail.com")</f>
        <v>dmemergencias@gmail.com</v>
      </c>
      <c r="K187" s="45" t="str">
        <f>IFERROR(__xludf.DUMMYFUNCTION("""COMPUTED_VALUE"""),"Femenino")</f>
        <v>Femenino</v>
      </c>
      <c r="L187" s="45" t="str">
        <f>IFERROR(__xludf.DUMMYFUNCTION("""COMPUTED_VALUE"""),"CVB")</f>
        <v>CVB</v>
      </c>
      <c r="M187" s="45" t="str">
        <f>IFERROR(__xludf.DUMMYFUNCTION("""COMPUTED_VALUE"""),"Femenino")</f>
        <v>Femenino</v>
      </c>
      <c r="N187" s="7" t="str">
        <f>IFERROR(__xludf.DUMMYFUNCTION("""COMPUTED_VALUE"""),"OPTIMIST TIMONELES")</f>
        <v>OPTIMIST TIMONELES</v>
      </c>
      <c r="O187" s="7"/>
      <c r="P187" s="7">
        <f>IFERROR(__xludf.DUMMYFUNCTION("""COMPUTED_VALUE"""),3643.0)</f>
        <v>3643</v>
      </c>
      <c r="Q187" s="45"/>
      <c r="R187" s="45"/>
      <c r="S187" s="45"/>
      <c r="T187" s="45"/>
      <c r="U187" s="45"/>
      <c r="V187" s="45"/>
      <c r="W187" s="45"/>
      <c r="X187" s="47" t="str">
        <f>IFERROR(__xludf.DUMMYFUNCTION("""COMPUTED_VALUE"""),"MEDICUS")</f>
        <v>MEDICUS</v>
      </c>
      <c r="Y187" s="7" t="str">
        <f>IFERROR(__xludf.DUMMYFUNCTION("""COMPUTED_VALUE"""),"No")</f>
        <v>No</v>
      </c>
      <c r="Z187" s="45" t="str">
        <f>IFERROR(__xludf.DUMMYFUNCTION("""COMPUTED_VALUE"""),"Acepto")</f>
        <v>Acepto</v>
      </c>
      <c r="AA187" s="45" t="str">
        <f>IFERROR(__xludf.DUMMYFUNCTION("""COMPUTED_VALUE"""),"Terminado")</f>
        <v>Terminado</v>
      </c>
      <c r="AB187" s="45">
        <f>IFERROR(__xludf.DUMMYFUNCTION("""COMPUTED_VALUE"""),50000.0)</f>
        <v>50000</v>
      </c>
      <c r="AC187" s="7">
        <f>IFERROR(__xludf.DUMMYFUNCTION("""COMPUTED_VALUE"""),205338.0)</f>
        <v>205338</v>
      </c>
      <c r="AD187" s="7" t="str">
        <f>IFERROR(__xludf.DUMMYFUNCTION("""COMPUTED_VALUE"""),"TRF 31-08")</f>
        <v>TRF 31-08</v>
      </c>
      <c r="AE187" s="7" t="str">
        <f>IFERROR(__xludf.DUMMYFUNCTION("""COMPUTED_VALUE"""),"OK")</f>
        <v>OK</v>
      </c>
      <c r="AF187" s="7" t="str">
        <f>IFERROR(__xludf.DUMMYFUNCTION("""COMPUTED_VALUE"""),"SI")</f>
        <v>SI</v>
      </c>
    </row>
    <row r="188">
      <c r="A188" s="42">
        <f>IFERROR(__xludf.DUMMYFUNCTION("""COMPUTED_VALUE"""),45535.97408208333)</f>
        <v>45535.97408</v>
      </c>
      <c r="B188" s="43" t="str">
        <f>IFERROR(__xludf.DUMMYFUNCTION("""COMPUTED_VALUE"""),"Maria Victoria")</f>
        <v>Maria Victoria</v>
      </c>
      <c r="C188" s="43" t="str">
        <f>IFERROR(__xludf.DUMMYFUNCTION("""COMPUTED_VALUE"""),"Maffei")</f>
        <v>Maffei</v>
      </c>
      <c r="D188" s="43" t="str">
        <f>IFERROR(__xludf.DUMMYFUNCTION("""COMPUTED_VALUE"""),"CABA")</f>
        <v>CABA</v>
      </c>
      <c r="E188" s="45" t="str">
        <f>IFERROR(__xludf.DUMMYFUNCTION("""COMPUTED_VALUE"""),"ARG")</f>
        <v>ARG</v>
      </c>
      <c r="F188" s="45">
        <f>IFERROR(__xludf.DUMMYFUNCTION("""COMPUTED_VALUE"""),5.244015E7)</f>
        <v>52440150</v>
      </c>
      <c r="G188" s="44">
        <f>IFERROR(__xludf.DUMMYFUNCTION("""COMPUTED_VALUE"""),41011.0)</f>
        <v>41011</v>
      </c>
      <c r="H188" s="45">
        <f>IFERROR(__xludf.DUMMYFUNCTION("""COMPUTED_VALUE"""),1.153638464E9)</f>
        <v>1153638464</v>
      </c>
      <c r="I188" s="45">
        <f>IFERROR(__xludf.DUMMYFUNCTION("""COMPUTED_VALUE"""),1.121894758E9)</f>
        <v>1121894758</v>
      </c>
      <c r="J188" s="45" t="str">
        <f>IFERROR(__xludf.DUMMYFUNCTION("""COMPUTED_VALUE"""),"dmemergencias@gmail.com")</f>
        <v>dmemergencias@gmail.com</v>
      </c>
      <c r="K188" s="45" t="str">
        <f>IFERROR(__xludf.DUMMYFUNCTION("""COMPUTED_VALUE"""),"Femenino")</f>
        <v>Femenino</v>
      </c>
      <c r="L188" s="45" t="str">
        <f>IFERROR(__xludf.DUMMYFUNCTION("""COMPUTED_VALUE"""),"CVB")</f>
        <v>CVB</v>
      </c>
      <c r="M188" s="45" t="str">
        <f>IFERROR(__xludf.DUMMYFUNCTION("""COMPUTED_VALUE"""),"Femenino")</f>
        <v>Femenino</v>
      </c>
      <c r="N188" s="7" t="str">
        <f>IFERROR(__xludf.DUMMYFUNCTION("""COMPUTED_VALUE"""),"OPTIMIST PRINCIPIANTES")</f>
        <v>OPTIMIST PRINCIPIANTES</v>
      </c>
      <c r="O188" s="7"/>
      <c r="P188" s="7">
        <f>IFERROR(__xludf.DUMMYFUNCTION("""COMPUTED_VALUE"""),3950.0)</f>
        <v>3950</v>
      </c>
      <c r="Q188" s="45"/>
      <c r="R188" s="45"/>
      <c r="S188" s="45"/>
      <c r="T188" s="45"/>
      <c r="U188" s="45"/>
      <c r="V188" s="45"/>
      <c r="W188" s="45"/>
      <c r="X188" s="47" t="str">
        <f>IFERROR(__xludf.DUMMYFUNCTION("""COMPUTED_VALUE"""),"MEDICUS")</f>
        <v>MEDICUS</v>
      </c>
      <c r="Y188" s="7" t="str">
        <f>IFERROR(__xludf.DUMMYFUNCTION("""COMPUTED_VALUE"""),"No")</f>
        <v>No</v>
      </c>
      <c r="Z188" s="45" t="str">
        <f>IFERROR(__xludf.DUMMYFUNCTION("""COMPUTED_VALUE"""),"Acepto")</f>
        <v>Acepto</v>
      </c>
      <c r="AA188" s="45" t="str">
        <f>IFERROR(__xludf.DUMMYFUNCTION("""COMPUTED_VALUE"""),"Terminado")</f>
        <v>Terminado</v>
      </c>
      <c r="AB188" s="45">
        <f>IFERROR(__xludf.DUMMYFUNCTION("""COMPUTED_VALUE"""),50000.0)</f>
        <v>50000</v>
      </c>
      <c r="AC188" s="7">
        <f>IFERROR(__xludf.DUMMYFUNCTION("""COMPUTED_VALUE"""),205339.0)</f>
        <v>205339</v>
      </c>
      <c r="AD188" s="7" t="str">
        <f>IFERROR(__xludf.DUMMYFUNCTION("""COMPUTED_VALUE"""),"TRF 31-08")</f>
        <v>TRF 31-08</v>
      </c>
      <c r="AE188" s="7" t="str">
        <f>IFERROR(__xludf.DUMMYFUNCTION("""COMPUTED_VALUE"""),"OK")</f>
        <v>OK</v>
      </c>
      <c r="AF188" s="7" t="str">
        <f>IFERROR(__xludf.DUMMYFUNCTION("""COMPUTED_VALUE"""),"SI")</f>
        <v>SI</v>
      </c>
    </row>
    <row r="189">
      <c r="A189" s="42">
        <f>IFERROR(__xludf.DUMMYFUNCTION("""COMPUTED_VALUE"""),45538.58772112268)</f>
        <v>45538.58772</v>
      </c>
      <c r="B189" s="43" t="str">
        <f>IFERROR(__xludf.DUMMYFUNCTION("""COMPUTED_VALUE"""),"Horacio ")</f>
        <v>Horacio </v>
      </c>
      <c r="C189" s="43" t="str">
        <f>IFERROR(__xludf.DUMMYFUNCTION("""COMPUTED_VALUE"""),"Maffei")</f>
        <v>Maffei</v>
      </c>
      <c r="D189" s="43" t="str">
        <f>IFERROR(__xludf.DUMMYFUNCTION("""COMPUTED_VALUE"""),"El Palomar")</f>
        <v>El Palomar</v>
      </c>
      <c r="E189" s="45" t="str">
        <f>IFERROR(__xludf.DUMMYFUNCTION("""COMPUTED_VALUE"""),"ARG")</f>
        <v>ARG</v>
      </c>
      <c r="F189" s="45">
        <f>IFERROR(__xludf.DUMMYFUNCTION("""COMPUTED_VALUE"""),1.1684869E7)</f>
        <v>11684869</v>
      </c>
      <c r="G189" s="44">
        <f>IFERROR(__xludf.DUMMYFUNCTION("""COMPUTED_VALUE"""),20313.0)</f>
        <v>20313</v>
      </c>
      <c r="H189" s="45">
        <f>IFERROR(__xludf.DUMMYFUNCTION("""COMPUTED_VALUE"""),1.151631122E9)</f>
        <v>1151631122</v>
      </c>
      <c r="I189" s="45">
        <f>IFERROR(__xludf.DUMMYFUNCTION("""COMPUTED_VALUE"""),1.166455365E9)</f>
        <v>1166455365</v>
      </c>
      <c r="J189" s="45" t="str">
        <f>IFERROR(__xludf.DUMMYFUNCTION("""COMPUTED_VALUE"""),"hamaffei@hotmail.com")</f>
        <v>hamaffei@hotmail.com</v>
      </c>
      <c r="K189" s="45" t="str">
        <f>IFERROR(__xludf.DUMMYFUNCTION("""COMPUTED_VALUE"""),"Masculino")</f>
        <v>Masculino</v>
      </c>
      <c r="L189" s="45" t="str">
        <f>IFERROR(__xludf.DUMMYFUNCTION("""COMPUTED_VALUE"""),"CPNLB")</f>
        <v>CPNLB</v>
      </c>
      <c r="M189" s="45"/>
      <c r="N189" s="7" t="str">
        <f>IFERROR(__xludf.DUMMYFUNCTION("""COMPUTED_VALUE"""),"GRUMETE")</f>
        <v>GRUMETE</v>
      </c>
      <c r="O189" s="7"/>
      <c r="P189" s="7">
        <f>IFERROR(__xludf.DUMMYFUNCTION("""COMPUTED_VALUE"""),302.0)</f>
        <v>302</v>
      </c>
      <c r="Q189" s="45" t="str">
        <f>IFERROR(__xludf.DUMMYFUNCTION("""COMPUTED_VALUE"""),"MI VIEJO")</f>
        <v>MI VIEJO</v>
      </c>
      <c r="R189" s="45" t="str">
        <f>IFERROR(__xludf.DUMMYFUNCTION("""COMPUTED_VALUE"""),"Fernando Rizzo")</f>
        <v>Fernando Rizzo</v>
      </c>
      <c r="S189" s="45" t="str">
        <f>IFERROR(__xludf.DUMMYFUNCTION("""COMPUTED_VALUE"""),"Ignacio Stella")</f>
        <v>Ignacio Stella</v>
      </c>
      <c r="T189" s="45"/>
      <c r="U189" s="45"/>
      <c r="V189" s="45"/>
      <c r="W189" s="45"/>
      <c r="X189" s="47"/>
      <c r="Y189" s="7" t="str">
        <f>IFERROR(__xludf.DUMMYFUNCTION("""COMPUTED_VALUE"""),"No")</f>
        <v>No</v>
      </c>
      <c r="Z189" s="45" t="str">
        <f>IFERROR(__xludf.DUMMYFUNCTION("""COMPUTED_VALUE"""),"Acepto")</f>
        <v>Acepto</v>
      </c>
      <c r="AA189" s="45" t="str">
        <f>IFERROR(__xludf.DUMMYFUNCTION("""COMPUTED_VALUE"""),"Terminado")</f>
        <v>Terminado</v>
      </c>
      <c r="AB189" s="45">
        <f>IFERROR(__xludf.DUMMYFUNCTION("""COMPUTED_VALUE"""),50000.0)</f>
        <v>50000</v>
      </c>
      <c r="AC189" s="7">
        <f>IFERROR(__xludf.DUMMYFUNCTION("""COMPUTED_VALUE"""),205507.0)</f>
        <v>205507</v>
      </c>
      <c r="AD189" s="7" t="str">
        <f>IFERROR(__xludf.DUMMYFUNCTION("""COMPUTED_VALUE"""),"TRF 05-09")</f>
        <v>TRF 05-09</v>
      </c>
      <c r="AE189" s="7" t="str">
        <f>IFERROR(__xludf.DUMMYFUNCTION("""COMPUTED_VALUE"""),"No Corresp")</f>
        <v>No Corresp</v>
      </c>
      <c r="AF189" s="7"/>
    </row>
    <row r="190">
      <c r="A190" s="42">
        <f>IFERROR(__xludf.DUMMYFUNCTION("""COMPUTED_VALUE"""),45538.80878018518)</f>
        <v>45538.80878</v>
      </c>
      <c r="B190" s="43" t="str">
        <f>IFERROR(__xludf.DUMMYFUNCTION("""COMPUTED_VALUE"""),"Constantino")</f>
        <v>Constantino</v>
      </c>
      <c r="C190" s="43" t="str">
        <f>IFERROR(__xludf.DUMMYFUNCTION("""COMPUTED_VALUE"""),"Maffei")</f>
        <v>Maffei</v>
      </c>
      <c r="D190" s="43" t="str">
        <f>IFERROR(__xludf.DUMMYFUNCTION("""COMPUTED_VALUE"""),"Buenos Aires")</f>
        <v>Buenos Aires</v>
      </c>
      <c r="E190" s="45" t="str">
        <f>IFERROR(__xludf.DUMMYFUNCTION("""COMPUTED_VALUE"""),"ARG")</f>
        <v>ARG</v>
      </c>
      <c r="F190" s="45">
        <f>IFERROR(__xludf.DUMMYFUNCTION("""COMPUTED_VALUE"""),5.1157369E7)</f>
        <v>51157369</v>
      </c>
      <c r="G190" s="44">
        <f>IFERROR(__xludf.DUMMYFUNCTION("""COMPUTED_VALUE"""),40725.0)</f>
        <v>40725</v>
      </c>
      <c r="H190" s="45">
        <f>IFERROR(__xludf.DUMMYFUNCTION("""COMPUTED_VALUE"""),1.159763843E9)</f>
        <v>1159763843</v>
      </c>
      <c r="I190" s="45">
        <f>IFERROR(__xludf.DUMMYFUNCTION("""COMPUTED_VALUE"""),1.1512611E9)</f>
        <v>1151261100</v>
      </c>
      <c r="J190" s="45" t="str">
        <f>IFERROR(__xludf.DUMMYFUNCTION("""COMPUTED_VALUE"""),"carinafarinelli@hotmail.com")</f>
        <v>carinafarinelli@hotmail.com</v>
      </c>
      <c r="K190" s="45" t="str">
        <f>IFERROR(__xludf.DUMMYFUNCTION("""COMPUTED_VALUE"""),"Masculino")</f>
        <v>Masculino</v>
      </c>
      <c r="L190" s="45" t="str">
        <f>IFERROR(__xludf.DUMMYFUNCTION("""COMPUTED_VALUE"""),"CPNLB")</f>
        <v>CPNLB</v>
      </c>
      <c r="M190" s="45"/>
      <c r="N190" s="7" t="str">
        <f>IFERROR(__xludf.DUMMYFUNCTION("""COMPUTED_VALUE"""),"OPTIMIST TIMONELES")</f>
        <v>OPTIMIST TIMONELES</v>
      </c>
      <c r="O190" s="7"/>
      <c r="P190" s="7">
        <f>IFERROR(__xludf.DUMMYFUNCTION("""COMPUTED_VALUE"""),4047.0)</f>
        <v>4047</v>
      </c>
      <c r="Q190" s="45" t="str">
        <f>IFERROR(__xludf.DUMMYFUNCTION("""COMPUTED_VALUE"""),"Demoledor ")</f>
        <v>Demoledor </v>
      </c>
      <c r="R190" s="45"/>
      <c r="S190" s="45"/>
      <c r="T190" s="45"/>
      <c r="U190" s="45"/>
      <c r="V190" s="45"/>
      <c r="W190" s="45"/>
      <c r="X190" s="47" t="str">
        <f>IFERROR(__xludf.DUMMYFUNCTION("""COMPUTED_VALUE"""),"OSDE 310")</f>
        <v>OSDE 310</v>
      </c>
      <c r="Y190" s="7" t="str">
        <f>IFERROR(__xludf.DUMMYFUNCTION("""COMPUTED_VALUE"""),"Si")</f>
        <v>Si</v>
      </c>
      <c r="Z190" s="45" t="str">
        <f>IFERROR(__xludf.DUMMYFUNCTION("""COMPUTED_VALUE"""),"Acepto")</f>
        <v>Acepto</v>
      </c>
      <c r="AA190" s="45" t="str">
        <f>IFERROR(__xludf.DUMMYFUNCTION("""COMPUTED_VALUE"""),"Terminado")</f>
        <v>Terminado</v>
      </c>
      <c r="AB190" s="45">
        <f>IFERROR(__xludf.DUMMYFUNCTION("""COMPUTED_VALUE"""),50000.0)</f>
        <v>50000</v>
      </c>
      <c r="AC190" s="7">
        <f>IFERROR(__xludf.DUMMYFUNCTION("""COMPUTED_VALUE"""),205569.0)</f>
        <v>205569</v>
      </c>
      <c r="AD190" s="7" t="str">
        <f>IFERROR(__xludf.DUMMYFUNCTION("""COMPUTED_VALUE"""),"TRF 07-09")</f>
        <v>TRF 07-09</v>
      </c>
      <c r="AE190" s="7" t="str">
        <f>IFERROR(__xludf.DUMMYFUNCTION("""COMPUTED_VALUE"""),"OK")</f>
        <v>OK</v>
      </c>
      <c r="AF190" s="7" t="str">
        <f>IFERROR(__xludf.DUMMYFUNCTION("""COMPUTED_VALUE"""),"SI")</f>
        <v>SI</v>
      </c>
    </row>
    <row r="191">
      <c r="A191" s="42">
        <f>IFERROR(__xludf.DUMMYFUNCTION("""COMPUTED_VALUE"""),45538.81068623843)</f>
        <v>45538.81069</v>
      </c>
      <c r="B191" s="43" t="str">
        <f>IFERROR(__xludf.DUMMYFUNCTION("""COMPUTED_VALUE"""),"Francesco")</f>
        <v>Francesco</v>
      </c>
      <c r="C191" s="43" t="str">
        <f>IFERROR(__xludf.DUMMYFUNCTION("""COMPUTED_VALUE"""),"Maffei")</f>
        <v>Maffei</v>
      </c>
      <c r="D191" s="43" t="str">
        <f>IFERROR(__xludf.DUMMYFUNCTION("""COMPUTED_VALUE"""),"Buenos Aires")</f>
        <v>Buenos Aires</v>
      </c>
      <c r="E191" s="45" t="str">
        <f>IFERROR(__xludf.DUMMYFUNCTION("""COMPUTED_VALUE"""),"ARG")</f>
        <v>ARG</v>
      </c>
      <c r="F191" s="45">
        <f>IFERROR(__xludf.DUMMYFUNCTION("""COMPUTED_VALUE"""),5.4055585E7)</f>
        <v>54055585</v>
      </c>
      <c r="G191" s="44">
        <f>IFERROR(__xludf.DUMMYFUNCTION("""COMPUTED_VALUE"""),41801.0)</f>
        <v>41801</v>
      </c>
      <c r="H191" s="45">
        <f>IFERROR(__xludf.DUMMYFUNCTION("""COMPUTED_VALUE"""),1.159763843E9)</f>
        <v>1159763843</v>
      </c>
      <c r="I191" s="45">
        <f>IFERROR(__xludf.DUMMYFUNCTION("""COMPUTED_VALUE"""),1.1512611E9)</f>
        <v>1151261100</v>
      </c>
      <c r="J191" s="45" t="str">
        <f>IFERROR(__xludf.DUMMYFUNCTION("""COMPUTED_VALUE"""),"carinafarinelli@hotmail.com")</f>
        <v>carinafarinelli@hotmail.com</v>
      </c>
      <c r="K191" s="45" t="str">
        <f>IFERROR(__xludf.DUMMYFUNCTION("""COMPUTED_VALUE"""),"Masculino")</f>
        <v>Masculino</v>
      </c>
      <c r="L191" s="45" t="str">
        <f>IFERROR(__xludf.DUMMYFUNCTION("""COMPUTED_VALUE"""),"CPNLB")</f>
        <v>CPNLB</v>
      </c>
      <c r="M191" s="45" t="str">
        <f>IFERROR(__xludf.DUMMYFUNCTION("""COMPUTED_VALUE"""),"Sub 12")</f>
        <v>Sub 12</v>
      </c>
      <c r="N191" s="7" t="str">
        <f>IFERROR(__xludf.DUMMYFUNCTION("""COMPUTED_VALUE"""),"OPTIMIST PRINCIPIANTES")</f>
        <v>OPTIMIST PRINCIPIANTES</v>
      </c>
      <c r="O191" s="7"/>
      <c r="P191" s="7">
        <f>IFERROR(__xludf.DUMMYFUNCTION("""COMPUTED_VALUE"""),3602.0)</f>
        <v>3602</v>
      </c>
      <c r="Q191" s="45" t="str">
        <f>IFERROR(__xludf.DUMMYFUNCTION("""COMPUTED_VALUE"""),"Phoenixheart")</f>
        <v>Phoenixheart</v>
      </c>
      <c r="R191" s="45"/>
      <c r="S191" s="45"/>
      <c r="T191" s="45"/>
      <c r="U191" s="45"/>
      <c r="V191" s="45"/>
      <c r="W191" s="45"/>
      <c r="X191" s="47" t="str">
        <f>IFERROR(__xludf.DUMMYFUNCTION("""COMPUTED_VALUE"""),"OSDE 310")</f>
        <v>OSDE 310</v>
      </c>
      <c r="Y191" s="7" t="str">
        <f>IFERROR(__xludf.DUMMYFUNCTION("""COMPUTED_VALUE"""),"Si")</f>
        <v>Si</v>
      </c>
      <c r="Z191" s="45" t="str">
        <f>IFERROR(__xludf.DUMMYFUNCTION("""COMPUTED_VALUE"""),"Acepto")</f>
        <v>Acepto</v>
      </c>
      <c r="AA191" s="45" t="str">
        <f>IFERROR(__xludf.DUMMYFUNCTION("""COMPUTED_VALUE"""),"Terminado")</f>
        <v>Terminado</v>
      </c>
      <c r="AB191" s="45">
        <f>IFERROR(__xludf.DUMMYFUNCTION("""COMPUTED_VALUE"""),50000.0)</f>
        <v>50000</v>
      </c>
      <c r="AC191" s="7">
        <f>IFERROR(__xludf.DUMMYFUNCTION("""COMPUTED_VALUE"""),205571.0)</f>
        <v>205571</v>
      </c>
      <c r="AD191" s="7" t="str">
        <f>IFERROR(__xludf.DUMMYFUNCTION("""COMPUTED_VALUE"""),"TRF 07-09")</f>
        <v>TRF 07-09</v>
      </c>
      <c r="AE191" s="7" t="str">
        <f>IFERROR(__xludf.DUMMYFUNCTION("""COMPUTED_VALUE"""),"OK")</f>
        <v>OK</v>
      </c>
      <c r="AF191" s="7" t="str">
        <f>IFERROR(__xludf.DUMMYFUNCTION("""COMPUTED_VALUE"""),"SI")</f>
        <v>SI</v>
      </c>
    </row>
    <row r="192">
      <c r="A192" s="42">
        <f>IFERROR(__xludf.DUMMYFUNCTION("""COMPUTED_VALUE"""),45538.74099226852)</f>
        <v>45538.74099</v>
      </c>
      <c r="B192" s="43" t="str">
        <f>IFERROR(__xludf.DUMMYFUNCTION("""COMPUTED_VALUE"""),"FEDERICO EDUARDO")</f>
        <v>FEDERICO EDUARDO</v>
      </c>
      <c r="C192" s="43" t="str">
        <f>IFERROR(__xludf.DUMMYFUNCTION("""COMPUTED_VALUE"""),"MAINERO")</f>
        <v>MAINERO</v>
      </c>
      <c r="D192" s="43" t="str">
        <f>IFERROR(__xludf.DUMMYFUNCTION("""COMPUTED_VALUE"""),"BUENOS AIRES")</f>
        <v>BUENOS AIRES</v>
      </c>
      <c r="E192" s="45" t="str">
        <f>IFERROR(__xludf.DUMMYFUNCTION("""COMPUTED_VALUE"""),"ARG")</f>
        <v>ARG</v>
      </c>
      <c r="F192" s="45">
        <f>IFERROR(__xludf.DUMMYFUNCTION("""COMPUTED_VALUE"""),5.244863E7)</f>
        <v>52448630</v>
      </c>
      <c r="G192" s="44">
        <f>IFERROR(__xludf.DUMMYFUNCTION("""COMPUTED_VALUE"""),41049.0)</f>
        <v>41049</v>
      </c>
      <c r="H192" s="45">
        <f>IFERROR(__xludf.DUMMYFUNCTION("""COMPUTED_VALUE"""),1.149924264E9)</f>
        <v>1149924264</v>
      </c>
      <c r="I192" s="45">
        <f>IFERROR(__xludf.DUMMYFUNCTION("""COMPUTED_VALUE"""),1.16192989E9)</f>
        <v>1161929890</v>
      </c>
      <c r="J192" s="45" t="str">
        <f>IFERROR(__xludf.DUMMYFUNCTION("""COMPUTED_VALUE"""),"info@mainerowicht.com.ar")</f>
        <v>info@mainerowicht.com.ar</v>
      </c>
      <c r="K192" s="45" t="str">
        <f>IFERROR(__xludf.DUMMYFUNCTION("""COMPUTED_VALUE"""),"Masculino")</f>
        <v>Masculino</v>
      </c>
      <c r="L192" s="45" t="str">
        <f>IFERROR(__xludf.DUMMYFUNCTION("""COMPUTED_VALUE"""),"YCCN")</f>
        <v>YCCN</v>
      </c>
      <c r="M192" s="45"/>
      <c r="N192" s="7" t="str">
        <f>IFERROR(__xludf.DUMMYFUNCTION("""COMPUTED_VALUE"""),"OPTIMIST TIMONELES")</f>
        <v>OPTIMIST TIMONELES</v>
      </c>
      <c r="O192" s="7"/>
      <c r="P192" s="7">
        <f>IFERROR(__xludf.DUMMYFUNCTION("""COMPUTED_VALUE"""),3968.0)</f>
        <v>3968</v>
      </c>
      <c r="Q192" s="45"/>
      <c r="R192" s="45"/>
      <c r="S192" s="45"/>
      <c r="T192" s="45"/>
      <c r="U192" s="45"/>
      <c r="V192" s="45"/>
      <c r="W192" s="45"/>
      <c r="X192" s="47" t="str">
        <f>IFERROR(__xludf.DUMMYFUNCTION("""COMPUTED_VALUE"""),"OMINT")</f>
        <v>OMINT</v>
      </c>
      <c r="Y192" s="7" t="str">
        <f>IFERROR(__xludf.DUMMYFUNCTION("""COMPUTED_VALUE"""),"No")</f>
        <v>No</v>
      </c>
      <c r="Z192" s="45" t="str">
        <f>IFERROR(__xludf.DUMMYFUNCTION("""COMPUTED_VALUE"""),"Acepto")</f>
        <v>Acepto</v>
      </c>
      <c r="AA192" s="45" t="str">
        <f>IFERROR(__xludf.DUMMYFUNCTION("""COMPUTED_VALUE"""),"Terminado")</f>
        <v>Terminado</v>
      </c>
      <c r="AB192" s="45">
        <f>IFERROR(__xludf.DUMMYFUNCTION("""COMPUTED_VALUE"""),50000.0)</f>
        <v>50000</v>
      </c>
      <c r="AC192" s="7">
        <f>IFERROR(__xludf.DUMMYFUNCTION("""COMPUTED_VALUE"""),205418.0)</f>
        <v>205418</v>
      </c>
      <c r="AD192" s="7" t="str">
        <f>IFERROR(__xludf.DUMMYFUNCTION("""COMPUTED_VALUE"""),"TRF 03-09")</f>
        <v>TRF 03-09</v>
      </c>
      <c r="AE192" s="7" t="str">
        <f>IFERROR(__xludf.DUMMYFUNCTION("""COMPUTED_VALUE"""),"OK")</f>
        <v>OK</v>
      </c>
      <c r="AF192" s="7"/>
    </row>
    <row r="193">
      <c r="A193" s="42">
        <f>IFERROR(__xludf.DUMMYFUNCTION("""COMPUTED_VALUE"""),45523.60120644676)</f>
        <v>45523.60121</v>
      </c>
      <c r="B193" s="43" t="str">
        <f>IFERROR(__xludf.DUMMYFUNCTION("""COMPUTED_VALUE"""),"David Orlando ")</f>
        <v>David Orlando </v>
      </c>
      <c r="C193" s="43" t="str">
        <f>IFERROR(__xludf.DUMMYFUNCTION("""COMPUTED_VALUE"""),"Mancini ")</f>
        <v>Mancini </v>
      </c>
      <c r="D193" s="43" t="str">
        <f>IFERROR(__xludf.DUMMYFUNCTION("""COMPUTED_VALUE"""),"Viedma")</f>
        <v>Viedma</v>
      </c>
      <c r="E193" s="45" t="str">
        <f>IFERROR(__xludf.DUMMYFUNCTION("""COMPUTED_VALUE"""),"ARG")</f>
        <v>ARG</v>
      </c>
      <c r="F193" s="45">
        <f>IFERROR(__xludf.DUMMYFUNCTION("""COMPUTED_VALUE"""),2.8144761E7)</f>
        <v>28144761</v>
      </c>
      <c r="G193" s="44">
        <f>IFERROR(__xludf.DUMMYFUNCTION("""COMPUTED_VALUE"""),29366.0)</f>
        <v>29366</v>
      </c>
      <c r="H193" s="45">
        <f>IFERROR(__xludf.DUMMYFUNCTION("""COMPUTED_VALUE"""),2.920475364E9)</f>
        <v>2920475364</v>
      </c>
      <c r="I193" s="45">
        <f>IFERROR(__xludf.DUMMYFUNCTION("""COMPUTED_VALUE"""),2.920521738E9)</f>
        <v>2920521738</v>
      </c>
      <c r="J193" s="45" t="str">
        <f>IFERROR(__xludf.DUMMYFUNCTION("""COMPUTED_VALUE"""),"mancinidav8025@gmail.com")</f>
        <v>mancinidav8025@gmail.com</v>
      </c>
      <c r="K193" s="45" t="str">
        <f>IFERROR(__xludf.DUMMYFUNCTION("""COMPUTED_VALUE"""),"Masculino")</f>
        <v>Masculino</v>
      </c>
      <c r="L193" s="45" t="str">
        <f>IFERROR(__xludf.DUMMYFUNCTION("""COMPUTED_VALUE"""),"Club náutico La Ribera ")</f>
        <v>Club náutico La Ribera </v>
      </c>
      <c r="M193" s="45" t="str">
        <f>IFERROR(__xludf.DUMMYFUNCTION("""COMPUTED_VALUE"""),"Pampero ")</f>
        <v>Pampero </v>
      </c>
      <c r="N193" s="7" t="str">
        <f>IFERROR(__xludf.DUMMYFUNCTION("""COMPUTED_VALUE"""),"PAMPERO")</f>
        <v>PAMPERO</v>
      </c>
      <c r="O193" s="7"/>
      <c r="P193" s="7">
        <f>IFERROR(__xludf.DUMMYFUNCTION("""COMPUTED_VALUE"""),2430.0)</f>
        <v>2430</v>
      </c>
      <c r="Q193" s="45" t="str">
        <f>IFERROR(__xludf.DUMMYFUNCTION("""COMPUTED_VALUE"""),"Poseidon ")</f>
        <v>Poseidon </v>
      </c>
      <c r="R193" s="45" t="str">
        <f>IFERROR(__xludf.DUMMYFUNCTION("""COMPUTED_VALUE"""),"Mancini David ")</f>
        <v>Mancini David </v>
      </c>
      <c r="S193" s="45" t="str">
        <f>IFERROR(__xludf.DUMMYFUNCTION("""COMPUTED_VALUE"""),"Guevara Federico ")</f>
        <v>Guevara Federico </v>
      </c>
      <c r="T193" s="45"/>
      <c r="U193" s="45"/>
      <c r="V193" s="45"/>
      <c r="W193" s="45"/>
      <c r="X193" s="47" t="str">
        <f>IFERROR(__xludf.DUMMYFUNCTION("""COMPUTED_VALUE"""),"Ipross")</f>
        <v>Ipross</v>
      </c>
      <c r="Y193" s="7" t="str">
        <f>IFERROR(__xludf.DUMMYFUNCTION("""COMPUTED_VALUE"""),"Si")</f>
        <v>Si</v>
      </c>
      <c r="Z193" s="45" t="str">
        <f>IFERROR(__xludf.DUMMYFUNCTION("""COMPUTED_VALUE"""),"Acepto")</f>
        <v>Acepto</v>
      </c>
      <c r="AA193" s="45" t="str">
        <f>IFERROR(__xludf.DUMMYFUNCTION("""COMPUTED_VALUE"""),"Terminado")</f>
        <v>Terminado</v>
      </c>
      <c r="AB193" s="45">
        <f>IFERROR(__xludf.DUMMYFUNCTION("""COMPUTED_VALUE"""),60000.0)</f>
        <v>60000</v>
      </c>
      <c r="AC193" s="7">
        <f>IFERROR(__xludf.DUMMYFUNCTION("""COMPUTED_VALUE"""),205035.0)</f>
        <v>205035</v>
      </c>
      <c r="AD193" s="7" t="str">
        <f>IFERROR(__xludf.DUMMYFUNCTION("""COMPUTED_VALUE"""),"TRF 21-08")</f>
        <v>TRF 21-08</v>
      </c>
      <c r="AE193" s="7" t="str">
        <f>IFERROR(__xludf.DUMMYFUNCTION("""COMPUTED_VALUE"""),"No Corresp")</f>
        <v>No Corresp</v>
      </c>
      <c r="AF193" s="7" t="str">
        <f>IFERROR(__xludf.DUMMYFUNCTION("""COMPUTED_VALUE"""),"Si")</f>
        <v>Si</v>
      </c>
    </row>
    <row r="194">
      <c r="A194" s="42">
        <f>IFERROR(__xludf.DUMMYFUNCTION("""COMPUTED_VALUE"""),45533.836279375)</f>
        <v>45533.83628</v>
      </c>
      <c r="B194" s="43" t="str">
        <f>IFERROR(__xludf.DUMMYFUNCTION("""COMPUTED_VALUE"""),"Nicolás María ")</f>
        <v>Nicolás María </v>
      </c>
      <c r="C194" s="43" t="str">
        <f>IFERROR(__xludf.DUMMYFUNCTION("""COMPUTED_VALUE"""),"Marchegiani ")</f>
        <v>Marchegiani </v>
      </c>
      <c r="D194" s="43" t="str">
        <f>IFERROR(__xludf.DUMMYFUNCTION("""COMPUTED_VALUE"""),"Caba")</f>
        <v>Caba</v>
      </c>
      <c r="E194" s="45" t="str">
        <f>IFERROR(__xludf.DUMMYFUNCTION("""COMPUTED_VALUE"""),"ARG")</f>
        <v>ARG</v>
      </c>
      <c r="F194" s="45">
        <f>IFERROR(__xludf.DUMMYFUNCTION("""COMPUTED_VALUE"""),5.2445954E7)</f>
        <v>52445954</v>
      </c>
      <c r="G194" s="44">
        <f>IFERROR(__xludf.DUMMYFUNCTION("""COMPUTED_VALUE"""),41017.0)</f>
        <v>41017</v>
      </c>
      <c r="H194" s="45">
        <f>IFERROR(__xludf.DUMMYFUNCTION("""COMPUTED_VALUE"""),1.131991095E9)</f>
        <v>1131991095</v>
      </c>
      <c r="I194" s="45" t="str">
        <f>IFERROR(__xludf.DUMMYFUNCTION("""COMPUTED_VALUE"""),"+54 9 11 5601-3069")</f>
        <v>+54 9 11 5601-3069</v>
      </c>
      <c r="J194" s="45" t="str">
        <f>IFERROR(__xludf.DUMMYFUNCTION("""COMPUTED_VALUE"""),"emarchegiani@outlook.com")</f>
        <v>emarchegiani@outlook.com</v>
      </c>
      <c r="K194" s="45" t="str">
        <f>IFERROR(__xludf.DUMMYFUNCTION("""COMPUTED_VALUE"""),"Masculino")</f>
        <v>Masculino</v>
      </c>
      <c r="L194" s="45" t="str">
        <f>IFERROR(__xludf.DUMMYFUNCTION("""COMPUTED_VALUE"""),"YCA")</f>
        <v>YCA</v>
      </c>
      <c r="M194" s="45"/>
      <c r="N194" s="7" t="str">
        <f>IFERROR(__xludf.DUMMYFUNCTION("""COMPUTED_VALUE"""),"OPTIMIST PRINCIPIANTES")</f>
        <v>OPTIMIST PRINCIPIANTES</v>
      </c>
      <c r="O194" s="7"/>
      <c r="P194" s="7">
        <f>IFERROR(__xludf.DUMMYFUNCTION("""COMPUTED_VALUE"""),3820.0)</f>
        <v>3820</v>
      </c>
      <c r="Q194" s="45" t="str">
        <f>IFERROR(__xludf.DUMMYFUNCTION("""COMPUTED_VALUE"""),"Veloce")</f>
        <v>Veloce</v>
      </c>
      <c r="R194" s="45"/>
      <c r="S194" s="45"/>
      <c r="T194" s="45"/>
      <c r="U194" s="45"/>
      <c r="V194" s="45"/>
      <c r="W194" s="45"/>
      <c r="X194" s="47" t="str">
        <f>IFERROR(__xludf.DUMMYFUNCTION("""COMPUTED_VALUE"""),"Plan Médico H.Aleman 530204942503 5 OI")</f>
        <v>Plan Médico H.Aleman 530204942503 5 OI</v>
      </c>
      <c r="Y194" s="7" t="str">
        <f>IFERROR(__xludf.DUMMYFUNCTION("""COMPUTED_VALUE"""),"No")</f>
        <v>No</v>
      </c>
      <c r="Z194" s="45" t="str">
        <f>IFERROR(__xludf.DUMMYFUNCTION("""COMPUTED_VALUE"""),"Acepto")</f>
        <v>Acepto</v>
      </c>
      <c r="AA194" s="45" t="str">
        <f>IFERROR(__xludf.DUMMYFUNCTION("""COMPUTED_VALUE"""),"Pendiente")</f>
        <v>Pendiente</v>
      </c>
      <c r="AB194" s="45"/>
      <c r="AC194" s="7"/>
      <c r="AD194" s="7"/>
      <c r="AE194" s="7" t="str">
        <f>IFERROR(__xludf.DUMMYFUNCTION("""COMPUTED_VALUE"""),"OK")</f>
        <v>OK</v>
      </c>
      <c r="AF194" s="7"/>
    </row>
    <row r="195">
      <c r="A195" s="42">
        <f>IFERROR(__xludf.DUMMYFUNCTION("""COMPUTED_VALUE"""),45533.42631243056)</f>
        <v>45533.42631</v>
      </c>
      <c r="B195" s="43" t="str">
        <f>IFERROR(__xludf.DUMMYFUNCTION("""COMPUTED_VALUE"""),"Eugenia")</f>
        <v>Eugenia</v>
      </c>
      <c r="C195" s="43" t="str">
        <f>IFERROR(__xludf.DUMMYFUNCTION("""COMPUTED_VALUE"""),"Mazzone")</f>
        <v>Mazzone</v>
      </c>
      <c r="D195" s="43" t="str">
        <f>IFERROR(__xludf.DUMMYFUNCTION("""COMPUTED_VALUE"""),"Quilmes")</f>
        <v>Quilmes</v>
      </c>
      <c r="E195" s="45" t="str">
        <f>IFERROR(__xludf.DUMMYFUNCTION("""COMPUTED_VALUE"""),"ARG")</f>
        <v>ARG</v>
      </c>
      <c r="F195" s="45">
        <f>IFERROR(__xludf.DUMMYFUNCTION("""COMPUTED_VALUE"""),4.9918962E7)</f>
        <v>49918962</v>
      </c>
      <c r="G195" s="44">
        <f>IFERROR(__xludf.DUMMYFUNCTION("""COMPUTED_VALUE"""),40119.0)</f>
        <v>40119</v>
      </c>
      <c r="H195" s="45" t="str">
        <f>IFERROR(__xludf.DUMMYFUNCTION("""COMPUTED_VALUE"""),"113055 3942")</f>
        <v>113055 3942</v>
      </c>
      <c r="I195" s="45" t="str">
        <f>IFERROR(__xludf.DUMMYFUNCTION("""COMPUTED_VALUE"""),"113055 3942")</f>
        <v>113055 3942</v>
      </c>
      <c r="J195" s="45" t="str">
        <f>IFERROR(__xludf.DUMMYFUNCTION("""COMPUTED_VALUE"""),"arianapro@hotmail.com")</f>
        <v>arianapro@hotmail.com</v>
      </c>
      <c r="K195" s="45" t="str">
        <f>IFERROR(__xludf.DUMMYFUNCTION("""COMPUTED_VALUE"""),"Femenino")</f>
        <v>Femenino</v>
      </c>
      <c r="L195" s="45" t="str">
        <f>IFERROR(__xludf.DUMMYFUNCTION("""COMPUTED_VALUE"""),"CNQ")</f>
        <v>CNQ</v>
      </c>
      <c r="M195" s="45" t="str">
        <f>IFERROR(__xludf.DUMMYFUNCTION("""COMPUTED_VALUE"""),"Femenino")</f>
        <v>Femenino</v>
      </c>
      <c r="N195" s="7" t="str">
        <f>IFERROR(__xludf.DUMMYFUNCTION("""COMPUTED_VALUE"""),"OPTIMIST PRINCIPIANTES")</f>
        <v>OPTIMIST PRINCIPIANTES</v>
      </c>
      <c r="O195" s="7"/>
      <c r="P195" s="7">
        <f>IFERROR(__xludf.DUMMYFUNCTION("""COMPUTED_VALUE"""),3714.0)</f>
        <v>3714</v>
      </c>
      <c r="Q195" s="45"/>
      <c r="R195" s="45"/>
      <c r="S195" s="45"/>
      <c r="T195" s="45"/>
      <c r="U195" s="45"/>
      <c r="V195" s="45"/>
      <c r="W195" s="45"/>
      <c r="X195" s="47" t="str">
        <f>IFERROR(__xludf.DUMMYFUNCTION("""COMPUTED_VALUE"""),"Galeno ")</f>
        <v>Galeno </v>
      </c>
      <c r="Y195" s="7" t="str">
        <f>IFERROR(__xludf.DUMMYFUNCTION("""COMPUTED_VALUE"""),"Si")</f>
        <v>Si</v>
      </c>
      <c r="Z195" s="45" t="str">
        <f>IFERROR(__xludf.DUMMYFUNCTION("""COMPUTED_VALUE"""),"Acepto")</f>
        <v>Acepto</v>
      </c>
      <c r="AA195" s="45" t="str">
        <f>IFERROR(__xludf.DUMMYFUNCTION("""COMPUTED_VALUE"""),"Terminado")</f>
        <v>Terminado</v>
      </c>
      <c r="AB195" s="45">
        <f>IFERROR(__xludf.DUMMYFUNCTION("""COMPUTED_VALUE"""),50000.0)</f>
        <v>50000</v>
      </c>
      <c r="AC195" s="7">
        <f>IFERROR(__xludf.DUMMYFUNCTION("""COMPUTED_VALUE"""),205372.0)</f>
        <v>205372</v>
      </c>
      <c r="AD195" s="7" t="str">
        <f>IFERROR(__xludf.DUMMYFUNCTION("""COMPUTED_VALUE"""),"TRF 02-09")</f>
        <v>TRF 02-09</v>
      </c>
      <c r="AE195" s="7" t="str">
        <f>IFERROR(__xludf.DUMMYFUNCTION("""COMPUTED_VALUE"""),"OK")</f>
        <v>OK</v>
      </c>
      <c r="AF195" s="7" t="str">
        <f>IFERROR(__xludf.DUMMYFUNCTION("""COMPUTED_VALUE"""),"SI")</f>
        <v>SI</v>
      </c>
    </row>
    <row r="196">
      <c r="A196" s="42">
        <f>IFERROR(__xludf.DUMMYFUNCTION("""COMPUTED_VALUE"""),45532.53685788195)</f>
        <v>45532.53686</v>
      </c>
      <c r="B196" s="43" t="str">
        <f>IFERROR(__xludf.DUMMYFUNCTION("""COMPUTED_VALUE"""),"Bernarda")</f>
        <v>Bernarda</v>
      </c>
      <c r="C196" s="43" t="str">
        <f>IFERROR(__xludf.DUMMYFUNCTION("""COMPUTED_VALUE"""),"Mercerat")</f>
        <v>Mercerat</v>
      </c>
      <c r="D196" s="43" t="str">
        <f>IFERROR(__xludf.DUMMYFUNCTION("""COMPUTED_VALUE"""),"LA Plata")</f>
        <v>LA Plata</v>
      </c>
      <c r="E196" s="45" t="str">
        <f>IFERROR(__xludf.DUMMYFUNCTION("""COMPUTED_VALUE"""),"ARG")</f>
        <v>ARG</v>
      </c>
      <c r="F196" s="45">
        <f>IFERROR(__xludf.DUMMYFUNCTION("""COMPUTED_VALUE"""),5.2725071E7)</f>
        <v>52725071</v>
      </c>
      <c r="G196" s="44">
        <f>IFERROR(__xludf.DUMMYFUNCTION("""COMPUTED_VALUE"""),41200.0)</f>
        <v>41200</v>
      </c>
      <c r="H196" s="45">
        <f>IFERROR(__xludf.DUMMYFUNCTION("""COMPUTED_VALUE"""),1.125860224E9)</f>
        <v>1125860224</v>
      </c>
      <c r="I196" s="45">
        <f>IFERROR(__xludf.DUMMYFUNCTION("""COMPUTED_VALUE"""),1.125860224E9)</f>
        <v>1125860224</v>
      </c>
      <c r="J196" s="45" t="str">
        <f>IFERROR(__xludf.DUMMYFUNCTION("""COMPUTED_VALUE"""),"noeliafmartinez@gmail.com")</f>
        <v>noeliafmartinez@gmail.com</v>
      </c>
      <c r="K196" s="45" t="str">
        <f>IFERROR(__xludf.DUMMYFUNCTION("""COMPUTED_VALUE"""),"Femenino")</f>
        <v>Femenino</v>
      </c>
      <c r="L196" s="45" t="str">
        <f>IFERROR(__xludf.DUMMYFUNCTION("""COMPUTED_VALUE"""),"CRLP")</f>
        <v>CRLP</v>
      </c>
      <c r="M196" s="45" t="str">
        <f>IFERROR(__xludf.DUMMYFUNCTION("""COMPUTED_VALUE"""),"Femenino")</f>
        <v>Femenino</v>
      </c>
      <c r="N196" s="7" t="str">
        <f>IFERROR(__xludf.DUMMYFUNCTION("""COMPUTED_VALUE"""),"OPTIMIST PRINCIPIANTES")</f>
        <v>OPTIMIST PRINCIPIANTES</v>
      </c>
      <c r="O196" s="7"/>
      <c r="P196" s="7">
        <f>IFERROR(__xludf.DUMMYFUNCTION("""COMPUTED_VALUE"""),2695.0)</f>
        <v>2695</v>
      </c>
      <c r="Q196" s="45" t="str">
        <f>IFERROR(__xludf.DUMMYFUNCTION("""COMPUTED_VALUE"""),"Eternauta")</f>
        <v>Eternauta</v>
      </c>
      <c r="R196" s="45"/>
      <c r="S196" s="45"/>
      <c r="T196" s="45"/>
      <c r="U196" s="45"/>
      <c r="V196" s="45"/>
      <c r="W196" s="45"/>
      <c r="X196" s="47" t="str">
        <f>IFERROR(__xludf.DUMMYFUNCTION("""COMPUTED_VALUE"""),"IOMA - 2271464756/02")</f>
        <v>IOMA - 2271464756/02</v>
      </c>
      <c r="Y196" s="7" t="str">
        <f>IFERROR(__xludf.DUMMYFUNCTION("""COMPUTED_VALUE"""),"Si")</f>
        <v>Si</v>
      </c>
      <c r="Z196" s="45" t="str">
        <f>IFERROR(__xludf.DUMMYFUNCTION("""COMPUTED_VALUE"""),"Acepto")</f>
        <v>Acepto</v>
      </c>
      <c r="AA196" s="45" t="str">
        <f>IFERROR(__xludf.DUMMYFUNCTION("""COMPUTED_VALUE"""),"Terminado")</f>
        <v>Terminado</v>
      </c>
      <c r="AB196" s="45">
        <f>IFERROR(__xludf.DUMMYFUNCTION("""COMPUTED_VALUE"""),60000.0)</f>
        <v>60000</v>
      </c>
      <c r="AC196" s="7">
        <f>IFERROR(__xludf.DUMMYFUNCTION("""COMPUTED_VALUE"""),205401.0)</f>
        <v>205401</v>
      </c>
      <c r="AD196" s="7" t="str">
        <f>IFERROR(__xludf.DUMMYFUNCTION("""COMPUTED_VALUE"""),"TRF02-09")</f>
        <v>TRF02-09</v>
      </c>
      <c r="AE196" s="7" t="str">
        <f>IFERROR(__xludf.DUMMYFUNCTION("""COMPUTED_VALUE"""),"OK")</f>
        <v>OK</v>
      </c>
      <c r="AF196" s="7"/>
    </row>
    <row r="197">
      <c r="A197" s="42">
        <f>IFERROR(__xludf.DUMMYFUNCTION("""COMPUTED_VALUE"""),45533.464630937495)</f>
        <v>45533.46463</v>
      </c>
      <c r="B197" s="43" t="str">
        <f>IFERROR(__xludf.DUMMYFUNCTION("""COMPUTED_VALUE"""),"MILO")</f>
        <v>MILO</v>
      </c>
      <c r="C197" s="43" t="str">
        <f>IFERROR(__xludf.DUMMYFUNCTION("""COMPUTED_VALUE"""),"MESSINA")</f>
        <v>MESSINA</v>
      </c>
      <c r="D197" s="43" t="str">
        <f>IFERROR(__xludf.DUMMYFUNCTION("""COMPUTED_VALUE"""),"BUENOS AIRES")</f>
        <v>BUENOS AIRES</v>
      </c>
      <c r="E197" s="45" t="str">
        <f>IFERROR(__xludf.DUMMYFUNCTION("""COMPUTED_VALUE"""),"ARG")</f>
        <v>ARG</v>
      </c>
      <c r="F197" s="45">
        <f>IFERROR(__xludf.DUMMYFUNCTION("""COMPUTED_VALUE"""),5.2122807E7)</f>
        <v>52122807</v>
      </c>
      <c r="G197" s="44">
        <f>IFERROR(__xludf.DUMMYFUNCTION("""COMPUTED_VALUE"""),-689531.0)</f>
        <v>-689531</v>
      </c>
      <c r="H197" s="45">
        <f>IFERROR(__xludf.DUMMYFUNCTION("""COMPUTED_VALUE"""),1.162588124E9)</f>
        <v>1162588124</v>
      </c>
      <c r="I197" s="45">
        <f>IFERROR(__xludf.DUMMYFUNCTION("""COMPUTED_VALUE"""),1.145587913E9)</f>
        <v>1145587913</v>
      </c>
      <c r="J197" s="45" t="str">
        <f>IFERROR(__xludf.DUMMYFUNCTION("""COMPUTED_VALUE"""),"CARO_MORE@YAHOO.COM")</f>
        <v>CARO_MORE@YAHOO.COM</v>
      </c>
      <c r="K197" s="45" t="str">
        <f>IFERROR(__xludf.DUMMYFUNCTION("""COMPUTED_VALUE"""),"Masculino")</f>
        <v>Masculino</v>
      </c>
      <c r="L197" s="45" t="str">
        <f>IFERROR(__xludf.DUMMYFUNCTION("""COMPUTED_VALUE"""),"CVB")</f>
        <v>CVB</v>
      </c>
      <c r="M197" s="45"/>
      <c r="N197" s="7" t="str">
        <f>IFERROR(__xludf.DUMMYFUNCTION("""COMPUTED_VALUE"""),"OPTIMIST TIMONELES")</f>
        <v>OPTIMIST TIMONELES</v>
      </c>
      <c r="O197" s="7"/>
      <c r="P197" s="7">
        <f>IFERROR(__xludf.DUMMYFUNCTION("""COMPUTED_VALUE"""),3565.0)</f>
        <v>3565</v>
      </c>
      <c r="Q197" s="45" t="str">
        <f>IFERROR(__xludf.DUMMYFUNCTION("""COMPUTED_VALUE"""),"TITAN")</f>
        <v>TITAN</v>
      </c>
      <c r="R197" s="45"/>
      <c r="S197" s="45"/>
      <c r="T197" s="45"/>
      <c r="U197" s="45"/>
      <c r="V197" s="45"/>
      <c r="W197" s="45"/>
      <c r="X197" s="47" t="str">
        <f>IFERROR(__xludf.DUMMYFUNCTION("""COMPUTED_VALUE"""),"DOSUBA")</f>
        <v>DOSUBA</v>
      </c>
      <c r="Y197" s="7" t="str">
        <f>IFERROR(__xludf.DUMMYFUNCTION("""COMPUTED_VALUE"""),"Si")</f>
        <v>Si</v>
      </c>
      <c r="Z197" s="45" t="str">
        <f>IFERROR(__xludf.DUMMYFUNCTION("""COMPUTED_VALUE"""),"Acepto")</f>
        <v>Acepto</v>
      </c>
      <c r="AA197" s="45" t="str">
        <f>IFERROR(__xludf.DUMMYFUNCTION("""COMPUTED_VALUE"""),"Terminado")</f>
        <v>Terminado</v>
      </c>
      <c r="AB197" s="45">
        <f>IFERROR(__xludf.DUMMYFUNCTION("""COMPUTED_VALUE"""),50000.0)</f>
        <v>50000</v>
      </c>
      <c r="AC197" s="7">
        <f>IFERROR(__xludf.DUMMYFUNCTION("""COMPUTED_VALUE"""),205073.0)</f>
        <v>205073</v>
      </c>
      <c r="AD197" s="7" t="str">
        <f>IFERROR(__xludf.DUMMYFUNCTION("""COMPUTED_VALUE"""),"TRF 29-08")</f>
        <v>TRF 29-08</v>
      </c>
      <c r="AE197" s="7" t="str">
        <f>IFERROR(__xludf.DUMMYFUNCTION("""COMPUTED_VALUE"""),"OK")</f>
        <v>OK</v>
      </c>
      <c r="AF197" s="7" t="str">
        <f>IFERROR(__xludf.DUMMYFUNCTION("""COMPUTED_VALUE"""),"SI")</f>
        <v>SI</v>
      </c>
    </row>
    <row r="198">
      <c r="A198" s="42">
        <f>IFERROR(__xludf.DUMMYFUNCTION("""COMPUTED_VALUE"""),45537.52053417824)</f>
        <v>45537.52053</v>
      </c>
      <c r="B198" s="43" t="str">
        <f>IFERROR(__xludf.DUMMYFUNCTION("""COMPUTED_VALUE"""),"Irene")</f>
        <v>Irene</v>
      </c>
      <c r="C198" s="43" t="str">
        <f>IFERROR(__xludf.DUMMYFUNCTION("""COMPUTED_VALUE"""),"Mezzaluna")</f>
        <v>Mezzaluna</v>
      </c>
      <c r="D198" s="43" t="str">
        <f>IFERROR(__xludf.DUMMYFUNCTION("""COMPUTED_VALUE"""),"Buenos Aires")</f>
        <v>Buenos Aires</v>
      </c>
      <c r="E198" s="45" t="str">
        <f>IFERROR(__xludf.DUMMYFUNCTION("""COMPUTED_VALUE"""),"ARG")</f>
        <v>ARG</v>
      </c>
      <c r="F198" s="45">
        <f>IFERROR(__xludf.DUMMYFUNCTION("""COMPUTED_VALUE"""),2.1707194E7)</f>
        <v>21707194</v>
      </c>
      <c r="G198" s="44">
        <f>IFERROR(__xludf.DUMMYFUNCTION("""COMPUTED_VALUE"""),25747.0)</f>
        <v>25747</v>
      </c>
      <c r="H198" s="45">
        <f>IFERROR(__xludf.DUMMYFUNCTION("""COMPUTED_VALUE"""),1.166455365E9)</f>
        <v>1166455365</v>
      </c>
      <c r="I198" s="45">
        <f>IFERROR(__xludf.DUMMYFUNCTION("""COMPUTED_VALUE"""),1.151631122E9)</f>
        <v>1151631122</v>
      </c>
      <c r="J198" s="45" t="str">
        <f>IFERROR(__xludf.DUMMYFUNCTION("""COMPUTED_VALUE"""),"irene.mezzaluna@gmail.com")</f>
        <v>irene.mezzaluna@gmail.com</v>
      </c>
      <c r="K198" s="45" t="str">
        <f>IFERROR(__xludf.DUMMYFUNCTION("""COMPUTED_VALUE"""),"Femenino")</f>
        <v>Femenino</v>
      </c>
      <c r="L198" s="45" t="str">
        <f>IFERROR(__xludf.DUMMYFUNCTION("""COMPUTED_VALUE"""),"CPNLB")</f>
        <v>CPNLB</v>
      </c>
      <c r="M198" s="45" t="str">
        <f>IFERROR(__xludf.DUMMYFUNCTION("""COMPUTED_VALUE"""),"GRUMETE")</f>
        <v>GRUMETE</v>
      </c>
      <c r="N198" s="7" t="str">
        <f>IFERROR(__xludf.DUMMYFUNCTION("""COMPUTED_VALUE"""),"GRUMETE")</f>
        <v>GRUMETE</v>
      </c>
      <c r="O198" s="7"/>
      <c r="P198" s="7">
        <f>IFERROR(__xludf.DUMMYFUNCTION("""COMPUTED_VALUE"""),286.0)</f>
        <v>286</v>
      </c>
      <c r="Q198" s="45" t="str">
        <f>IFERROR(__xludf.DUMMYFUNCTION("""COMPUTED_VALUE"""),"CRIOLLO")</f>
        <v>CRIOLLO</v>
      </c>
      <c r="R198" s="45" t="str">
        <f>IFERROR(__xludf.DUMMYFUNCTION("""COMPUTED_VALUE"""),"Carolina Galucci")</f>
        <v>Carolina Galucci</v>
      </c>
      <c r="S198" s="45" t="str">
        <f>IFERROR(__xludf.DUMMYFUNCTION("""COMPUTED_VALUE"""),"Claudia Tamayo")</f>
        <v>Claudia Tamayo</v>
      </c>
      <c r="T198" s="45" t="str">
        <f>IFERROR(__xludf.DUMMYFUNCTION("""COMPUTED_VALUE"""),"Ingrid")</f>
        <v>Ingrid</v>
      </c>
      <c r="U198" s="45"/>
      <c r="V198" s="45"/>
      <c r="W198" s="45"/>
      <c r="X198" s="47"/>
      <c r="Y198" s="7" t="str">
        <f>IFERROR(__xludf.DUMMYFUNCTION("""COMPUTED_VALUE"""),"No")</f>
        <v>No</v>
      </c>
      <c r="Z198" s="45" t="str">
        <f>IFERROR(__xludf.DUMMYFUNCTION("""COMPUTED_VALUE"""),"Acepto")</f>
        <v>Acepto</v>
      </c>
      <c r="AA198" s="45" t="str">
        <f>IFERROR(__xludf.DUMMYFUNCTION("""COMPUTED_VALUE"""),"Terminado")</f>
        <v>Terminado</v>
      </c>
      <c r="AB198" s="45">
        <f>IFERROR(__xludf.DUMMYFUNCTION("""COMPUTED_VALUE"""),50000.0)</f>
        <v>50000</v>
      </c>
      <c r="AC198" s="7">
        <f>IFERROR(__xludf.DUMMYFUNCTION("""COMPUTED_VALUE"""),205505.0)</f>
        <v>205505</v>
      </c>
      <c r="AD198" s="7" t="str">
        <f>IFERROR(__xludf.DUMMYFUNCTION("""COMPUTED_VALUE"""),"TRF 05-09")</f>
        <v>TRF 05-09</v>
      </c>
      <c r="AE198" s="7" t="str">
        <f>IFERROR(__xludf.DUMMYFUNCTION("""COMPUTED_VALUE"""),"No Corresp")</f>
        <v>No Corresp</v>
      </c>
      <c r="AF198" s="7"/>
    </row>
    <row r="199">
      <c r="A199" s="42">
        <f>IFERROR(__xludf.DUMMYFUNCTION("""COMPUTED_VALUE"""),45535.59046265046)</f>
        <v>45535.59046</v>
      </c>
      <c r="B199" s="43" t="str">
        <f>IFERROR(__xludf.DUMMYFUNCTION("""COMPUTED_VALUE"""),"Juan Francisco ")</f>
        <v>Juan Francisco </v>
      </c>
      <c r="C199" s="43" t="str">
        <f>IFERROR(__xludf.DUMMYFUNCTION("""COMPUTED_VALUE"""),"Mirey")</f>
        <v>Mirey</v>
      </c>
      <c r="D199" s="43" t="str">
        <f>IFERROR(__xludf.DUMMYFUNCTION("""COMPUTED_VALUE"""),"Zarate")</f>
        <v>Zarate</v>
      </c>
      <c r="E199" s="45" t="str">
        <f>IFERROR(__xludf.DUMMYFUNCTION("""COMPUTED_VALUE"""),"ARG")</f>
        <v>ARG</v>
      </c>
      <c r="F199" s="45">
        <f>IFERROR(__xludf.DUMMYFUNCTION("""COMPUTED_VALUE"""),5.3610165E7)</f>
        <v>53610165</v>
      </c>
      <c r="G199" s="44">
        <f>IFERROR(__xludf.DUMMYFUNCTION("""COMPUTED_VALUE"""),41594.0)</f>
        <v>41594</v>
      </c>
      <c r="H199" s="45" t="str">
        <f>IFERROR(__xludf.DUMMYFUNCTION("""COMPUTED_VALUE"""),"3487-308488")</f>
        <v>3487-308488</v>
      </c>
      <c r="I199" s="45" t="str">
        <f>IFERROR(__xludf.DUMMYFUNCTION("""COMPUTED_VALUE"""),"3487-308487")</f>
        <v>3487-308487</v>
      </c>
      <c r="J199" s="45" t="str">
        <f>IFERROR(__xludf.DUMMYFUNCTION("""COMPUTED_VALUE"""),"marcelomirey@hotmail.com")</f>
        <v>marcelomirey@hotmail.com</v>
      </c>
      <c r="K199" s="45" t="str">
        <f>IFERROR(__xludf.DUMMYFUNCTION("""COMPUTED_VALUE"""),"Masculino")</f>
        <v>Masculino</v>
      </c>
      <c r="L199" s="45" t="str">
        <f>IFERROR(__xludf.DUMMYFUNCTION("""COMPUTED_VALUE"""),"CNZ")</f>
        <v>CNZ</v>
      </c>
      <c r="M199" s="45"/>
      <c r="N199" s="7" t="str">
        <f>IFERROR(__xludf.DUMMYFUNCTION("""COMPUTED_VALUE"""),"OPTIMIST PRINCIPIANTES")</f>
        <v>OPTIMIST PRINCIPIANTES</v>
      </c>
      <c r="O199" s="7"/>
      <c r="P199" s="7">
        <f>IFERROR(__xludf.DUMMYFUNCTION("""COMPUTED_VALUE"""),3538.0)</f>
        <v>3538</v>
      </c>
      <c r="Q199" s="45" t="str">
        <f>IFERROR(__xludf.DUMMYFUNCTION("""COMPUTED_VALUE"""),"Infinito")</f>
        <v>Infinito</v>
      </c>
      <c r="R199" s="45"/>
      <c r="S199" s="45"/>
      <c r="T199" s="45"/>
      <c r="U199" s="45"/>
      <c r="V199" s="45"/>
      <c r="W199" s="45"/>
      <c r="X199" s="47" t="str">
        <f>IFERROR(__xludf.DUMMYFUNCTION("""COMPUTED_VALUE"""),"COMEI 050863-03-7 ")</f>
        <v>COMEI 050863-03-7 </v>
      </c>
      <c r="Y199" s="7" t="str">
        <f>IFERROR(__xludf.DUMMYFUNCTION("""COMPUTED_VALUE"""),"Si")</f>
        <v>Si</v>
      </c>
      <c r="Z199" s="45" t="str">
        <f>IFERROR(__xludf.DUMMYFUNCTION("""COMPUTED_VALUE"""),"Acepto")</f>
        <v>Acepto</v>
      </c>
      <c r="AA199" s="45" t="str">
        <f>IFERROR(__xludf.DUMMYFUNCTION("""COMPUTED_VALUE"""),"Terminado")</f>
        <v>Terminado</v>
      </c>
      <c r="AB199" s="45">
        <f>IFERROR(__xludf.DUMMYFUNCTION("""COMPUTED_VALUE"""),50000.0)</f>
        <v>50000</v>
      </c>
      <c r="AC199" s="7">
        <f>IFERROR(__xludf.DUMMYFUNCTION("""COMPUTED_VALUE"""),205151.0)</f>
        <v>205151</v>
      </c>
      <c r="AD199" s="7" t="str">
        <f>IFERROR(__xludf.DUMMYFUNCTION("""COMPUTED_VALUE"""),"TRF 31-08")</f>
        <v>TRF 31-08</v>
      </c>
      <c r="AE199" s="7" t="str">
        <f>IFERROR(__xludf.DUMMYFUNCTION("""COMPUTED_VALUE"""),"OK")</f>
        <v>OK</v>
      </c>
      <c r="AF199" s="7"/>
    </row>
    <row r="200">
      <c r="A200" s="42">
        <f>IFERROR(__xludf.DUMMYFUNCTION("""COMPUTED_VALUE"""),45535.59241896991)</f>
        <v>45535.59242</v>
      </c>
      <c r="B200" s="43" t="str">
        <f>IFERROR(__xludf.DUMMYFUNCTION("""COMPUTED_VALUE"""),"Josefina")</f>
        <v>Josefina</v>
      </c>
      <c r="C200" s="43" t="str">
        <f>IFERROR(__xludf.DUMMYFUNCTION("""COMPUTED_VALUE"""),"Mirey")</f>
        <v>Mirey</v>
      </c>
      <c r="D200" s="43" t="str">
        <f>IFERROR(__xludf.DUMMYFUNCTION("""COMPUTED_VALUE"""),"Zarate")</f>
        <v>Zarate</v>
      </c>
      <c r="E200" s="45" t="str">
        <f>IFERROR(__xludf.DUMMYFUNCTION("""COMPUTED_VALUE"""),"ARG")</f>
        <v>ARG</v>
      </c>
      <c r="F200" s="45">
        <f>IFERROR(__xludf.DUMMYFUNCTION("""COMPUTED_VALUE"""),5.116744E7)</f>
        <v>51167440</v>
      </c>
      <c r="G200" s="44">
        <f>IFERROR(__xludf.DUMMYFUNCTION("""COMPUTED_VALUE"""),40773.0)</f>
        <v>40773</v>
      </c>
      <c r="H200" s="45" t="str">
        <f>IFERROR(__xludf.DUMMYFUNCTION("""COMPUTED_VALUE"""),"3487-308488")</f>
        <v>3487-308488</v>
      </c>
      <c r="I200" s="45" t="str">
        <f>IFERROR(__xludf.DUMMYFUNCTION("""COMPUTED_VALUE"""),"3487-308487")</f>
        <v>3487-308487</v>
      </c>
      <c r="J200" s="45" t="str">
        <f>IFERROR(__xludf.DUMMYFUNCTION("""COMPUTED_VALUE"""),"marcelomirey@hotmail.com")</f>
        <v>marcelomirey@hotmail.com</v>
      </c>
      <c r="K200" s="45" t="str">
        <f>IFERROR(__xludf.DUMMYFUNCTION("""COMPUTED_VALUE"""),"Femenino")</f>
        <v>Femenino</v>
      </c>
      <c r="L200" s="45" t="str">
        <f>IFERROR(__xludf.DUMMYFUNCTION("""COMPUTED_VALUE"""),"CNZ")</f>
        <v>CNZ</v>
      </c>
      <c r="M200" s="45" t="str">
        <f>IFERROR(__xludf.DUMMYFUNCTION("""COMPUTED_VALUE"""),"Femenino")</f>
        <v>Femenino</v>
      </c>
      <c r="N200" s="7" t="str">
        <f>IFERROR(__xludf.DUMMYFUNCTION("""COMPUTED_VALUE"""),"OPTIMIST TIMONELES")</f>
        <v>OPTIMIST TIMONELES</v>
      </c>
      <c r="O200" s="7"/>
      <c r="P200" s="7">
        <f>IFERROR(__xludf.DUMMYFUNCTION("""COMPUTED_VALUE"""),3538.0)</f>
        <v>3538</v>
      </c>
      <c r="Q200" s="45"/>
      <c r="R200" s="45"/>
      <c r="S200" s="45"/>
      <c r="T200" s="45"/>
      <c r="U200" s="45"/>
      <c r="V200" s="45"/>
      <c r="W200" s="45"/>
      <c r="X200" s="47" t="str">
        <f>IFERROR(__xludf.DUMMYFUNCTION("""COMPUTED_VALUE"""),"COMEI 050863-02-0 ")</f>
        <v>COMEI 050863-02-0 </v>
      </c>
      <c r="Y200" s="7" t="str">
        <f>IFERROR(__xludf.DUMMYFUNCTION("""COMPUTED_VALUE"""),"Si")</f>
        <v>Si</v>
      </c>
      <c r="Z200" s="45" t="str">
        <f>IFERROR(__xludf.DUMMYFUNCTION("""COMPUTED_VALUE"""),"Acepto")</f>
        <v>Acepto</v>
      </c>
      <c r="AA200" s="45" t="str">
        <f>IFERROR(__xludf.DUMMYFUNCTION("""COMPUTED_VALUE"""),"Terminado")</f>
        <v>Terminado</v>
      </c>
      <c r="AB200" s="45">
        <f>IFERROR(__xludf.DUMMYFUNCTION("""COMPUTED_VALUE"""),50000.0)</f>
        <v>50000</v>
      </c>
      <c r="AC200" s="7">
        <f>IFERROR(__xludf.DUMMYFUNCTION("""COMPUTED_VALUE"""),205152.0)</f>
        <v>205152</v>
      </c>
      <c r="AD200" s="7" t="str">
        <f>IFERROR(__xludf.DUMMYFUNCTION("""COMPUTED_VALUE"""),"TRF 31-08")</f>
        <v>TRF 31-08</v>
      </c>
      <c r="AE200" s="7" t="str">
        <f>IFERROR(__xludf.DUMMYFUNCTION("""COMPUTED_VALUE"""),"OK")</f>
        <v>OK</v>
      </c>
      <c r="AF200" s="7"/>
    </row>
    <row r="201">
      <c r="A201" s="42">
        <f>IFERROR(__xludf.DUMMYFUNCTION("""COMPUTED_VALUE"""),45531.27942752315)</f>
        <v>45531.27943</v>
      </c>
      <c r="B201" s="43" t="str">
        <f>IFERROR(__xludf.DUMMYFUNCTION("""COMPUTED_VALUE"""),"Josefina")</f>
        <v>Josefina</v>
      </c>
      <c r="C201" s="43" t="str">
        <f>IFERROR(__xludf.DUMMYFUNCTION("""COMPUTED_VALUE"""),"Molinari")</f>
        <v>Molinari</v>
      </c>
      <c r="D201" s="43" t="str">
        <f>IFERROR(__xludf.DUMMYFUNCTION("""COMPUTED_VALUE"""),"CABA")</f>
        <v>CABA</v>
      </c>
      <c r="E201" s="45" t="str">
        <f>IFERROR(__xludf.DUMMYFUNCTION("""COMPUTED_VALUE"""),"ARG")</f>
        <v>ARG</v>
      </c>
      <c r="F201" s="45">
        <f>IFERROR(__xludf.DUMMYFUNCTION("""COMPUTED_VALUE"""),5.0156147E7)</f>
        <v>50156147</v>
      </c>
      <c r="G201" s="44">
        <f>IFERROR(__xludf.DUMMYFUNCTION("""COMPUTED_VALUE"""),40227.0)</f>
        <v>40227</v>
      </c>
      <c r="H201" s="45" t="str">
        <f>IFERROR(__xludf.DUMMYFUNCTION("""COMPUTED_VALUE"""),"15-6852-6245")</f>
        <v>15-6852-6245</v>
      </c>
      <c r="I201" s="45" t="str">
        <f>IFERROR(__xludf.DUMMYFUNCTION("""COMPUTED_VALUE"""),"15-6852-6235")</f>
        <v>15-6852-6235</v>
      </c>
      <c r="J201" s="45" t="str">
        <f>IFERROR(__xludf.DUMMYFUNCTION("""COMPUTED_VALUE"""),"molinaricv@gmail.com")</f>
        <v>molinaricv@gmail.com</v>
      </c>
      <c r="K201" s="45" t="str">
        <f>IFERROR(__xludf.DUMMYFUNCTION("""COMPUTED_VALUE"""),"Femenino")</f>
        <v>Femenino</v>
      </c>
      <c r="L201" s="45" t="str">
        <f>IFERROR(__xludf.DUMMYFUNCTION("""COMPUTED_VALUE"""),"CVB")</f>
        <v>CVB</v>
      </c>
      <c r="M201" s="45" t="str">
        <f>IFERROR(__xludf.DUMMYFUNCTION("""COMPUTED_VALUE"""),"Femenino")</f>
        <v>Femenino</v>
      </c>
      <c r="N201" s="7" t="str">
        <f>IFERROR(__xludf.DUMMYFUNCTION("""COMPUTED_VALUE"""),"OPTIMIST TIMONELES")</f>
        <v>OPTIMIST TIMONELES</v>
      </c>
      <c r="O201" s="7"/>
      <c r="P201" s="7">
        <f>IFERROR(__xludf.DUMMYFUNCTION("""COMPUTED_VALUE"""),3991.0)</f>
        <v>3991</v>
      </c>
      <c r="Q201" s="45"/>
      <c r="R201" s="45"/>
      <c r="S201" s="45"/>
      <c r="T201" s="45"/>
      <c r="U201" s="45"/>
      <c r="V201" s="45"/>
      <c r="W201" s="45"/>
      <c r="X201" s="47"/>
      <c r="Y201" s="7" t="str">
        <f>IFERROR(__xludf.DUMMYFUNCTION("""COMPUTED_VALUE"""),"Si")</f>
        <v>Si</v>
      </c>
      <c r="Z201" s="45" t="str">
        <f>IFERROR(__xludf.DUMMYFUNCTION("""COMPUTED_VALUE"""),"Acepto")</f>
        <v>Acepto</v>
      </c>
      <c r="AA201" s="45" t="str">
        <f>IFERROR(__xludf.DUMMYFUNCTION("""COMPUTED_VALUE"""),"Terminado")</f>
        <v>Terminado</v>
      </c>
      <c r="AB201" s="45">
        <f>IFERROR(__xludf.DUMMYFUNCTION("""COMPUTED_VALUE"""),50000.0)</f>
        <v>50000</v>
      </c>
      <c r="AC201" s="7">
        <f>IFERROR(__xludf.DUMMYFUNCTION("""COMPUTED_VALUE"""),205107.0)</f>
        <v>205107</v>
      </c>
      <c r="AD201" s="7" t="str">
        <f>IFERROR(__xludf.DUMMYFUNCTION("""COMPUTED_VALUE"""),"TRF 30-08")</f>
        <v>TRF 30-08</v>
      </c>
      <c r="AE201" s="7" t="str">
        <f>IFERROR(__xludf.DUMMYFUNCTION("""COMPUTED_VALUE"""),"OK")</f>
        <v>OK</v>
      </c>
      <c r="AF201" s="7" t="str">
        <f>IFERROR(__xludf.DUMMYFUNCTION("""COMPUTED_VALUE"""),"SI")</f>
        <v>SI</v>
      </c>
    </row>
    <row r="202">
      <c r="A202" s="42">
        <f>IFERROR(__xludf.DUMMYFUNCTION("""COMPUTED_VALUE"""),45531.280336400465)</f>
        <v>45531.28034</v>
      </c>
      <c r="B202" s="43" t="str">
        <f>IFERROR(__xludf.DUMMYFUNCTION("""COMPUTED_VALUE"""),"Tomas")</f>
        <v>Tomas</v>
      </c>
      <c r="C202" s="43" t="str">
        <f>IFERROR(__xludf.DUMMYFUNCTION("""COMPUTED_VALUE"""),"Molinari")</f>
        <v>Molinari</v>
      </c>
      <c r="D202" s="43" t="str">
        <f>IFERROR(__xludf.DUMMYFUNCTION("""COMPUTED_VALUE"""),"CABA")</f>
        <v>CABA</v>
      </c>
      <c r="E202" s="45" t="str">
        <f>IFERROR(__xludf.DUMMYFUNCTION("""COMPUTED_VALUE"""),"ARG")</f>
        <v>ARG</v>
      </c>
      <c r="F202" s="45">
        <f>IFERROR(__xludf.DUMMYFUNCTION("""COMPUTED_VALUE"""),5.2440028E7)</f>
        <v>52440028</v>
      </c>
      <c r="G202" s="44">
        <f>IFERROR(__xludf.DUMMYFUNCTION("""COMPUTED_VALUE"""),41010.0)</f>
        <v>41010</v>
      </c>
      <c r="H202" s="45" t="str">
        <f>IFERROR(__xludf.DUMMYFUNCTION("""COMPUTED_VALUE"""),"15-6852-6245")</f>
        <v>15-6852-6245</v>
      </c>
      <c r="I202" s="45" t="str">
        <f>IFERROR(__xludf.DUMMYFUNCTION("""COMPUTED_VALUE"""),"15-6852-6235")</f>
        <v>15-6852-6235</v>
      </c>
      <c r="J202" s="45" t="str">
        <f>IFERROR(__xludf.DUMMYFUNCTION("""COMPUTED_VALUE"""),"molinaricv@gmail.com")</f>
        <v>molinaricv@gmail.com</v>
      </c>
      <c r="K202" s="45" t="str">
        <f>IFERROR(__xludf.DUMMYFUNCTION("""COMPUTED_VALUE"""),"Masculino")</f>
        <v>Masculino</v>
      </c>
      <c r="L202" s="45" t="str">
        <f>IFERROR(__xludf.DUMMYFUNCTION("""COMPUTED_VALUE"""),"CVB")</f>
        <v>CVB</v>
      </c>
      <c r="M202" s="45"/>
      <c r="N202" s="7" t="str">
        <f>IFERROR(__xludf.DUMMYFUNCTION("""COMPUTED_VALUE"""),"OPTIMIST TIMONELES")</f>
        <v>OPTIMIST TIMONELES</v>
      </c>
      <c r="O202" s="7"/>
      <c r="P202" s="7">
        <f>IFERROR(__xludf.DUMMYFUNCTION("""COMPUTED_VALUE"""),4165.0)</f>
        <v>4165</v>
      </c>
      <c r="Q202" s="45"/>
      <c r="R202" s="45"/>
      <c r="S202" s="45"/>
      <c r="T202" s="45"/>
      <c r="U202" s="45"/>
      <c r="V202" s="45"/>
      <c r="W202" s="45"/>
      <c r="X202" s="47"/>
      <c r="Y202" s="7" t="str">
        <f>IFERROR(__xludf.DUMMYFUNCTION("""COMPUTED_VALUE"""),"Si")</f>
        <v>Si</v>
      </c>
      <c r="Z202" s="45" t="str">
        <f>IFERROR(__xludf.DUMMYFUNCTION("""COMPUTED_VALUE"""),"Acepto")</f>
        <v>Acepto</v>
      </c>
      <c r="AA202" s="45" t="str">
        <f>IFERROR(__xludf.DUMMYFUNCTION("""COMPUTED_VALUE"""),"Terminado")</f>
        <v>Terminado</v>
      </c>
      <c r="AB202" s="45">
        <f>IFERROR(__xludf.DUMMYFUNCTION("""COMPUTED_VALUE"""),50000.0)</f>
        <v>50000</v>
      </c>
      <c r="AC202" s="7">
        <f>IFERROR(__xludf.DUMMYFUNCTION("""COMPUTED_VALUE"""),205107.0)</f>
        <v>205107</v>
      </c>
      <c r="AD202" s="7" t="str">
        <f>IFERROR(__xludf.DUMMYFUNCTION("""COMPUTED_VALUE"""),"TRF 30-08")</f>
        <v>TRF 30-08</v>
      </c>
      <c r="AE202" s="7" t="str">
        <f>IFERROR(__xludf.DUMMYFUNCTION("""COMPUTED_VALUE"""),"OK")</f>
        <v>OK</v>
      </c>
      <c r="AF202" s="7" t="str">
        <f>IFERROR(__xludf.DUMMYFUNCTION("""COMPUTED_VALUE"""),"SI")</f>
        <v>SI</v>
      </c>
    </row>
    <row r="203">
      <c r="A203" s="42">
        <f>IFERROR(__xludf.DUMMYFUNCTION("""COMPUTED_VALUE"""),45539.78510491898)</f>
        <v>45539.7851</v>
      </c>
      <c r="B203" s="43" t="str">
        <f>IFERROR(__xludf.DUMMYFUNCTION("""COMPUTED_VALUE"""),"Emilio")</f>
        <v>Emilio</v>
      </c>
      <c r="C203" s="43" t="str">
        <f>IFERROR(__xludf.DUMMYFUNCTION("""COMPUTED_VALUE"""),"Monch")</f>
        <v>Monch</v>
      </c>
      <c r="D203" s="43" t="str">
        <f>IFERROR(__xludf.DUMMYFUNCTION("""COMPUTED_VALUE"""),"Buenos aires")</f>
        <v>Buenos aires</v>
      </c>
      <c r="E203" s="45" t="str">
        <f>IFERROR(__xludf.DUMMYFUNCTION("""COMPUTED_VALUE"""),"ARG")</f>
        <v>ARG</v>
      </c>
      <c r="F203" s="45">
        <f>IFERROR(__xludf.DUMMYFUNCTION("""COMPUTED_VALUE"""),2.9951477E7)</f>
        <v>29951477</v>
      </c>
      <c r="G203" s="44">
        <f>IFERROR(__xludf.DUMMYFUNCTION("""COMPUTED_VALUE"""),30284.0)</f>
        <v>30284</v>
      </c>
      <c r="H203" s="45">
        <f>IFERROR(__xludf.DUMMYFUNCTION("""COMPUTED_VALUE"""),1.15059875E9)</f>
        <v>1150598750</v>
      </c>
      <c r="I203" s="45">
        <f>IFERROR(__xludf.DUMMYFUNCTION("""COMPUTED_VALUE"""),1.15059875E9)</f>
        <v>1150598750</v>
      </c>
      <c r="J203" s="45" t="str">
        <f>IFERROR(__xludf.DUMMYFUNCTION("""COMPUTED_VALUE"""),"Emonch290@gmail.com ")</f>
        <v>Emonch290@gmail.com </v>
      </c>
      <c r="K203" s="45" t="str">
        <f>IFERROR(__xludf.DUMMYFUNCTION("""COMPUTED_VALUE"""),"Masculino")</f>
        <v>Masculino</v>
      </c>
      <c r="L203" s="45" t="str">
        <f>IFERROR(__xludf.DUMMYFUNCTION("""COMPUTED_VALUE"""),"Cuba")</f>
        <v>Cuba</v>
      </c>
      <c r="M203" s="45" t="str">
        <f>IFERROR(__xludf.DUMMYFUNCTION("""COMPUTED_VALUE"""),"Grumete")</f>
        <v>Grumete</v>
      </c>
      <c r="N203" s="7" t="str">
        <f>IFERROR(__xludf.DUMMYFUNCTION("""COMPUTED_VALUE"""),"GRUMETE")</f>
        <v>GRUMETE</v>
      </c>
      <c r="O203" s="7"/>
      <c r="P203" s="7">
        <f>IFERROR(__xludf.DUMMYFUNCTION("""COMPUTED_VALUE"""),274.0)</f>
        <v>274</v>
      </c>
      <c r="Q203" s="45" t="str">
        <f>IFERROR(__xludf.DUMMYFUNCTION("""COMPUTED_VALUE"""),"BANANA")</f>
        <v>BANANA</v>
      </c>
      <c r="R203" s="45" t="str">
        <f>IFERROR(__xludf.DUMMYFUNCTION("""COMPUTED_VALUE"""),"Jorge Samitier")</f>
        <v>Jorge Samitier</v>
      </c>
      <c r="S203" s="45" t="str">
        <f>IFERROR(__xludf.DUMMYFUNCTION("""COMPUTED_VALUE"""),"Pablo Noceti")</f>
        <v>Pablo Noceti</v>
      </c>
      <c r="T203" s="45"/>
      <c r="U203" s="45"/>
      <c r="V203" s="45"/>
      <c r="W203" s="45"/>
      <c r="X203" s="47" t="str">
        <f>IFERROR(__xludf.DUMMYFUNCTION("""COMPUTED_VALUE"""),"Poder judicial")</f>
        <v>Poder judicial</v>
      </c>
      <c r="Y203" s="7" t="str">
        <f>IFERROR(__xludf.DUMMYFUNCTION("""COMPUTED_VALUE"""),"No")</f>
        <v>No</v>
      </c>
      <c r="Z203" s="45" t="str">
        <f>IFERROR(__xludf.DUMMYFUNCTION("""COMPUTED_VALUE"""),"Acepto")</f>
        <v>Acepto</v>
      </c>
      <c r="AA203" s="45" t="str">
        <f>IFERROR(__xludf.DUMMYFUNCTION("""COMPUTED_VALUE"""),"Terminado")</f>
        <v>Terminado</v>
      </c>
      <c r="AB203" s="45">
        <f>IFERROR(__xludf.DUMMYFUNCTION("""COMPUTED_VALUE"""),50000.0)</f>
        <v>50000</v>
      </c>
      <c r="AC203" s="7">
        <f>IFERROR(__xludf.DUMMYFUNCTION("""COMPUTED_VALUE"""),205533.0)</f>
        <v>205533</v>
      </c>
      <c r="AD203" s="7" t="str">
        <f>IFERROR(__xludf.DUMMYFUNCTION("""COMPUTED_VALUE"""),"TRF 06-09")</f>
        <v>TRF 06-09</v>
      </c>
      <c r="AE203" s="7" t="str">
        <f>IFERROR(__xludf.DUMMYFUNCTION("""COMPUTED_VALUE"""),"No Corresp")</f>
        <v>No Corresp</v>
      </c>
      <c r="AF203" s="7"/>
    </row>
    <row r="204">
      <c r="A204" s="42">
        <f>IFERROR(__xludf.DUMMYFUNCTION("""COMPUTED_VALUE"""),45540.658237083335)</f>
        <v>45540.65824</v>
      </c>
      <c r="B204" s="43" t="str">
        <f>IFERROR(__xludf.DUMMYFUNCTION("""COMPUTED_VALUE"""),"Emilio")</f>
        <v>Emilio</v>
      </c>
      <c r="C204" s="43" t="str">
        <f>IFERROR(__xludf.DUMMYFUNCTION("""COMPUTED_VALUE"""),"MÖnch ")</f>
        <v>MÖnch </v>
      </c>
      <c r="D204" s="43" t="str">
        <f>IFERROR(__xludf.DUMMYFUNCTION("""COMPUTED_VALUE"""),"Caba")</f>
        <v>Caba</v>
      </c>
      <c r="E204" s="45" t="str">
        <f>IFERROR(__xludf.DUMMYFUNCTION("""COMPUTED_VALUE"""),"ARG")</f>
        <v>ARG</v>
      </c>
      <c r="F204" s="45">
        <f>IFERROR(__xludf.DUMMYFUNCTION("""COMPUTED_VALUE"""),2.9951477E7)</f>
        <v>29951477</v>
      </c>
      <c r="G204" s="44">
        <f>IFERROR(__xludf.DUMMYFUNCTION("""COMPUTED_VALUE"""),30284.0)</f>
        <v>30284</v>
      </c>
      <c r="H204" s="45">
        <f>IFERROR(__xludf.DUMMYFUNCTION("""COMPUTED_VALUE"""),1.15059875E9)</f>
        <v>1150598750</v>
      </c>
      <c r="I204" s="45">
        <f>IFERROR(__xludf.DUMMYFUNCTION("""COMPUTED_VALUE"""),1.15059875E9)</f>
        <v>1150598750</v>
      </c>
      <c r="J204" s="45" t="str">
        <f>IFERROR(__xludf.DUMMYFUNCTION("""COMPUTED_VALUE"""),"Emonch290@gmail.com ")</f>
        <v>Emonch290@gmail.com </v>
      </c>
      <c r="K204" s="45" t="str">
        <f>IFERROR(__xludf.DUMMYFUNCTION("""COMPUTED_VALUE"""),"Masculino")</f>
        <v>Masculino</v>
      </c>
      <c r="L204" s="45" t="str">
        <f>IFERROR(__xludf.DUMMYFUNCTION("""COMPUTED_VALUE"""),"Cuba")</f>
        <v>Cuba</v>
      </c>
      <c r="M204" s="45" t="str">
        <f>IFERROR(__xludf.DUMMYFUNCTION("""COMPUTED_VALUE"""),"Grumete")</f>
        <v>Grumete</v>
      </c>
      <c r="N204" s="7" t="str">
        <f>IFERROR(__xludf.DUMMYFUNCTION("""COMPUTED_VALUE"""),"GRUMETE")</f>
        <v>GRUMETE</v>
      </c>
      <c r="O204" s="7"/>
      <c r="P204" s="7">
        <f>IFERROR(__xludf.DUMMYFUNCTION("""COMPUTED_VALUE"""),274.0)</f>
        <v>274</v>
      </c>
      <c r="Q204" s="45" t="str">
        <f>IFERROR(__xludf.DUMMYFUNCTION("""COMPUTED_VALUE"""),"BANANA")</f>
        <v>BANANA</v>
      </c>
      <c r="R204" s="45" t="str">
        <f>IFERROR(__xludf.DUMMYFUNCTION("""COMPUTED_VALUE"""),"Jorge Samitier")</f>
        <v>Jorge Samitier</v>
      </c>
      <c r="S204" s="45" t="str">
        <f>IFERROR(__xludf.DUMMYFUNCTION("""COMPUTED_VALUE"""),"Pablo Noceti")</f>
        <v>Pablo Noceti</v>
      </c>
      <c r="T204" s="45"/>
      <c r="U204" s="45"/>
      <c r="V204" s="45"/>
      <c r="W204" s="45"/>
      <c r="X204" s="47" t="str">
        <f>IFERROR(__xludf.DUMMYFUNCTION("""COMPUTED_VALUE"""),"Poder judicial")</f>
        <v>Poder judicial</v>
      </c>
      <c r="Y204" s="7" t="str">
        <f>IFERROR(__xludf.DUMMYFUNCTION("""COMPUTED_VALUE"""),"No")</f>
        <v>No</v>
      </c>
      <c r="Z204" s="45" t="str">
        <f>IFERROR(__xludf.DUMMYFUNCTION("""COMPUTED_VALUE"""),"Acepto")</f>
        <v>Acepto</v>
      </c>
      <c r="AA204" s="45" t="str">
        <f>IFERROR(__xludf.DUMMYFUNCTION("""COMPUTED_VALUE"""),"Repetido")</f>
        <v>Repetido</v>
      </c>
      <c r="AB204" s="45"/>
      <c r="AC204" s="7"/>
      <c r="AD204" s="7"/>
      <c r="AE204" s="7" t="str">
        <f>IFERROR(__xludf.DUMMYFUNCTION("""COMPUTED_VALUE"""),"No Corresp")</f>
        <v>No Corresp</v>
      </c>
      <c r="AF204" s="7"/>
    </row>
    <row r="205">
      <c r="A205" s="42">
        <f>IFERROR(__xludf.DUMMYFUNCTION("""COMPUTED_VALUE"""),45536.52171349537)</f>
        <v>45536.52171</v>
      </c>
      <c r="B205" s="43" t="str">
        <f>IFERROR(__xludf.DUMMYFUNCTION("""COMPUTED_VALUE"""),"Erich")</f>
        <v>Erich</v>
      </c>
      <c r="C205" s="43" t="str">
        <f>IFERROR(__xludf.DUMMYFUNCTION("""COMPUTED_VALUE"""),"Mones")</f>
        <v>Mones</v>
      </c>
      <c r="D205" s="43" t="str">
        <f>IFERROR(__xludf.DUMMYFUNCTION("""COMPUTED_VALUE"""),"Buenos Aires")</f>
        <v>Buenos Aires</v>
      </c>
      <c r="E205" s="45" t="str">
        <f>IFERROR(__xludf.DUMMYFUNCTION("""COMPUTED_VALUE"""),"ARG")</f>
        <v>ARG</v>
      </c>
      <c r="F205" s="45">
        <f>IFERROR(__xludf.DUMMYFUNCTION("""COMPUTED_VALUE"""),2.5096975E7)</f>
        <v>25096975</v>
      </c>
      <c r="G205" s="44">
        <f>IFERROR(__xludf.DUMMYFUNCTION("""COMPUTED_VALUE"""),27746.0)</f>
        <v>27746</v>
      </c>
      <c r="H205" s="45">
        <f>IFERROR(__xludf.DUMMYFUNCTION("""COMPUTED_VALUE"""),1.305793388E10)</f>
        <v>13057933880</v>
      </c>
      <c r="I205" s="45">
        <f>IFERROR(__xludf.DUMMYFUNCTION("""COMPUTED_VALUE"""),1.171632121E9)</f>
        <v>1171632121</v>
      </c>
      <c r="J205" s="45" t="str">
        <f>IFERROR(__xludf.DUMMYFUNCTION("""COMPUTED_VALUE"""),"Mones1050@gmail.com")</f>
        <v>Mones1050@gmail.com</v>
      </c>
      <c r="K205" s="45" t="str">
        <f>IFERROR(__xludf.DUMMYFUNCTION("""COMPUTED_VALUE"""),"Masculino")</f>
        <v>Masculino</v>
      </c>
      <c r="L205" s="45" t="str">
        <f>IFERROR(__xludf.DUMMYFUNCTION("""COMPUTED_VALUE"""),"CNO")</f>
        <v>CNO</v>
      </c>
      <c r="M205" s="45"/>
      <c r="N205" s="7" t="str">
        <f>IFERROR(__xludf.DUMMYFUNCTION("""COMPUTED_VALUE"""),"STAR")</f>
        <v>STAR</v>
      </c>
      <c r="O205" s="7"/>
      <c r="P205" s="7">
        <f>IFERROR(__xludf.DUMMYFUNCTION("""COMPUTED_VALUE"""),8285.0)</f>
        <v>8285</v>
      </c>
      <c r="Q205" s="45"/>
      <c r="R205" s="45" t="str">
        <f>IFERROR(__xludf.DUMMYFUNCTION("""COMPUTED_VALUE"""),"Julian Gasari")</f>
        <v>Julian Gasari</v>
      </c>
      <c r="S205" s="45"/>
      <c r="T205" s="45"/>
      <c r="U205" s="45"/>
      <c r="V205" s="45"/>
      <c r="W205" s="45"/>
      <c r="X205" s="47" t="str">
        <f>IFERROR(__xludf.DUMMYFUNCTION("""COMPUTED_VALUE"""),"Swiss Medical")</f>
        <v>Swiss Medical</v>
      </c>
      <c r="Y205" s="7" t="str">
        <f>IFERROR(__xludf.DUMMYFUNCTION("""COMPUTED_VALUE"""),"No")</f>
        <v>No</v>
      </c>
      <c r="Z205" s="45" t="str">
        <f>IFERROR(__xludf.DUMMYFUNCTION("""COMPUTED_VALUE"""),"Acepto")</f>
        <v>Acepto</v>
      </c>
      <c r="AA205" s="45" t="str">
        <f>IFERROR(__xludf.DUMMYFUNCTION("""COMPUTED_VALUE"""),"Terminado")</f>
        <v>Terminado</v>
      </c>
      <c r="AB205" s="45">
        <f>IFERROR(__xludf.DUMMYFUNCTION("""COMPUTED_VALUE"""),60000.0)</f>
        <v>60000</v>
      </c>
      <c r="AC205" s="7">
        <f>IFERROR(__xludf.DUMMYFUNCTION("""COMPUTED_VALUE"""),205414.0)</f>
        <v>205414</v>
      </c>
      <c r="AD205" s="7" t="str">
        <f>IFERROR(__xludf.DUMMYFUNCTION("""COMPUTED_VALUE"""),"TRF 02-09")</f>
        <v>TRF 02-09</v>
      </c>
      <c r="AE205" s="7" t="str">
        <f>IFERROR(__xludf.DUMMYFUNCTION("""COMPUTED_VALUE"""),"No Corresp")</f>
        <v>No Corresp</v>
      </c>
      <c r="AF205" s="7"/>
    </row>
    <row r="206">
      <c r="A206" s="42">
        <f>IFERROR(__xludf.DUMMYFUNCTION("""COMPUTED_VALUE"""),45536.5266219676)</f>
        <v>45536.52662</v>
      </c>
      <c r="B206" s="43" t="str">
        <f>IFERROR(__xludf.DUMMYFUNCTION("""COMPUTED_VALUE"""),"Rafael")</f>
        <v>Rafael</v>
      </c>
      <c r="C206" s="43" t="str">
        <f>IFERROR(__xludf.DUMMYFUNCTION("""COMPUTED_VALUE"""),"Mones")</f>
        <v>Mones</v>
      </c>
      <c r="D206" s="43" t="str">
        <f>IFERROR(__xludf.DUMMYFUNCTION("""COMPUTED_VALUE"""),"Buenos Aires")</f>
        <v>Buenos Aires</v>
      </c>
      <c r="E206" s="45" t="str">
        <f>IFERROR(__xludf.DUMMYFUNCTION("""COMPUTED_VALUE"""),"ARG")</f>
        <v>ARG</v>
      </c>
      <c r="F206" s="45">
        <f>IFERROR(__xludf.DUMMYFUNCTION("""COMPUTED_VALUE"""),5.1723975E7)</f>
        <v>51723975</v>
      </c>
      <c r="G206" s="44">
        <f>IFERROR(__xludf.DUMMYFUNCTION("""COMPUTED_VALUE"""),41808.0)</f>
        <v>41808</v>
      </c>
      <c r="H206" s="45">
        <f>IFERROR(__xludf.DUMMYFUNCTION("""COMPUTED_VALUE"""),1.305793388E10)</f>
        <v>13057933880</v>
      </c>
      <c r="I206" s="45">
        <f>IFERROR(__xludf.DUMMYFUNCTION("""COMPUTED_VALUE"""),1.171632121E9)</f>
        <v>1171632121</v>
      </c>
      <c r="J206" s="45" t="str">
        <f>IFERROR(__xludf.DUMMYFUNCTION("""COMPUTED_VALUE"""),"Mones1050@gmail.com")</f>
        <v>Mones1050@gmail.com</v>
      </c>
      <c r="K206" s="45" t="str">
        <f>IFERROR(__xludf.DUMMYFUNCTION("""COMPUTED_VALUE"""),"Masculino")</f>
        <v>Masculino</v>
      </c>
      <c r="L206" s="45" t="str">
        <f>IFERROR(__xludf.DUMMYFUNCTION("""COMPUTED_VALUE"""),"YCA")</f>
        <v>YCA</v>
      </c>
      <c r="M206" s="45"/>
      <c r="N206" s="7" t="str">
        <f>IFERROR(__xludf.DUMMYFUNCTION("""COMPUTED_VALUE"""),"OPTIMIST PRINCIPIANTES")</f>
        <v>OPTIMIST PRINCIPIANTES</v>
      </c>
      <c r="O206" s="7"/>
      <c r="P206" s="7">
        <f>IFERROR(__xludf.DUMMYFUNCTION("""COMPUTED_VALUE"""),4118.0)</f>
        <v>4118</v>
      </c>
      <c r="Q206" s="45"/>
      <c r="R206" s="45"/>
      <c r="S206" s="45"/>
      <c r="T206" s="45"/>
      <c r="U206" s="45"/>
      <c r="V206" s="45"/>
      <c r="W206" s="45"/>
      <c r="X206" s="47" t="str">
        <f>IFERROR(__xludf.DUMMYFUNCTION("""COMPUTED_VALUE"""),"Swiss Medical")</f>
        <v>Swiss Medical</v>
      </c>
      <c r="Y206" s="7" t="str">
        <f>IFERROR(__xludf.DUMMYFUNCTION("""COMPUTED_VALUE"""),"No")</f>
        <v>No</v>
      </c>
      <c r="Z206" s="45" t="str">
        <f>IFERROR(__xludf.DUMMYFUNCTION("""COMPUTED_VALUE"""),"Acepto")</f>
        <v>Acepto</v>
      </c>
      <c r="AA206" s="45" t="str">
        <f>IFERROR(__xludf.DUMMYFUNCTION("""COMPUTED_VALUE"""),"Terminado")</f>
        <v>Terminado</v>
      </c>
      <c r="AB206" s="45">
        <f>IFERROR(__xludf.DUMMYFUNCTION("""COMPUTED_VALUE"""),50000.0)</f>
        <v>50000</v>
      </c>
      <c r="AC206" s="7">
        <f>IFERROR(__xludf.DUMMYFUNCTION("""COMPUTED_VALUE"""),205385.0)</f>
        <v>205385</v>
      </c>
      <c r="AD206" s="7" t="str">
        <f>IFERROR(__xludf.DUMMYFUNCTION("""COMPUTED_VALUE"""),"TRF 02-09")</f>
        <v>TRF 02-09</v>
      </c>
      <c r="AE206" s="7" t="str">
        <f>IFERROR(__xludf.DUMMYFUNCTION("""COMPUTED_VALUE"""),"OK")</f>
        <v>OK</v>
      </c>
      <c r="AF206" s="7"/>
    </row>
    <row r="207">
      <c r="A207" s="42">
        <f>IFERROR(__xludf.DUMMYFUNCTION("""COMPUTED_VALUE"""),45519.72257881945)</f>
        <v>45519.72258</v>
      </c>
      <c r="B207" s="43" t="str">
        <f>IFERROR(__xludf.DUMMYFUNCTION("""COMPUTED_VALUE"""),"Luciano")</f>
        <v>Luciano</v>
      </c>
      <c r="C207" s="43" t="str">
        <f>IFERROR(__xludf.DUMMYFUNCTION("""COMPUTED_VALUE"""),"Montero")</f>
        <v>Montero</v>
      </c>
      <c r="D207" s="43" t="str">
        <f>IFERROR(__xludf.DUMMYFUNCTION("""COMPUTED_VALUE"""),"Buenos aires")</f>
        <v>Buenos aires</v>
      </c>
      <c r="E207" s="45" t="str">
        <f>IFERROR(__xludf.DUMMYFUNCTION("""COMPUTED_VALUE"""),"ARG")</f>
        <v>ARG</v>
      </c>
      <c r="F207" s="45">
        <f>IFERROR(__xludf.DUMMYFUNCTION("""COMPUTED_VALUE"""),3.2936598E7)</f>
        <v>32936598</v>
      </c>
      <c r="G207" s="44">
        <f>IFERROR(__xludf.DUMMYFUNCTION("""COMPUTED_VALUE"""),32053.0)</f>
        <v>32053</v>
      </c>
      <c r="H207" s="45">
        <f>IFERROR(__xludf.DUMMYFUNCTION("""COMPUTED_VALUE"""),1.168034974E9)</f>
        <v>1168034974</v>
      </c>
      <c r="I207" s="45"/>
      <c r="J207" s="45" t="str">
        <f>IFERROR(__xludf.DUMMYFUNCTION("""COMPUTED_VALUE"""),"lmontero136@gmail.com")</f>
        <v>lmontero136@gmail.com</v>
      </c>
      <c r="K207" s="45" t="str">
        <f>IFERROR(__xludf.DUMMYFUNCTION("""COMPUTED_VALUE"""),"Masculino")</f>
        <v>Masculino</v>
      </c>
      <c r="L207" s="45" t="str">
        <f>IFERROR(__xludf.DUMMYFUNCTION("""COMPUTED_VALUE"""),"CUBA")</f>
        <v>CUBA</v>
      </c>
      <c r="M207" s="45" t="str">
        <f>IFERROR(__xludf.DUMMYFUNCTION("""COMPUTED_VALUE"""),"Wingfoil")</f>
        <v>Wingfoil</v>
      </c>
      <c r="N207" s="7" t="str">
        <f>IFERROR(__xludf.DUMMYFUNCTION("""COMPUTED_VALUE"""),"WING FOIL")</f>
        <v>WING FOIL</v>
      </c>
      <c r="O207" s="7"/>
      <c r="P207" s="7" t="str">
        <f>IFERROR(__xludf.DUMMYFUNCTION("""COMPUTED_VALUE"""),"Número pechera 77")</f>
        <v>Número pechera 77</v>
      </c>
      <c r="Q207" s="45"/>
      <c r="R207" s="45"/>
      <c r="S207" s="45"/>
      <c r="T207" s="45"/>
      <c r="U207" s="45"/>
      <c r="V207" s="45"/>
      <c r="W207" s="45"/>
      <c r="X207" s="47"/>
      <c r="Y207" s="7" t="str">
        <f>IFERROR(__xludf.DUMMYFUNCTION("""COMPUTED_VALUE"""),"No")</f>
        <v>No</v>
      </c>
      <c r="Z207" s="45" t="str">
        <f>IFERROR(__xludf.DUMMYFUNCTION("""COMPUTED_VALUE"""),"Acepto")</f>
        <v>Acepto</v>
      </c>
      <c r="AA207" s="45" t="str">
        <f>IFERROR(__xludf.DUMMYFUNCTION("""COMPUTED_VALUE"""),"Terminado")</f>
        <v>Terminado</v>
      </c>
      <c r="AB207" s="45">
        <f>IFERROR(__xludf.DUMMYFUNCTION("""COMPUTED_VALUE"""),10000.0)</f>
        <v>10000</v>
      </c>
      <c r="AC207" s="7">
        <f>IFERROR(__xludf.DUMMYFUNCTION("""COMPUTED_VALUE"""),205641.0)</f>
        <v>205641</v>
      </c>
      <c r="AD207" s="7" t="str">
        <f>IFERROR(__xludf.DUMMYFUNCTION("""COMPUTED_VALUE"""),"TRF 10-09")</f>
        <v>TRF 10-09</v>
      </c>
      <c r="AE207" s="7" t="str">
        <f>IFERROR(__xludf.DUMMYFUNCTION("""COMPUTED_VALUE"""),"No Corresp")</f>
        <v>No Corresp</v>
      </c>
      <c r="AF207" s="7"/>
    </row>
    <row r="208">
      <c r="A208" s="42">
        <f>IFERROR(__xludf.DUMMYFUNCTION("""COMPUTED_VALUE"""),45535.850385729165)</f>
        <v>45535.85039</v>
      </c>
      <c r="B208" s="43" t="str">
        <f>IFERROR(__xludf.DUMMYFUNCTION("""COMPUTED_VALUE"""),"Carlota")</f>
        <v>Carlota</v>
      </c>
      <c r="C208" s="43" t="str">
        <f>IFERROR(__xludf.DUMMYFUNCTION("""COMPUTED_VALUE"""),"Moreno Cantillana")</f>
        <v>Moreno Cantillana</v>
      </c>
      <c r="D208" s="43" t="str">
        <f>IFERROR(__xludf.DUMMYFUNCTION("""COMPUTED_VALUE"""),"Buenos Aires")</f>
        <v>Buenos Aires</v>
      </c>
      <c r="E208" s="45" t="str">
        <f>IFERROR(__xludf.DUMMYFUNCTION("""COMPUTED_VALUE"""),"ARG")</f>
        <v>ARG</v>
      </c>
      <c r="F208" s="45">
        <f>IFERROR(__xludf.DUMMYFUNCTION("""COMPUTED_VALUE"""),9.5632462E7)</f>
        <v>95632462</v>
      </c>
      <c r="G208" s="44">
        <f>IFERROR(__xludf.DUMMYFUNCTION("""COMPUTED_VALUE"""),41462.0)</f>
        <v>41462</v>
      </c>
      <c r="H208" s="45">
        <f>IFERROR(__xludf.DUMMYFUNCTION("""COMPUTED_VALUE"""),1.16355946E9)</f>
        <v>1163559460</v>
      </c>
      <c r="I208" s="45">
        <f>IFERROR(__xludf.DUMMYFUNCTION("""COMPUTED_VALUE"""),1.139075016E9)</f>
        <v>1139075016</v>
      </c>
      <c r="J208" s="45" t="str">
        <f>IFERROR(__xludf.DUMMYFUNCTION("""COMPUTED_VALUE"""),"barbaracantillana@gmail.com")</f>
        <v>barbaracantillana@gmail.com</v>
      </c>
      <c r="K208" s="45" t="str">
        <f>IFERROR(__xludf.DUMMYFUNCTION("""COMPUTED_VALUE"""),"Femenino")</f>
        <v>Femenino</v>
      </c>
      <c r="L208" s="45" t="str">
        <f>IFERROR(__xludf.DUMMYFUNCTION("""COMPUTED_VALUE"""),"YCCN")</f>
        <v>YCCN</v>
      </c>
      <c r="M208" s="45" t="str">
        <f>IFERROR(__xludf.DUMMYFUNCTION("""COMPUTED_VALUE"""),"Femenino, Interior (Optimist)")</f>
        <v>Femenino, Interior (Optimist)</v>
      </c>
      <c r="N208" s="7" t="str">
        <f>IFERROR(__xludf.DUMMYFUNCTION("""COMPUTED_VALUE"""),"OPTIMIST PRINCIPIANTES")</f>
        <v>OPTIMIST PRINCIPIANTES</v>
      </c>
      <c r="O208" s="7"/>
      <c r="P208" s="7">
        <f>IFERROR(__xludf.DUMMYFUNCTION("""COMPUTED_VALUE"""),4090.0)</f>
        <v>4090</v>
      </c>
      <c r="Q208" s="45" t="str">
        <f>IFERROR(__xludf.DUMMYFUNCTION("""COMPUTED_VALUE"""),"Bala")</f>
        <v>Bala</v>
      </c>
      <c r="R208" s="45"/>
      <c r="S208" s="45"/>
      <c r="T208" s="45"/>
      <c r="U208" s="45"/>
      <c r="V208" s="45"/>
      <c r="W208" s="45"/>
      <c r="X208" s="47">
        <f>IFERROR(__xludf.DUMMYFUNCTION("""COMPUTED_VALUE"""),6.2792242104E10)</f>
        <v>62792242104</v>
      </c>
      <c r="Y208" s="7" t="str">
        <f>IFERROR(__xludf.DUMMYFUNCTION("""COMPUTED_VALUE"""),"Si")</f>
        <v>Si</v>
      </c>
      <c r="Z208" s="45" t="str">
        <f>IFERROR(__xludf.DUMMYFUNCTION("""COMPUTED_VALUE"""),"Acepto")</f>
        <v>Acepto</v>
      </c>
      <c r="AA208" s="45" t="str">
        <f>IFERROR(__xludf.DUMMYFUNCTION("""COMPUTED_VALUE"""),"Terminado")</f>
        <v>Terminado</v>
      </c>
      <c r="AB208" s="45">
        <f>IFERROR(__xludf.DUMMYFUNCTION("""COMPUTED_VALUE"""),60000.0)</f>
        <v>60000</v>
      </c>
      <c r="AC208" s="7">
        <f>IFERROR(__xludf.DUMMYFUNCTION("""COMPUTED_VALUE"""),205356.0)</f>
        <v>205356</v>
      </c>
      <c r="AD208" s="7" t="str">
        <f>IFERROR(__xludf.DUMMYFUNCTION("""COMPUTED_VALUE"""),"TRF 02-09")</f>
        <v>TRF 02-09</v>
      </c>
      <c r="AE208" s="7" t="str">
        <f>IFERROR(__xludf.DUMMYFUNCTION("""COMPUTED_VALUE"""),"OK")</f>
        <v>OK</v>
      </c>
      <c r="AF208" s="7"/>
    </row>
    <row r="209">
      <c r="A209" s="42">
        <f>IFERROR(__xludf.DUMMYFUNCTION("""COMPUTED_VALUE"""),45537.540315254635)</f>
        <v>45537.54032</v>
      </c>
      <c r="B209" s="43" t="str">
        <f>IFERROR(__xludf.DUMMYFUNCTION("""COMPUTED_VALUE"""),"Michelle ")</f>
        <v>Michelle </v>
      </c>
      <c r="C209" s="43" t="str">
        <f>IFERROR(__xludf.DUMMYFUNCTION("""COMPUTED_VALUE"""),"Moriceau")</f>
        <v>Moriceau</v>
      </c>
      <c r="D209" s="43" t="str">
        <f>IFERROR(__xludf.DUMMYFUNCTION("""COMPUTED_VALUE"""),"Olivos ")</f>
        <v>Olivos </v>
      </c>
      <c r="E209" s="45" t="str">
        <f>IFERROR(__xludf.DUMMYFUNCTION("""COMPUTED_VALUE"""),"ARG")</f>
        <v>ARG</v>
      </c>
      <c r="F209" s="45">
        <f>IFERROR(__xludf.DUMMYFUNCTION("""COMPUTED_VALUE"""),5.4300994E7)</f>
        <v>54300994</v>
      </c>
      <c r="G209" s="44">
        <f>IFERROR(__xludf.DUMMYFUNCTION("""COMPUTED_VALUE"""),41915.0)</f>
        <v>41915</v>
      </c>
      <c r="H209" s="45">
        <f>IFERROR(__xludf.DUMMYFUNCTION("""COMPUTED_VALUE"""),1.156454666E9)</f>
        <v>1156454666</v>
      </c>
      <c r="I209" s="45">
        <f>IFERROR(__xludf.DUMMYFUNCTION("""COMPUTED_VALUE"""),1.156454666E9)</f>
        <v>1156454666</v>
      </c>
      <c r="J209" s="45" t="str">
        <f>IFERROR(__xludf.DUMMYFUNCTION("""COMPUTED_VALUE"""),"karengreniuk@gmail.com")</f>
        <v>karengreniuk@gmail.com</v>
      </c>
      <c r="K209" s="45" t="str">
        <f>IFERROR(__xludf.DUMMYFUNCTION("""COMPUTED_VALUE"""),"Femenino")</f>
        <v>Femenino</v>
      </c>
      <c r="L209" s="45" t="str">
        <f>IFERROR(__xludf.DUMMYFUNCTION("""COMPUTED_VALUE"""),"YCA")</f>
        <v>YCA</v>
      </c>
      <c r="M209" s="45" t="str">
        <f>IFERROR(__xludf.DUMMYFUNCTION("""COMPUTED_VALUE"""),"Femenino")</f>
        <v>Femenino</v>
      </c>
      <c r="N209" s="7" t="str">
        <f>IFERROR(__xludf.DUMMYFUNCTION("""COMPUTED_VALUE"""),"OPTIMIST PRINCIPIANTES")</f>
        <v>OPTIMIST PRINCIPIANTES</v>
      </c>
      <c r="O209" s="7"/>
      <c r="P209" s="7">
        <f>IFERROR(__xludf.DUMMYFUNCTION("""COMPUTED_VALUE"""),3523.0)</f>
        <v>3523</v>
      </c>
      <c r="Q209" s="45" t="str">
        <f>IFERROR(__xludf.DUMMYFUNCTION("""COMPUTED_VALUE"""),"Michirena")</f>
        <v>Michirena</v>
      </c>
      <c r="R209" s="45"/>
      <c r="S209" s="45"/>
      <c r="T209" s="45"/>
      <c r="U209" s="45"/>
      <c r="V209" s="45"/>
      <c r="W209" s="45"/>
      <c r="X209" s="47" t="str">
        <f>IFERROR(__xludf.DUMMYFUNCTION("""COMPUTED_VALUE"""),"Medicus MC 14730220000")</f>
        <v>Medicus MC 14730220000</v>
      </c>
      <c r="Y209" s="7" t="str">
        <f>IFERROR(__xludf.DUMMYFUNCTION("""COMPUTED_VALUE"""),"No")</f>
        <v>No</v>
      </c>
      <c r="Z209" s="45" t="str">
        <f>IFERROR(__xludf.DUMMYFUNCTION("""COMPUTED_VALUE"""),"Acepto")</f>
        <v>Acepto</v>
      </c>
      <c r="AA209" s="45" t="str">
        <f>IFERROR(__xludf.DUMMYFUNCTION("""COMPUTED_VALUE"""),"Terminado")</f>
        <v>Terminado</v>
      </c>
      <c r="AB209" s="45">
        <f>IFERROR(__xludf.DUMMYFUNCTION("""COMPUTED_VALUE"""),50000.0)</f>
        <v>50000</v>
      </c>
      <c r="AC209" s="7">
        <f>IFERROR(__xludf.DUMMYFUNCTION("""COMPUTED_VALUE"""),205565.0)</f>
        <v>205565</v>
      </c>
      <c r="AD209" s="7" t="str">
        <f>IFERROR(__xludf.DUMMYFUNCTION("""COMPUTED_VALUE"""),"TRF 02-09")</f>
        <v>TRF 02-09</v>
      </c>
      <c r="AE209" s="7" t="str">
        <f>IFERROR(__xludf.DUMMYFUNCTION("""COMPUTED_VALUE"""),"Pendiente")</f>
        <v>Pendiente</v>
      </c>
      <c r="AF209" s="7"/>
    </row>
    <row r="210">
      <c r="A210" s="42">
        <f>IFERROR(__xludf.DUMMYFUNCTION("""COMPUTED_VALUE"""),45518.934356122685)</f>
        <v>45518.93436</v>
      </c>
      <c r="B210" s="43" t="str">
        <f>IFERROR(__xludf.DUMMYFUNCTION("""COMPUTED_VALUE"""),"Ruben")</f>
        <v>Ruben</v>
      </c>
      <c r="C210" s="43" t="str">
        <f>IFERROR(__xludf.DUMMYFUNCTION("""COMPUTED_VALUE"""),"Moscatelli")</f>
        <v>Moscatelli</v>
      </c>
      <c r="D210" s="43" t="str">
        <f>IFERROR(__xludf.DUMMYFUNCTION("""COMPUTED_VALUE"""),"Buenos Aires")</f>
        <v>Buenos Aires</v>
      </c>
      <c r="E210" s="45" t="str">
        <f>IFERROR(__xludf.DUMMYFUNCTION("""COMPUTED_VALUE"""),"ARG")</f>
        <v>ARG</v>
      </c>
      <c r="F210" s="45">
        <f>IFERROR(__xludf.DUMMYFUNCTION("""COMPUTED_VALUE"""),1.0933157E7)</f>
        <v>10933157</v>
      </c>
      <c r="G210" s="44">
        <f>IFERROR(__xludf.DUMMYFUNCTION("""COMPUTED_VALUE"""),19635.0)</f>
        <v>19635</v>
      </c>
      <c r="H210" s="45" t="str">
        <f>IFERROR(__xludf.DUMMYFUNCTION("""COMPUTED_VALUE"""),"11 2327 5650")</f>
        <v>11 2327 5650</v>
      </c>
      <c r="I210" s="45" t="str">
        <f>IFERROR(__xludf.DUMMYFUNCTION("""COMPUTED_VALUE"""),"11 5490 3901")</f>
        <v>11 5490 3901</v>
      </c>
      <c r="J210" s="45" t="str">
        <f>IFERROR(__xludf.DUMMYFUNCTION("""COMPUTED_VALUE"""),"moscatelli_r@hotmail.com")</f>
        <v>moscatelli_r@hotmail.com</v>
      </c>
      <c r="K210" s="45" t="str">
        <f>IFERROR(__xludf.DUMMYFUNCTION("""COMPUTED_VALUE"""),"Masculino")</f>
        <v>Masculino</v>
      </c>
      <c r="L210" s="45" t="str">
        <f>IFERROR(__xludf.DUMMYFUNCTION("""COMPUTED_VALUE"""),"CPCNB")</f>
        <v>CPCNB</v>
      </c>
      <c r="M210" s="45" t="str">
        <f>IFERROR(__xludf.DUMMYFUNCTION("""COMPUTED_VALUE"""),"Master (ILCA)")</f>
        <v>Master (ILCA)</v>
      </c>
      <c r="N210" s="7" t="str">
        <f>IFERROR(__xludf.DUMMYFUNCTION("""COMPUTED_VALUE"""),"PAMPERO")</f>
        <v>PAMPERO</v>
      </c>
      <c r="O210" s="7"/>
      <c r="P210" s="7" t="str">
        <f>IFERROR(__xludf.DUMMYFUNCTION("""COMPUTED_VALUE"""),"ARG 3716")</f>
        <v>ARG 3716</v>
      </c>
      <c r="Q210" s="45" t="str">
        <f>IFERROR(__xludf.DUMMYFUNCTION("""COMPUTED_VALUE"""),"Silver Star II")</f>
        <v>Silver Star II</v>
      </c>
      <c r="R210" s="45" t="str">
        <f>IFERROR(__xludf.DUMMYFUNCTION("""COMPUTED_VALUE"""),"Mariana Seminara")</f>
        <v>Mariana Seminara</v>
      </c>
      <c r="S210" s="45"/>
      <c r="T210" s="45"/>
      <c r="U210" s="45"/>
      <c r="V210" s="45"/>
      <c r="W210" s="45"/>
      <c r="X210" s="47" t="str">
        <f>IFERROR(__xludf.DUMMYFUNCTION("""COMPUTED_VALUE"""),"Medicus 06024195008")</f>
        <v>Medicus 06024195008</v>
      </c>
      <c r="Y210" s="7" t="str">
        <f>IFERROR(__xludf.DUMMYFUNCTION("""COMPUTED_VALUE"""),"Si")</f>
        <v>Si</v>
      </c>
      <c r="Z210" s="45" t="str">
        <f>IFERROR(__xludf.DUMMYFUNCTION("""COMPUTED_VALUE"""),"Acepto")</f>
        <v>Acepto</v>
      </c>
      <c r="AA210" s="45" t="str">
        <f>IFERROR(__xludf.DUMMYFUNCTION("""COMPUTED_VALUE"""),"Terminado")</f>
        <v>Terminado</v>
      </c>
      <c r="AB210" s="45">
        <f>IFERROR(__xludf.DUMMYFUNCTION("""COMPUTED_VALUE"""),60000.0)</f>
        <v>60000</v>
      </c>
      <c r="AC210" s="7">
        <f>IFERROR(__xludf.DUMMYFUNCTION("""COMPUTED_VALUE"""),204951.0)</f>
        <v>204951</v>
      </c>
      <c r="AD210" s="7" t="str">
        <f>IFERROR(__xludf.DUMMYFUNCTION("""COMPUTED_VALUE"""),"TRF 14-8")</f>
        <v>TRF 14-8</v>
      </c>
      <c r="AE210" s="7" t="str">
        <f>IFERROR(__xludf.DUMMYFUNCTION("""COMPUTED_VALUE"""),"No Corresp")</f>
        <v>No Corresp</v>
      </c>
      <c r="AF210" s="7" t="str">
        <f>IFERROR(__xludf.DUMMYFUNCTION("""COMPUTED_VALUE"""),"Si")</f>
        <v>Si</v>
      </c>
    </row>
    <row r="211">
      <c r="A211" s="42">
        <f>IFERROR(__xludf.DUMMYFUNCTION("""COMPUTED_VALUE"""),45535.62656900463)</f>
        <v>45535.62657</v>
      </c>
      <c r="B211" s="43" t="str">
        <f>IFERROR(__xludf.DUMMYFUNCTION("""COMPUTED_VALUE"""),"Martín ")</f>
        <v>Martín </v>
      </c>
      <c r="C211" s="43" t="str">
        <f>IFERROR(__xludf.DUMMYFUNCTION("""COMPUTED_VALUE"""),"Mul")</f>
        <v>Mul</v>
      </c>
      <c r="D211" s="43" t="str">
        <f>IFERROR(__xludf.DUMMYFUNCTION("""COMPUTED_VALUE"""),"Zarate")</f>
        <v>Zarate</v>
      </c>
      <c r="E211" s="45" t="str">
        <f>IFERROR(__xludf.DUMMYFUNCTION("""COMPUTED_VALUE"""),"ARG")</f>
        <v>ARG</v>
      </c>
      <c r="F211" s="45">
        <f>IFERROR(__xludf.DUMMYFUNCTION("""COMPUTED_VALUE"""),5.3417016E7)</f>
        <v>53417016</v>
      </c>
      <c r="G211" s="44">
        <f>IFERROR(__xludf.DUMMYFUNCTION("""COMPUTED_VALUE"""),41536.0)</f>
        <v>41536</v>
      </c>
      <c r="H211" s="45">
        <f>IFERROR(__xludf.DUMMYFUNCTION("""COMPUTED_VALUE"""),3.487330394E9)</f>
        <v>3487330394</v>
      </c>
      <c r="I211" s="45"/>
      <c r="J211" s="45" t="str">
        <f>IFERROR(__xludf.DUMMYFUNCTION("""COMPUTED_VALUE"""),"Malala_18g@hotmail.com")</f>
        <v>Malala_18g@hotmail.com</v>
      </c>
      <c r="K211" s="45" t="str">
        <f>IFERROR(__xludf.DUMMYFUNCTION("""COMPUTED_VALUE"""),"Masculino")</f>
        <v>Masculino</v>
      </c>
      <c r="L211" s="45" t="str">
        <f>IFERROR(__xludf.DUMMYFUNCTION("""COMPUTED_VALUE"""),"CNZ")</f>
        <v>CNZ</v>
      </c>
      <c r="M211" s="45" t="str">
        <f>IFERROR(__xludf.DUMMYFUNCTION("""COMPUTED_VALUE"""),"Interior (Optimist)")</f>
        <v>Interior (Optimist)</v>
      </c>
      <c r="N211" s="7" t="str">
        <f>IFERROR(__xludf.DUMMYFUNCTION("""COMPUTED_VALUE"""),"OPTIMIST PRINCIPIANTES")</f>
        <v>OPTIMIST PRINCIPIANTES</v>
      </c>
      <c r="O211" s="7"/>
      <c r="P211" s="7">
        <f>IFERROR(__xludf.DUMMYFUNCTION("""COMPUTED_VALUE"""),2865.0)</f>
        <v>2865</v>
      </c>
      <c r="Q211" s="45" t="str">
        <f>IFERROR(__xludf.DUMMYFUNCTION("""COMPUTED_VALUE"""),"Rayo")</f>
        <v>Rayo</v>
      </c>
      <c r="R211" s="45"/>
      <c r="S211" s="45"/>
      <c r="T211" s="45"/>
      <c r="U211" s="45"/>
      <c r="V211" s="45"/>
      <c r="W211" s="45"/>
      <c r="X211" s="47" t="str">
        <f>IFERROR(__xludf.DUMMYFUNCTION("""COMPUTED_VALUE"""),"Osdipp")</f>
        <v>Osdipp</v>
      </c>
      <c r="Y211" s="7" t="str">
        <f>IFERROR(__xludf.DUMMYFUNCTION("""COMPUTED_VALUE"""),"Si")</f>
        <v>Si</v>
      </c>
      <c r="Z211" s="45" t="str">
        <f>IFERROR(__xludf.DUMMYFUNCTION("""COMPUTED_VALUE"""),"Acepto")</f>
        <v>Acepto</v>
      </c>
      <c r="AA211" s="45" t="str">
        <f>IFERROR(__xludf.DUMMYFUNCTION("""COMPUTED_VALUE"""),"Terminado")</f>
        <v>Terminado</v>
      </c>
      <c r="AB211" s="45">
        <f>IFERROR(__xludf.DUMMYFUNCTION("""COMPUTED_VALUE"""),50000.0)</f>
        <v>50000</v>
      </c>
      <c r="AC211" s="7">
        <f>IFERROR(__xludf.DUMMYFUNCTION("""COMPUTED_VALUE"""),205357.0)</f>
        <v>205357</v>
      </c>
      <c r="AD211" s="7" t="str">
        <f>IFERROR(__xludf.DUMMYFUNCTION("""COMPUTED_VALUE"""),"TRF 31-08")</f>
        <v>TRF 31-08</v>
      </c>
      <c r="AE211" s="7" t="str">
        <f>IFERROR(__xludf.DUMMYFUNCTION("""COMPUTED_VALUE"""),"OK")</f>
        <v>OK</v>
      </c>
      <c r="AF211" s="7"/>
    </row>
    <row r="212">
      <c r="A212" s="42">
        <f>IFERROR(__xludf.DUMMYFUNCTION("""COMPUTED_VALUE"""),45535.516484155094)</f>
        <v>45535.51648</v>
      </c>
      <c r="B212" s="43" t="str">
        <f>IFERROR(__xludf.DUMMYFUNCTION("""COMPUTED_VALUE"""),"Olivia ")</f>
        <v>Olivia </v>
      </c>
      <c r="C212" s="43" t="str">
        <f>IFERROR(__xludf.DUMMYFUNCTION("""COMPUTED_VALUE"""),"MUSSEL")</f>
        <v>MUSSEL</v>
      </c>
      <c r="D212" s="43" t="str">
        <f>IFERROR(__xludf.DUMMYFUNCTION("""COMPUTED_VALUE"""),"CABA")</f>
        <v>CABA</v>
      </c>
      <c r="E212" s="45" t="str">
        <f>IFERROR(__xludf.DUMMYFUNCTION("""COMPUTED_VALUE"""),"ARG")</f>
        <v>ARG</v>
      </c>
      <c r="F212" s="45">
        <f>IFERROR(__xludf.DUMMYFUNCTION("""COMPUTED_VALUE"""),5.1269548E7)</f>
        <v>51269548</v>
      </c>
      <c r="G212" s="44">
        <f>IFERROR(__xludf.DUMMYFUNCTION("""COMPUTED_VALUE"""),40733.0)</f>
        <v>40733</v>
      </c>
      <c r="H212" s="45">
        <f>IFERROR(__xludf.DUMMYFUNCTION("""COMPUTED_VALUE"""),1.158303299E9)</f>
        <v>1158303299</v>
      </c>
      <c r="I212" s="45" t="str">
        <f>IFERROR(__xludf.DUMMYFUNCTION("""COMPUTED_VALUE"""),"01134640808")</f>
        <v>01134640808</v>
      </c>
      <c r="J212" s="45" t="str">
        <f>IFERROR(__xludf.DUMMYFUNCTION("""COMPUTED_VALUE"""),"mpakrause@gmail.com")</f>
        <v>mpakrause@gmail.com</v>
      </c>
      <c r="K212" s="45" t="str">
        <f>IFERROR(__xludf.DUMMYFUNCTION("""COMPUTED_VALUE"""),"Femenino")</f>
        <v>Femenino</v>
      </c>
      <c r="L212" s="45" t="str">
        <f>IFERROR(__xludf.DUMMYFUNCTION("""COMPUTED_VALUE"""),"CUBA")</f>
        <v>CUBA</v>
      </c>
      <c r="M212" s="45" t="str">
        <f>IFERROR(__xludf.DUMMYFUNCTION("""COMPUTED_VALUE"""),"Femenino, Interior (Optimist)")</f>
        <v>Femenino, Interior (Optimist)</v>
      </c>
      <c r="N212" s="7" t="str">
        <f>IFERROR(__xludf.DUMMYFUNCTION("""COMPUTED_VALUE"""),"OPTIMIST PRINCIPIANTES")</f>
        <v>OPTIMIST PRINCIPIANTES</v>
      </c>
      <c r="O212" s="7"/>
      <c r="P212" s="7" t="str">
        <f>IFERROR(__xludf.DUMMYFUNCTION("""COMPUTED_VALUE"""),"ARG 4132")</f>
        <v>ARG 4132</v>
      </c>
      <c r="Q212" s="45"/>
      <c r="R212" s="45"/>
      <c r="S212" s="45"/>
      <c r="T212" s="45"/>
      <c r="U212" s="45"/>
      <c r="V212" s="45"/>
      <c r="W212" s="45"/>
      <c r="X212" s="47" t="str">
        <f>IFERROR(__xludf.DUMMYFUNCTION("""COMPUTED_VALUE"""),"Swis Medical Docthos ")</f>
        <v>Swis Medical Docthos </v>
      </c>
      <c r="Y212" s="7" t="str">
        <f>IFERROR(__xludf.DUMMYFUNCTION("""COMPUTED_VALUE"""),"No")</f>
        <v>No</v>
      </c>
      <c r="Z212" s="45" t="str">
        <f>IFERROR(__xludf.DUMMYFUNCTION("""COMPUTED_VALUE"""),"Acepto")</f>
        <v>Acepto</v>
      </c>
      <c r="AA212" s="45" t="str">
        <f>IFERROR(__xludf.DUMMYFUNCTION("""COMPUTED_VALUE"""),"Terminado")</f>
        <v>Terminado</v>
      </c>
      <c r="AB212" s="45">
        <f>IFERROR(__xludf.DUMMYFUNCTION("""COMPUTED_VALUE"""),60000.0)</f>
        <v>60000</v>
      </c>
      <c r="AC212" s="7">
        <f>IFERROR(__xludf.DUMMYFUNCTION("""COMPUTED_VALUE"""),205169.0)</f>
        <v>205169</v>
      </c>
      <c r="AD212" s="7" t="str">
        <f>IFERROR(__xludf.DUMMYFUNCTION("""COMPUTED_VALUE"""),"TRF 31-08")</f>
        <v>TRF 31-08</v>
      </c>
      <c r="AE212" s="7" t="str">
        <f>IFERROR(__xludf.DUMMYFUNCTION("""COMPUTED_VALUE"""),"OK")</f>
        <v>OK</v>
      </c>
      <c r="AF212" s="7"/>
    </row>
    <row r="213">
      <c r="A213" s="42">
        <f>IFERROR(__xludf.DUMMYFUNCTION("""COMPUTED_VALUE"""),45536.54026725695)</f>
        <v>45536.54027</v>
      </c>
      <c r="B213" s="43" t="str">
        <f>IFERROR(__xludf.DUMMYFUNCTION("""COMPUTED_VALUE"""),"Enzo ")</f>
        <v>Enzo </v>
      </c>
      <c r="C213" s="43" t="str">
        <f>IFERROR(__xludf.DUMMYFUNCTION("""COMPUTED_VALUE"""),"Musumeci ")</f>
        <v>Musumeci </v>
      </c>
      <c r="D213" s="43" t="str">
        <f>IFERROR(__xludf.DUMMYFUNCTION("""COMPUTED_VALUE"""),"Soldini")</f>
        <v>Soldini</v>
      </c>
      <c r="E213" s="45" t="str">
        <f>IFERROR(__xludf.DUMMYFUNCTION("""COMPUTED_VALUE"""),"ARG")</f>
        <v>ARG</v>
      </c>
      <c r="F213" s="45">
        <f>IFERROR(__xludf.DUMMYFUNCTION("""COMPUTED_VALUE"""),5.1012774E7)</f>
        <v>51012774</v>
      </c>
      <c r="G213" s="44">
        <f>IFERROR(__xludf.DUMMYFUNCTION("""COMPUTED_VALUE"""),40586.0)</f>
        <v>40586</v>
      </c>
      <c r="H213" s="45">
        <f>IFERROR(__xludf.DUMMYFUNCTION("""COMPUTED_VALUE"""),3.416198E9)</f>
        <v>3416198000</v>
      </c>
      <c r="I213" s="45"/>
      <c r="J213" s="45" t="str">
        <f>IFERROR(__xludf.DUMMYFUNCTION("""COMPUTED_VALUE"""),"Melisaalvarez1979@gmail.com")</f>
        <v>Melisaalvarez1979@gmail.com</v>
      </c>
      <c r="K213" s="45" t="str">
        <f>IFERROR(__xludf.DUMMYFUNCTION("""COMPUTED_VALUE"""),"Masculino")</f>
        <v>Masculino</v>
      </c>
      <c r="L213" s="45" t="str">
        <f>IFERROR(__xludf.DUMMYFUNCTION("""COMPUTED_VALUE"""),"Crr")</f>
        <v>Crr</v>
      </c>
      <c r="M213" s="45" t="str">
        <f>IFERROR(__xludf.DUMMYFUNCTION("""COMPUTED_VALUE"""),"Interior (Optimist)")</f>
        <v>Interior (Optimist)</v>
      </c>
      <c r="N213" s="7" t="str">
        <f>IFERROR(__xludf.DUMMYFUNCTION("""COMPUTED_VALUE"""),"OPTIMIST TIMONELES")</f>
        <v>OPTIMIST TIMONELES</v>
      </c>
      <c r="O213" s="7"/>
      <c r="P213" s="7">
        <f>IFERROR(__xludf.DUMMYFUNCTION("""COMPUTED_VALUE"""),4018.0)</f>
        <v>4018</v>
      </c>
      <c r="Q213" s="45"/>
      <c r="R213" s="45"/>
      <c r="S213" s="45"/>
      <c r="T213" s="45"/>
      <c r="U213" s="45"/>
      <c r="V213" s="45"/>
      <c r="W213" s="45"/>
      <c r="X213" s="47"/>
      <c r="Y213" s="7" t="str">
        <f>IFERROR(__xludf.DUMMYFUNCTION("""COMPUTED_VALUE"""),"No")</f>
        <v>No</v>
      </c>
      <c r="Z213" s="45" t="str">
        <f>IFERROR(__xludf.DUMMYFUNCTION("""COMPUTED_VALUE"""),"Acepto")</f>
        <v>Acepto</v>
      </c>
      <c r="AA213" s="45" t="str">
        <f>IFERROR(__xludf.DUMMYFUNCTION("""COMPUTED_VALUE"""),"Terminado")</f>
        <v>Terminado</v>
      </c>
      <c r="AB213" s="45">
        <f>IFERROR(__xludf.DUMMYFUNCTION("""COMPUTED_VALUE"""),42500.0)</f>
        <v>42500</v>
      </c>
      <c r="AC213" s="7">
        <f>IFERROR(__xludf.DUMMYFUNCTION("""COMPUTED_VALUE"""),205386.0)</f>
        <v>205386</v>
      </c>
      <c r="AD213" s="7" t="str">
        <f>IFERROR(__xludf.DUMMYFUNCTION("""COMPUTED_VALUE"""),"TRF 02-09")</f>
        <v>TRF 02-09</v>
      </c>
      <c r="AE213" s="7" t="str">
        <f>IFERROR(__xludf.DUMMYFUNCTION("""COMPUTED_VALUE"""),"OK")</f>
        <v>OK</v>
      </c>
      <c r="AF213" s="7"/>
    </row>
    <row r="214">
      <c r="A214" s="42">
        <f>IFERROR(__xludf.DUMMYFUNCTION("""COMPUTED_VALUE"""),45538.87240600694)</f>
        <v>45538.87241</v>
      </c>
      <c r="B214" s="43" t="str">
        <f>IFERROR(__xludf.DUMMYFUNCTION("""COMPUTED_VALUE"""),"Ambar")</f>
        <v>Ambar</v>
      </c>
      <c r="C214" s="43" t="str">
        <f>IFERROR(__xludf.DUMMYFUNCTION("""COMPUTED_VALUE"""),"Muzzio")</f>
        <v>Muzzio</v>
      </c>
      <c r="D214" s="43" t="str">
        <f>IFERROR(__xludf.DUMMYFUNCTION("""COMPUTED_VALUE"""),"Beccar")</f>
        <v>Beccar</v>
      </c>
      <c r="E214" s="45" t="str">
        <f>IFERROR(__xludf.DUMMYFUNCTION("""COMPUTED_VALUE"""),"ARG")</f>
        <v>ARG</v>
      </c>
      <c r="F214" s="45">
        <f>IFERROR(__xludf.DUMMYFUNCTION("""COMPUTED_VALUE"""),5.2159528E7)</f>
        <v>52159528</v>
      </c>
      <c r="G214" s="44">
        <f>IFERROR(__xludf.DUMMYFUNCTION("""COMPUTED_VALUE"""),40948.0)</f>
        <v>40948</v>
      </c>
      <c r="H214" s="45">
        <f>IFERROR(__xludf.DUMMYFUNCTION("""COMPUTED_VALUE"""),1.133240918E9)</f>
        <v>1133240918</v>
      </c>
      <c r="I214" s="45">
        <f>IFERROR(__xludf.DUMMYFUNCTION("""COMPUTED_VALUE"""),1.13324093E8)</f>
        <v>113324093</v>
      </c>
      <c r="J214" s="45" t="str">
        <f>IFERROR(__xludf.DUMMYFUNCTION("""COMPUTED_VALUE"""),"gustavo.muzzio@gmail.com")</f>
        <v>gustavo.muzzio@gmail.com</v>
      </c>
      <c r="K214" s="45" t="str">
        <f>IFERROR(__xludf.DUMMYFUNCTION("""COMPUTED_VALUE"""),"Femenino")</f>
        <v>Femenino</v>
      </c>
      <c r="L214" s="45" t="str">
        <f>IFERROR(__xludf.DUMMYFUNCTION("""COMPUTED_VALUE"""),"CPNLB")</f>
        <v>CPNLB</v>
      </c>
      <c r="M214" s="45" t="str">
        <f>IFERROR(__xludf.DUMMYFUNCTION("""COMPUTED_VALUE"""),"Femenino")</f>
        <v>Femenino</v>
      </c>
      <c r="N214" s="7" t="str">
        <f>IFERROR(__xludf.DUMMYFUNCTION("""COMPUTED_VALUE"""),"OPTIMIST TIMONELES")</f>
        <v>OPTIMIST TIMONELES</v>
      </c>
      <c r="O214" s="7"/>
      <c r="P214" s="7" t="str">
        <f>IFERROR(__xludf.DUMMYFUNCTION("""COMPUTED_VALUE"""),"USA22851")</f>
        <v>USA22851</v>
      </c>
      <c r="Q214" s="45"/>
      <c r="R214" s="45"/>
      <c r="S214" s="45"/>
      <c r="T214" s="45"/>
      <c r="U214" s="45"/>
      <c r="V214" s="45"/>
      <c r="W214" s="45"/>
      <c r="X214" s="47" t="str">
        <f>IFERROR(__xludf.DUMMYFUNCTION("""COMPUTED_VALUE"""),"TV SALUD")</f>
        <v>TV SALUD</v>
      </c>
      <c r="Y214" s="7" t="str">
        <f>IFERROR(__xludf.DUMMYFUNCTION("""COMPUTED_VALUE"""),"Si")</f>
        <v>Si</v>
      </c>
      <c r="Z214" s="45" t="str">
        <f>IFERROR(__xludf.DUMMYFUNCTION("""COMPUTED_VALUE"""),"Acepto")</f>
        <v>Acepto</v>
      </c>
      <c r="AA214" s="45" t="str">
        <f>IFERROR(__xludf.DUMMYFUNCTION("""COMPUTED_VALUE"""),"Terminado")</f>
        <v>Terminado</v>
      </c>
      <c r="AB214" s="45">
        <f>IFERROR(__xludf.DUMMYFUNCTION("""COMPUTED_VALUE"""),50000.0)</f>
        <v>50000</v>
      </c>
      <c r="AC214" s="7">
        <f>IFERROR(__xludf.DUMMYFUNCTION("""COMPUTED_VALUE"""),205429.0)</f>
        <v>205429</v>
      </c>
      <c r="AD214" s="7" t="str">
        <f>IFERROR(__xludf.DUMMYFUNCTION("""COMPUTED_VALUE"""),"TRF 03-09")</f>
        <v>TRF 03-09</v>
      </c>
      <c r="AE214" s="7" t="str">
        <f>IFERROR(__xludf.DUMMYFUNCTION("""COMPUTED_VALUE"""),"OK")</f>
        <v>OK</v>
      </c>
      <c r="AF214" s="7" t="str">
        <f>IFERROR(__xludf.DUMMYFUNCTION("""COMPUTED_VALUE"""),"SI")</f>
        <v>SI</v>
      </c>
    </row>
    <row r="215">
      <c r="A215" s="42">
        <f>IFERROR(__xludf.DUMMYFUNCTION("""COMPUTED_VALUE"""),45537.738134224535)</f>
        <v>45537.73813</v>
      </c>
      <c r="B215" s="43" t="str">
        <f>IFERROR(__xludf.DUMMYFUNCTION("""COMPUTED_VALUE"""),"Francisco ")</f>
        <v>Francisco </v>
      </c>
      <c r="C215" s="43" t="str">
        <f>IFERROR(__xludf.DUMMYFUNCTION("""COMPUTED_VALUE"""),"Neira")</f>
        <v>Neira</v>
      </c>
      <c r="D215" s="43" t="str">
        <f>IFERROR(__xludf.DUMMYFUNCTION("""COMPUTED_VALUE"""),"Montevideo")</f>
        <v>Montevideo</v>
      </c>
      <c r="E215" s="45" t="str">
        <f>IFERROR(__xludf.DUMMYFUNCTION("""COMPUTED_VALUE"""),"URU")</f>
        <v>URU</v>
      </c>
      <c r="F215" s="45">
        <f>IFERROR(__xludf.DUMMYFUNCTION("""COMPUTED_VALUE"""),5.9600158E7)</f>
        <v>59600158</v>
      </c>
      <c r="G215" s="44">
        <f>IFERROR(__xludf.DUMMYFUNCTION("""COMPUTED_VALUE"""),41033.0)</f>
        <v>41033</v>
      </c>
      <c r="H215" s="45">
        <f>IFERROR(__xludf.DUMMYFUNCTION("""COMPUTED_VALUE"""),5.9899546638E10)</f>
        <v>59899546638</v>
      </c>
      <c r="I215" s="45">
        <f>IFERROR(__xludf.DUMMYFUNCTION("""COMPUTED_VALUE"""),5.9899546638E10)</f>
        <v>59899546638</v>
      </c>
      <c r="J215" s="45" t="str">
        <f>IFERROR(__xludf.DUMMYFUNCTION("""COMPUTED_VALUE"""),"carolina.meikle@gmail.com")</f>
        <v>carolina.meikle@gmail.com</v>
      </c>
      <c r="K215" s="45" t="str">
        <f>IFERROR(__xludf.DUMMYFUNCTION("""COMPUTED_VALUE"""),"Masculino")</f>
        <v>Masculino</v>
      </c>
      <c r="L215" s="45" t="str">
        <f>IFERROR(__xludf.DUMMYFUNCTION("""COMPUTED_VALUE"""),"NYC")</f>
        <v>NYC</v>
      </c>
      <c r="M215" s="45" t="str">
        <f>IFERROR(__xludf.DUMMYFUNCTION("""COMPUTED_VALUE"""),"Interior (Optimist)")</f>
        <v>Interior (Optimist)</v>
      </c>
      <c r="N215" s="7" t="str">
        <f>IFERROR(__xludf.DUMMYFUNCTION("""COMPUTED_VALUE"""),"OPTIMIST TIMONELES")</f>
        <v>OPTIMIST TIMONELES</v>
      </c>
      <c r="O215" s="7"/>
      <c r="P215" s="7">
        <f>IFERROR(__xludf.DUMMYFUNCTION("""COMPUTED_VALUE"""),433.0)</f>
        <v>433</v>
      </c>
      <c r="Q215" s="45"/>
      <c r="R215" s="45"/>
      <c r="S215" s="45"/>
      <c r="T215" s="45"/>
      <c r="U215" s="45"/>
      <c r="V215" s="45"/>
      <c r="W215" s="45"/>
      <c r="X215" s="47"/>
      <c r="Y215" s="7" t="str">
        <f>IFERROR(__xludf.DUMMYFUNCTION("""COMPUTED_VALUE"""),"Si")</f>
        <v>Si</v>
      </c>
      <c r="Z215" s="45" t="str">
        <f>IFERROR(__xludf.DUMMYFUNCTION("""COMPUTED_VALUE"""),"Acepto")</f>
        <v>Acepto</v>
      </c>
      <c r="AA215" s="45" t="str">
        <f>IFERROR(__xludf.DUMMYFUNCTION("""COMPUTED_VALUE"""),"Terminado")</f>
        <v>Terminado</v>
      </c>
      <c r="AB215" s="45">
        <f>IFERROR(__xludf.DUMMYFUNCTION("""COMPUTED_VALUE"""),42500.0)</f>
        <v>42500</v>
      </c>
      <c r="AC215" s="7">
        <f>IFERROR(__xludf.DUMMYFUNCTION("""COMPUTED_VALUE"""),205391.0)</f>
        <v>205391</v>
      </c>
      <c r="AD215" s="7" t="str">
        <f>IFERROR(__xludf.DUMMYFUNCTION("""COMPUTED_VALUE"""),"TRF 02-09")</f>
        <v>TRF 02-09</v>
      </c>
      <c r="AE215" s="7" t="str">
        <f>IFERROR(__xludf.DUMMYFUNCTION("""COMPUTED_VALUE"""),"Pendiente")</f>
        <v>Pendiente</v>
      </c>
      <c r="AF215" s="7" t="str">
        <f>IFERROR(__xludf.DUMMYFUNCTION("""COMPUTED_VALUE"""),"SI")</f>
        <v>SI</v>
      </c>
    </row>
    <row r="216">
      <c r="A216" s="42">
        <f>IFERROR(__xludf.DUMMYFUNCTION("""COMPUTED_VALUE"""),45538.47825194444)</f>
        <v>45538.47825</v>
      </c>
      <c r="B216" s="43" t="str">
        <f>IFERROR(__xludf.DUMMYFUNCTION("""COMPUTED_VALUE"""),"Romeo")</f>
        <v>Romeo</v>
      </c>
      <c r="C216" s="43" t="str">
        <f>IFERROR(__xludf.DUMMYFUNCTION("""COMPUTED_VALUE"""),"Nieva Orellana")</f>
        <v>Nieva Orellana</v>
      </c>
      <c r="D216" s="43" t="str">
        <f>IFERROR(__xludf.DUMMYFUNCTION("""COMPUTED_VALUE"""),"San Isidro")</f>
        <v>San Isidro</v>
      </c>
      <c r="E216" s="45" t="str">
        <f>IFERROR(__xludf.DUMMYFUNCTION("""COMPUTED_VALUE"""),"ARG")</f>
        <v>ARG</v>
      </c>
      <c r="F216" s="45">
        <f>IFERROR(__xludf.DUMMYFUNCTION("""COMPUTED_VALUE"""),5.3825401E7)</f>
        <v>53825401</v>
      </c>
      <c r="G216" s="44">
        <f>IFERROR(__xludf.DUMMYFUNCTION("""COMPUTED_VALUE"""),41687.0)</f>
        <v>41687</v>
      </c>
      <c r="H216" s="45" t="str">
        <f>IFERROR(__xludf.DUMMYFUNCTION("""COMPUTED_VALUE"""),"+54 9 11 3394-3846")</f>
        <v>+54 9 11 3394-3846</v>
      </c>
      <c r="I216" s="45"/>
      <c r="J216" s="45" t="str">
        <f>IFERROR(__xludf.DUMMYFUNCTION("""COMPUTED_VALUE"""),"ignacio.varisco@gmail.com")</f>
        <v>ignacio.varisco@gmail.com</v>
      </c>
      <c r="K216" s="45" t="str">
        <f>IFERROR(__xludf.DUMMYFUNCTION("""COMPUTED_VALUE"""),"Masculino")</f>
        <v>Masculino</v>
      </c>
      <c r="L216" s="45" t="str">
        <f>IFERROR(__xludf.DUMMYFUNCTION("""COMPUTED_VALUE"""),"CPNLB- CBRIO")</f>
        <v>CPNLB- CBRIO</v>
      </c>
      <c r="M216" s="45"/>
      <c r="N216" s="7" t="str">
        <f>IFERROR(__xludf.DUMMYFUNCTION("""COMPUTED_VALUE"""),"OPTIMIST PRINCIPIANTES")</f>
        <v>OPTIMIST PRINCIPIANTES</v>
      </c>
      <c r="O216" s="7"/>
      <c r="P216" s="7" t="str">
        <f>IFERROR(__xludf.DUMMYFUNCTION("""COMPUTED_VALUE"""),"USA 23061")</f>
        <v>USA 23061</v>
      </c>
      <c r="Q216" s="45" t="str">
        <f>IFERROR(__xludf.DUMMYFUNCTION("""COMPUTED_VALUE"""),"Freddie")</f>
        <v>Freddie</v>
      </c>
      <c r="R216" s="45"/>
      <c r="S216" s="45"/>
      <c r="T216" s="45"/>
      <c r="U216" s="45"/>
      <c r="V216" s="45"/>
      <c r="W216" s="45"/>
      <c r="X216" s="47"/>
      <c r="Y216" s="7" t="str">
        <f>IFERROR(__xludf.DUMMYFUNCTION("""COMPUTED_VALUE"""),"Si")</f>
        <v>Si</v>
      </c>
      <c r="Z216" s="45" t="str">
        <f>IFERROR(__xludf.DUMMYFUNCTION("""COMPUTED_VALUE"""),"Acepto")</f>
        <v>Acepto</v>
      </c>
      <c r="AA216" s="45" t="str">
        <f>IFERROR(__xludf.DUMMYFUNCTION("""COMPUTED_VALUE"""),"Terminado")</f>
        <v>Terminado</v>
      </c>
      <c r="AB216" s="45"/>
      <c r="AC216" s="7"/>
      <c r="AD216" s="7" t="str">
        <f>IFERROR(__xludf.DUMMYFUNCTION("""COMPUTED_VALUE"""),"Beca CBrrio")</f>
        <v>Beca CBrrio</v>
      </c>
      <c r="AE216" s="7" t="str">
        <f>IFERROR(__xludf.DUMMYFUNCTION("""COMPUTED_VALUE"""),"OK")</f>
        <v>OK</v>
      </c>
      <c r="AF216" s="7" t="str">
        <f>IFERROR(__xludf.DUMMYFUNCTION("""COMPUTED_VALUE"""),"SI")</f>
        <v>SI</v>
      </c>
    </row>
    <row r="217">
      <c r="A217" s="42">
        <f>IFERROR(__xludf.DUMMYFUNCTION("""COMPUTED_VALUE"""),45535.593804027776)</f>
        <v>45535.5938</v>
      </c>
      <c r="B217" s="43" t="str">
        <f>IFERROR(__xludf.DUMMYFUNCTION("""COMPUTED_VALUE"""),"Santiago ")</f>
        <v>Santiago </v>
      </c>
      <c r="C217" s="43" t="str">
        <f>IFERROR(__xludf.DUMMYFUNCTION("""COMPUTED_VALUE"""),"Nieva Quinteros")</f>
        <v>Nieva Quinteros</v>
      </c>
      <c r="D217" s="43" t="str">
        <f>IFERROR(__xludf.DUMMYFUNCTION("""COMPUTED_VALUE"""),"Zarate")</f>
        <v>Zarate</v>
      </c>
      <c r="E217" s="45" t="str">
        <f>IFERROR(__xludf.DUMMYFUNCTION("""COMPUTED_VALUE"""),"ARG")</f>
        <v>ARG</v>
      </c>
      <c r="F217" s="45">
        <f>IFERROR(__xludf.DUMMYFUNCTION("""COMPUTED_VALUE"""),5.2099166E7)</f>
        <v>52099166</v>
      </c>
      <c r="G217" s="44">
        <f>IFERROR(__xludf.DUMMYFUNCTION("""COMPUTED_VALUE"""),40939.0)</f>
        <v>40939</v>
      </c>
      <c r="H217" s="45">
        <f>IFERROR(__xludf.DUMMYFUNCTION("""COMPUTED_VALUE"""),3.515144974E9)</f>
        <v>3515144974</v>
      </c>
      <c r="I217" s="45">
        <f>IFERROR(__xludf.DUMMYFUNCTION("""COMPUTED_VALUE"""),3.487538295E9)</f>
        <v>3487538295</v>
      </c>
      <c r="J217" s="45" t="str">
        <f>IFERROR(__xludf.DUMMYFUNCTION("""COMPUTED_VALUE"""),"Gustavonieva26@gmail.com")</f>
        <v>Gustavonieva26@gmail.com</v>
      </c>
      <c r="K217" s="45" t="str">
        <f>IFERROR(__xludf.DUMMYFUNCTION("""COMPUTED_VALUE"""),"Masculino")</f>
        <v>Masculino</v>
      </c>
      <c r="L217" s="45" t="str">
        <f>IFERROR(__xludf.DUMMYFUNCTION("""COMPUTED_VALUE"""),"CNZ")</f>
        <v>CNZ</v>
      </c>
      <c r="M217" s="45"/>
      <c r="N217" s="7" t="str">
        <f>IFERROR(__xludf.DUMMYFUNCTION("""COMPUTED_VALUE"""),"OPTIMIST TIMONELES")</f>
        <v>OPTIMIST TIMONELES</v>
      </c>
      <c r="O217" s="7"/>
      <c r="P217" s="7">
        <f>IFERROR(__xludf.DUMMYFUNCTION("""COMPUTED_VALUE"""),3951.0)</f>
        <v>3951</v>
      </c>
      <c r="Q217" s="45"/>
      <c r="R217" s="45"/>
      <c r="S217" s="45"/>
      <c r="T217" s="45"/>
      <c r="U217" s="45"/>
      <c r="V217" s="45"/>
      <c r="W217" s="45"/>
      <c r="X217" s="47" t="str">
        <f>IFERROR(__xludf.DUMMYFUNCTION("""COMPUTED_VALUE"""),"Swis Medical")</f>
        <v>Swis Medical</v>
      </c>
      <c r="Y217" s="7" t="str">
        <f>IFERROR(__xludf.DUMMYFUNCTION("""COMPUTED_VALUE"""),"Si")</f>
        <v>Si</v>
      </c>
      <c r="Z217" s="45" t="str">
        <f>IFERROR(__xludf.DUMMYFUNCTION("""COMPUTED_VALUE"""),"Acepto")</f>
        <v>Acepto</v>
      </c>
      <c r="AA217" s="45" t="str">
        <f>IFERROR(__xludf.DUMMYFUNCTION("""COMPUTED_VALUE"""),"Terminado")</f>
        <v>Terminado</v>
      </c>
      <c r="AB217" s="45">
        <f>IFERROR(__xludf.DUMMYFUNCTION("""COMPUTED_VALUE"""),50000.0)</f>
        <v>50000</v>
      </c>
      <c r="AC217" s="7">
        <f>IFERROR(__xludf.DUMMYFUNCTION("""COMPUTED_VALUE"""),205163.0)</f>
        <v>205163</v>
      </c>
      <c r="AD217" s="7" t="str">
        <f>IFERROR(__xludf.DUMMYFUNCTION("""COMPUTED_VALUE"""),"TRF 31-08")</f>
        <v>TRF 31-08</v>
      </c>
      <c r="AE217" s="7" t="str">
        <f>IFERROR(__xludf.DUMMYFUNCTION("""COMPUTED_VALUE"""),"OK")</f>
        <v>OK</v>
      </c>
      <c r="AF217" s="7"/>
    </row>
    <row r="218">
      <c r="A218" s="42">
        <f>IFERROR(__xludf.DUMMYFUNCTION("""COMPUTED_VALUE"""),45516.43822831019)</f>
        <v>45516.43823</v>
      </c>
      <c r="B218" s="43" t="str">
        <f>IFERROR(__xludf.DUMMYFUNCTION("""COMPUTED_VALUE"""),"Gustavo ")</f>
        <v>Gustavo </v>
      </c>
      <c r="C218" s="43" t="str">
        <f>IFERROR(__xludf.DUMMYFUNCTION("""COMPUTED_VALUE"""),"Novella ")</f>
        <v>Novella </v>
      </c>
      <c r="D218" s="43" t="str">
        <f>IFERROR(__xludf.DUMMYFUNCTION("""COMPUTED_VALUE"""),"Chascomus ")</f>
        <v>Chascomus </v>
      </c>
      <c r="E218" s="45" t="str">
        <f>IFERROR(__xludf.DUMMYFUNCTION("""COMPUTED_VALUE"""),"ARG")</f>
        <v>ARG</v>
      </c>
      <c r="F218" s="45">
        <f>IFERROR(__xludf.DUMMYFUNCTION("""COMPUTED_VALUE"""),2.3920796E7)</f>
        <v>23920796</v>
      </c>
      <c r="G218" s="44">
        <f>IFERROR(__xludf.DUMMYFUNCTION("""COMPUTED_VALUE"""),27319.0)</f>
        <v>27319</v>
      </c>
      <c r="H218" s="45">
        <f>IFERROR(__xludf.DUMMYFUNCTION("""COMPUTED_VALUE"""),1.149928591E9)</f>
        <v>1149928591</v>
      </c>
      <c r="I218" s="45">
        <f>IFERROR(__xludf.DUMMYFUNCTION("""COMPUTED_VALUE"""),2.241685797E9)</f>
        <v>2241685797</v>
      </c>
      <c r="J218" s="45" t="str">
        <f>IFERROR(__xludf.DUMMYFUNCTION("""COMPUTED_VALUE"""),"novellacampos74@gmail.com")</f>
        <v>novellacampos74@gmail.com</v>
      </c>
      <c r="K218" s="45" t="str">
        <f>IFERROR(__xludf.DUMMYFUNCTION("""COMPUTED_VALUE"""),"Masculino")</f>
        <v>Masculino</v>
      </c>
      <c r="L218" s="45" t="str">
        <f>IFERROR(__xludf.DUMMYFUNCTION("""COMPUTED_VALUE"""),"CRCH ")</f>
        <v>CRCH </v>
      </c>
      <c r="M218" s="45"/>
      <c r="N218" s="7" t="str">
        <f>IFERROR(__xludf.DUMMYFUNCTION("""COMPUTED_VALUE"""),"PAMPERO")</f>
        <v>PAMPERO</v>
      </c>
      <c r="O218" s="7" t="str">
        <f>IFERROR(__xludf.DUMMYFUNCTION("""COMPUTED_VALUE"""),"-")</f>
        <v>-</v>
      </c>
      <c r="P218" s="7">
        <f>IFERROR(__xludf.DUMMYFUNCTION("""COMPUTED_VALUE"""),762.0)</f>
        <v>762</v>
      </c>
      <c r="Q218" s="45" t="str">
        <f>IFERROR(__xludf.DUMMYFUNCTION("""COMPUTED_VALUE"""),"Dory")</f>
        <v>Dory</v>
      </c>
      <c r="R218" s="45" t="str">
        <f>IFERROR(__xludf.DUMMYFUNCTION("""COMPUTED_VALUE"""),"Mateo Sanchez Viamonte ")</f>
        <v>Mateo Sanchez Viamonte </v>
      </c>
      <c r="S218" s="45"/>
      <c r="T218" s="45"/>
      <c r="U218" s="45"/>
      <c r="V218" s="45"/>
      <c r="W218" s="45"/>
      <c r="X218" s="47" t="str">
        <f>IFERROR(__xludf.DUMMYFUNCTION("""COMPUTED_VALUE"""),"Osde")</f>
        <v>Osde</v>
      </c>
      <c r="Y218" s="7" t="str">
        <f>IFERROR(__xludf.DUMMYFUNCTION("""COMPUTED_VALUE"""),"Si")</f>
        <v>Si</v>
      </c>
      <c r="Z218" s="45" t="str">
        <f>IFERROR(__xludf.DUMMYFUNCTION("""COMPUTED_VALUE"""),"Acepto")</f>
        <v>Acepto</v>
      </c>
      <c r="AA218" s="45" t="str">
        <f>IFERROR(__xludf.DUMMYFUNCTION("""COMPUTED_VALUE"""),"Terminado")</f>
        <v>Terminado</v>
      </c>
      <c r="AB218" s="45">
        <f>IFERROR(__xludf.DUMMYFUNCTION("""COMPUTED_VALUE"""),60000.0)</f>
        <v>60000</v>
      </c>
      <c r="AC218" s="7">
        <f>IFERROR(__xludf.DUMMYFUNCTION("""COMPUTED_VALUE"""),205023.0)</f>
        <v>205023</v>
      </c>
      <c r="AD218" s="7" t="str">
        <f>IFERROR(__xludf.DUMMYFUNCTION("""COMPUTED_VALUE"""),"TRF 21-08")</f>
        <v>TRF 21-08</v>
      </c>
      <c r="AE218" s="7" t="str">
        <f>IFERROR(__xludf.DUMMYFUNCTION("""COMPUTED_VALUE"""),"No Corresp")</f>
        <v>No Corresp</v>
      </c>
      <c r="AF218" s="7" t="str">
        <f>IFERROR(__xludf.DUMMYFUNCTION("""COMPUTED_VALUE"""),"Si")</f>
        <v>Si</v>
      </c>
    </row>
    <row r="219">
      <c r="A219" s="42">
        <f>IFERROR(__xludf.DUMMYFUNCTION("""COMPUTED_VALUE"""),45535.877351331015)</f>
        <v>45535.87735</v>
      </c>
      <c r="B219" s="43" t="str">
        <f>IFERROR(__xludf.DUMMYFUNCTION("""COMPUTED_VALUE"""),"Ignacio")</f>
        <v>Ignacio</v>
      </c>
      <c r="C219" s="43" t="str">
        <f>IFERROR(__xludf.DUMMYFUNCTION("""COMPUTED_VALUE"""),"Ojeda Lois")</f>
        <v>Ojeda Lois</v>
      </c>
      <c r="D219" s="43" t="str">
        <f>IFERROR(__xludf.DUMMYFUNCTION("""COMPUTED_VALUE"""),"Ciudad Autonoma de Buenos Aires")</f>
        <v>Ciudad Autonoma de Buenos Aires</v>
      </c>
      <c r="E219" s="45" t="str">
        <f>IFERROR(__xludf.DUMMYFUNCTION("""COMPUTED_VALUE"""),"ARG")</f>
        <v>ARG</v>
      </c>
      <c r="F219" s="45">
        <f>IFERROR(__xludf.DUMMYFUNCTION("""COMPUTED_VALUE"""),5.2697921E7)</f>
        <v>52697921</v>
      </c>
      <c r="G219" s="44">
        <f>IFERROR(__xludf.DUMMYFUNCTION("""COMPUTED_VALUE"""),41152.0)</f>
        <v>41152</v>
      </c>
      <c r="H219" s="45">
        <f>IFERROR(__xludf.DUMMYFUNCTION("""COMPUTED_VALUE"""),1.156244452E9)</f>
        <v>1156244452</v>
      </c>
      <c r="I219" s="45">
        <f>IFERROR(__xludf.DUMMYFUNCTION("""COMPUTED_VALUE"""),1.156244452E9)</f>
        <v>1156244452</v>
      </c>
      <c r="J219" s="45" t="str">
        <f>IFERROR(__xludf.DUMMYFUNCTION("""COMPUTED_VALUE"""),"ojeda.diego@gmail.com")</f>
        <v>ojeda.diego@gmail.com</v>
      </c>
      <c r="K219" s="45" t="str">
        <f>IFERROR(__xludf.DUMMYFUNCTION("""COMPUTED_VALUE"""),"Masculino")</f>
        <v>Masculino</v>
      </c>
      <c r="L219" s="45" t="str">
        <f>IFERROR(__xludf.DUMMYFUNCTION("""COMPUTED_VALUE"""),"YCCN")</f>
        <v>YCCN</v>
      </c>
      <c r="M219" s="45" t="str">
        <f>IFERROR(__xludf.DUMMYFUNCTION("""COMPUTED_VALUE"""),"Interior (Optimist)")</f>
        <v>Interior (Optimist)</v>
      </c>
      <c r="N219" s="7" t="str">
        <f>IFERROR(__xludf.DUMMYFUNCTION("""COMPUTED_VALUE"""),"OPTIMIST PRINCIPIANTES")</f>
        <v>OPTIMIST PRINCIPIANTES</v>
      </c>
      <c r="O219" s="7"/>
      <c r="P219" s="7">
        <f>IFERROR(__xludf.DUMMYFUNCTION("""COMPUTED_VALUE"""),4076.0)</f>
        <v>4076</v>
      </c>
      <c r="Q219" s="45" t="str">
        <f>IFERROR(__xludf.DUMMYFUNCTION("""COMPUTED_VALUE"""),"Camorrerito")</f>
        <v>Camorrerito</v>
      </c>
      <c r="R219" s="45"/>
      <c r="S219" s="45"/>
      <c r="T219" s="45"/>
      <c r="U219" s="45"/>
      <c r="V219" s="45"/>
      <c r="W219" s="45"/>
      <c r="X219" s="47" t="str">
        <f>IFERROR(__xludf.DUMMYFUNCTION("""COMPUTED_VALUE"""),"OSDE410 60907365503")</f>
        <v>OSDE410 60907365503</v>
      </c>
      <c r="Y219" s="7" t="str">
        <f>IFERROR(__xludf.DUMMYFUNCTION("""COMPUTED_VALUE"""),"No")</f>
        <v>No</v>
      </c>
      <c r="Z219" s="45" t="str">
        <f>IFERROR(__xludf.DUMMYFUNCTION("""COMPUTED_VALUE"""),"Acepto")</f>
        <v>Acepto</v>
      </c>
      <c r="AA219" s="45" t="str">
        <f>IFERROR(__xludf.DUMMYFUNCTION("""COMPUTED_VALUE"""),"Terminado")</f>
        <v>Terminado</v>
      </c>
      <c r="AB219" s="45">
        <f>IFERROR(__xludf.DUMMYFUNCTION("""COMPUTED_VALUE"""),60000.0)</f>
        <v>60000</v>
      </c>
      <c r="AC219" s="7">
        <f>IFERROR(__xludf.DUMMYFUNCTION("""COMPUTED_VALUE"""),205343.0)</f>
        <v>205343</v>
      </c>
      <c r="AD219" s="7" t="str">
        <f>IFERROR(__xludf.DUMMYFUNCTION("""COMPUTED_VALUE"""),"TRF 31-08")</f>
        <v>TRF 31-08</v>
      </c>
      <c r="AE219" s="7" t="str">
        <f>IFERROR(__xludf.DUMMYFUNCTION("""COMPUTED_VALUE"""),"OK")</f>
        <v>OK</v>
      </c>
      <c r="AF219" s="7"/>
    </row>
    <row r="220">
      <c r="A220" s="42">
        <f>IFERROR(__xludf.DUMMYFUNCTION("""COMPUTED_VALUE"""),45534.93260290509)</f>
        <v>45534.9326</v>
      </c>
      <c r="B220" s="43" t="str">
        <f>IFERROR(__xludf.DUMMYFUNCTION("""COMPUTED_VALUE"""),"Carola")</f>
        <v>Carola</v>
      </c>
      <c r="C220" s="43" t="str">
        <f>IFERROR(__xludf.DUMMYFUNCTION("""COMPUTED_VALUE"""),"Ojeda Lois")</f>
        <v>Ojeda Lois</v>
      </c>
      <c r="D220" s="43" t="str">
        <f>IFERROR(__xludf.DUMMYFUNCTION("""COMPUTED_VALUE"""),"San Isidro")</f>
        <v>San Isidro</v>
      </c>
      <c r="E220" s="45" t="str">
        <f>IFERROR(__xludf.DUMMYFUNCTION("""COMPUTED_VALUE"""),"ARG")</f>
        <v>ARG</v>
      </c>
      <c r="F220" s="45">
        <f>IFERROR(__xludf.DUMMYFUNCTION("""COMPUTED_VALUE"""),5.010359E7)</f>
        <v>50103590</v>
      </c>
      <c r="G220" s="44">
        <f>IFERROR(__xludf.DUMMYFUNCTION("""COMPUTED_VALUE"""),40247.0)</f>
        <v>40247</v>
      </c>
      <c r="H220" s="45">
        <f>IFERROR(__xludf.DUMMYFUNCTION("""COMPUTED_VALUE"""),1.140285075E9)</f>
        <v>1140285075</v>
      </c>
      <c r="I220" s="45">
        <f>IFERROR(__xludf.DUMMYFUNCTION("""COMPUTED_VALUE"""),1.140793918E9)</f>
        <v>1140793918</v>
      </c>
      <c r="J220" s="45" t="str">
        <f>IFERROR(__xludf.DUMMYFUNCTION("""COMPUTED_VALUE"""),"morellamail@gmail.com")</f>
        <v>morellamail@gmail.com</v>
      </c>
      <c r="K220" s="45" t="str">
        <f>IFERROR(__xludf.DUMMYFUNCTION("""COMPUTED_VALUE"""),"Femenino")</f>
        <v>Femenino</v>
      </c>
      <c r="L220" s="45" t="str">
        <f>IFERROR(__xludf.DUMMYFUNCTION("""COMPUTED_VALUE"""),"CNSI")</f>
        <v>CNSI</v>
      </c>
      <c r="M220" s="45" t="str">
        <f>IFERROR(__xludf.DUMMYFUNCTION("""COMPUTED_VALUE"""),"Femenino")</f>
        <v>Femenino</v>
      </c>
      <c r="N220" s="7" t="str">
        <f>IFERROR(__xludf.DUMMYFUNCTION("""COMPUTED_VALUE"""),"OPTIMIST TIMONELES")</f>
        <v>OPTIMIST TIMONELES</v>
      </c>
      <c r="O220" s="7"/>
      <c r="P220" s="7">
        <f>IFERROR(__xludf.DUMMYFUNCTION("""COMPUTED_VALUE"""),3846.0)</f>
        <v>3846</v>
      </c>
      <c r="Q220" s="45"/>
      <c r="R220" s="45"/>
      <c r="S220" s="45"/>
      <c r="T220" s="45"/>
      <c r="U220" s="45"/>
      <c r="V220" s="45"/>
      <c r="W220" s="45"/>
      <c r="X220" s="47" t="str">
        <f>IFERROR(__xludf.DUMMYFUNCTION("""COMPUTED_VALUE"""),"OSDE 60-5956579-05")</f>
        <v>OSDE 60-5956579-05</v>
      </c>
      <c r="Y220" s="7" t="str">
        <f>IFERROR(__xludf.DUMMYFUNCTION("""COMPUTED_VALUE"""),"No")</f>
        <v>No</v>
      </c>
      <c r="Z220" s="45" t="str">
        <f>IFERROR(__xludf.DUMMYFUNCTION("""COMPUTED_VALUE"""),"Acepto")</f>
        <v>Acepto</v>
      </c>
      <c r="AA220" s="45" t="str">
        <f>IFERROR(__xludf.DUMMYFUNCTION("""COMPUTED_VALUE"""),"Terminado")</f>
        <v>Terminado</v>
      </c>
      <c r="AB220" s="45">
        <f>IFERROR(__xludf.DUMMYFUNCTION("""COMPUTED_VALUE"""),50000.0)</f>
        <v>50000</v>
      </c>
      <c r="AC220" s="7">
        <f>IFERROR(__xludf.DUMMYFUNCTION("""COMPUTED_VALUE"""),205118.0)</f>
        <v>205118</v>
      </c>
      <c r="AD220" s="7" t="str">
        <f>IFERROR(__xludf.DUMMYFUNCTION("""COMPUTED_VALUE"""),"Tarj.31-08")</f>
        <v>Tarj.31-08</v>
      </c>
      <c r="AE220" s="7" t="str">
        <f>IFERROR(__xludf.DUMMYFUNCTION("""COMPUTED_VALUE"""),"Pendiente")</f>
        <v>Pendiente</v>
      </c>
      <c r="AF220" s="7"/>
    </row>
    <row r="221">
      <c r="A221" s="42">
        <f>IFERROR(__xludf.DUMMYFUNCTION("""COMPUTED_VALUE"""),45534.95115460648)</f>
        <v>45534.95115</v>
      </c>
      <c r="B221" s="43" t="str">
        <f>IFERROR(__xludf.DUMMYFUNCTION("""COMPUTED_VALUE"""),"Sofia")</f>
        <v>Sofia</v>
      </c>
      <c r="C221" s="43" t="str">
        <f>IFERROR(__xludf.DUMMYFUNCTION("""COMPUTED_VALUE"""),"Orella")</f>
        <v>Orella</v>
      </c>
      <c r="D221" s="43" t="str">
        <f>IFERROR(__xludf.DUMMYFUNCTION("""COMPUTED_VALUE"""),"Buenos Aires")</f>
        <v>Buenos Aires</v>
      </c>
      <c r="E221" s="45" t="str">
        <f>IFERROR(__xludf.DUMMYFUNCTION("""COMPUTED_VALUE"""),"ARG")</f>
        <v>ARG</v>
      </c>
      <c r="F221" s="45">
        <f>IFERROR(__xludf.DUMMYFUNCTION("""COMPUTED_VALUE"""),4.8801008E7)</f>
        <v>48801008</v>
      </c>
      <c r="G221" s="44">
        <f>IFERROR(__xludf.DUMMYFUNCTION("""COMPUTED_VALUE"""),39617.0)</f>
        <v>39617</v>
      </c>
      <c r="H221" s="45" t="str">
        <f>IFERROR(__xludf.DUMMYFUNCTION("""COMPUTED_VALUE"""),"+54 9 11 6929-9731")</f>
        <v>+54 9 11 6929-9731</v>
      </c>
      <c r="I221" s="45" t="str">
        <f>IFERROR(__xludf.DUMMYFUNCTION("""COMPUTED_VALUE"""),"+54 9 11 4028-5075")</f>
        <v>+54 9 11 4028-5075</v>
      </c>
      <c r="J221" s="45" t="str">
        <f>IFERROR(__xludf.DUMMYFUNCTION("""COMPUTED_VALUE"""),"morellamail@gmail.com")</f>
        <v>morellamail@gmail.com</v>
      </c>
      <c r="K221" s="45" t="str">
        <f>IFERROR(__xludf.DUMMYFUNCTION("""COMPUTED_VALUE"""),"Femenino")</f>
        <v>Femenino</v>
      </c>
      <c r="L221" s="45" t="str">
        <f>IFERROR(__xludf.DUMMYFUNCTION("""COMPUTED_VALUE"""),"CNSI")</f>
        <v>CNSI</v>
      </c>
      <c r="M221" s="45" t="str">
        <f>IFERROR(__xludf.DUMMYFUNCTION("""COMPUTED_VALUE"""),"Femenino")</f>
        <v>Femenino</v>
      </c>
      <c r="N221" s="7">
        <f>IFERROR(__xludf.DUMMYFUNCTION("""COMPUTED_VALUE"""),420.0)</f>
        <v>420</v>
      </c>
      <c r="O221" s="7">
        <f>IFERROR(__xludf.DUMMYFUNCTION("""COMPUTED_VALUE"""),29.0)</f>
        <v>29</v>
      </c>
      <c r="P221" s="7">
        <f>IFERROR(__xludf.DUMMYFUNCTION("""COMPUTED_VALUE"""),50794.0)</f>
        <v>50794</v>
      </c>
      <c r="Q221" s="45" t="str">
        <f>IFERROR(__xludf.DUMMYFUNCTION("""COMPUTED_VALUE"""),"N/A")</f>
        <v>N/A</v>
      </c>
      <c r="R221" s="45" t="str">
        <f>IFERROR(__xludf.DUMMYFUNCTION("""COMPUTED_VALUE"""),"Trinidad Tommasi")</f>
        <v>Trinidad Tommasi</v>
      </c>
      <c r="S221" s="45"/>
      <c r="T221" s="45"/>
      <c r="U221" s="45"/>
      <c r="V221" s="45"/>
      <c r="W221" s="45"/>
      <c r="X221" s="47" t="str">
        <f>IFERROR(__xludf.DUMMYFUNCTION("""COMPUTED_VALUE"""),"OSDE 310 60595657904")</f>
        <v>OSDE 310 60595657904</v>
      </c>
      <c r="Y221" s="7" t="str">
        <f>IFERROR(__xludf.DUMMYFUNCTION("""COMPUTED_VALUE"""),"No")</f>
        <v>No</v>
      </c>
      <c r="Z221" s="45" t="str">
        <f>IFERROR(__xludf.DUMMYFUNCTION("""COMPUTED_VALUE"""),"Acepto")</f>
        <v>Acepto</v>
      </c>
      <c r="AA221" s="45" t="str">
        <f>IFERROR(__xludf.DUMMYFUNCTION("""COMPUTED_VALUE"""),"Terminado")</f>
        <v>Terminado</v>
      </c>
      <c r="AB221" s="45">
        <f>IFERROR(__xludf.DUMMYFUNCTION("""COMPUTED_VALUE"""),65000.0)</f>
        <v>65000</v>
      </c>
      <c r="AC221" s="7">
        <f>IFERROR(__xludf.DUMMYFUNCTION("""COMPUTED_VALUE"""),205118.0)</f>
        <v>205118</v>
      </c>
      <c r="AD221" s="7" t="str">
        <f>IFERROR(__xludf.DUMMYFUNCTION("""COMPUTED_VALUE"""),"Tarj.31-08")</f>
        <v>Tarj.31-08</v>
      </c>
      <c r="AE221" s="7" t="str">
        <f>IFERROR(__xludf.DUMMYFUNCTION("""COMPUTED_VALUE"""),"OK")</f>
        <v>OK</v>
      </c>
      <c r="AF221" s="7"/>
    </row>
    <row r="222">
      <c r="A222" s="42">
        <f>IFERROR(__xludf.DUMMYFUNCTION("""COMPUTED_VALUE"""),45535.88089775463)</f>
        <v>45535.8809</v>
      </c>
      <c r="B222" s="43" t="str">
        <f>IFERROR(__xludf.DUMMYFUNCTION("""COMPUTED_VALUE"""),"Guido ")</f>
        <v>Guido </v>
      </c>
      <c r="C222" s="43" t="str">
        <f>IFERROR(__xludf.DUMMYFUNCTION("""COMPUTED_VALUE"""),"Pachiani ")</f>
        <v>Pachiani </v>
      </c>
      <c r="D222" s="43" t="str">
        <f>IFERROR(__xludf.DUMMYFUNCTION("""COMPUTED_VALUE"""),"Beccar")</f>
        <v>Beccar</v>
      </c>
      <c r="E222" s="45" t="str">
        <f>IFERROR(__xludf.DUMMYFUNCTION("""COMPUTED_VALUE"""),"ARG")</f>
        <v>ARG</v>
      </c>
      <c r="F222" s="45">
        <f>IFERROR(__xludf.DUMMYFUNCTION("""COMPUTED_VALUE"""),5.0305023E7)</f>
        <v>50305023</v>
      </c>
      <c r="G222" s="44">
        <f>IFERROR(__xludf.DUMMYFUNCTION("""COMPUTED_VALUE"""),40295.0)</f>
        <v>40295</v>
      </c>
      <c r="H222" s="45">
        <f>IFERROR(__xludf.DUMMYFUNCTION("""COMPUTED_VALUE"""),1.158242389E9)</f>
        <v>1158242389</v>
      </c>
      <c r="I222" s="45">
        <f>IFERROR(__xludf.DUMMYFUNCTION("""COMPUTED_VALUE"""),4.0760868E7)</f>
        <v>40760868</v>
      </c>
      <c r="J222" s="45" t="str">
        <f>IFERROR(__xludf.DUMMYFUNCTION("""COMPUTED_VALUE"""),"mpachiani@gmail.com")</f>
        <v>mpachiani@gmail.com</v>
      </c>
      <c r="K222" s="45" t="str">
        <f>IFERROR(__xludf.DUMMYFUNCTION("""COMPUTED_VALUE"""),"Masculino")</f>
        <v>Masculino</v>
      </c>
      <c r="L222" s="45" t="str">
        <f>IFERROR(__xludf.DUMMYFUNCTION("""COMPUTED_VALUE"""),"CNGSM")</f>
        <v>CNGSM</v>
      </c>
      <c r="M222" s="45"/>
      <c r="N222" s="7" t="str">
        <f>IFERROR(__xludf.DUMMYFUNCTION("""COMPUTED_VALUE"""),"OPTIMIST TIMONELES")</f>
        <v>OPTIMIST TIMONELES</v>
      </c>
      <c r="O222" s="7"/>
      <c r="P222" s="7" t="str">
        <f>IFERROR(__xludf.DUMMYFUNCTION("""COMPUTED_VALUE"""),"ARG 3835 ")</f>
        <v>ARG 3835 </v>
      </c>
      <c r="Q222" s="45" t="str">
        <f>IFERROR(__xludf.DUMMYFUNCTION("""COMPUTED_VALUE"""),"Manopla turbo")</f>
        <v>Manopla turbo</v>
      </c>
      <c r="R222" s="45"/>
      <c r="S222" s="45"/>
      <c r="T222" s="45"/>
      <c r="U222" s="45"/>
      <c r="V222" s="45"/>
      <c r="W222" s="45"/>
      <c r="X222" s="47" t="str">
        <f>IFERROR(__xludf.DUMMYFUNCTION("""COMPUTED_VALUE"""),"Hospital Italiano 460630")</f>
        <v>Hospital Italiano 460630</v>
      </c>
      <c r="Y222" s="7" t="str">
        <f>IFERROR(__xludf.DUMMYFUNCTION("""COMPUTED_VALUE"""),"Si")</f>
        <v>Si</v>
      </c>
      <c r="Z222" s="45" t="str">
        <f>IFERROR(__xludf.DUMMYFUNCTION("""COMPUTED_VALUE"""),"Acepto")</f>
        <v>Acepto</v>
      </c>
      <c r="AA222" s="45" t="str">
        <f>IFERROR(__xludf.DUMMYFUNCTION("""COMPUTED_VALUE"""),"Terminado")</f>
        <v>Terminado</v>
      </c>
      <c r="AB222" s="45">
        <f>IFERROR(__xludf.DUMMYFUNCTION("""COMPUTED_VALUE"""),50000.0)</f>
        <v>50000</v>
      </c>
      <c r="AC222" s="7">
        <f>IFERROR(__xludf.DUMMYFUNCTION("""COMPUTED_VALUE"""),205472.0)</f>
        <v>205472</v>
      </c>
      <c r="AD222" s="7" t="str">
        <f>IFERROR(__xludf.DUMMYFUNCTION("""COMPUTED_VALUE"""),"TRF 04-09")</f>
        <v>TRF 04-09</v>
      </c>
      <c r="AE222" s="7" t="str">
        <f>IFERROR(__xludf.DUMMYFUNCTION("""COMPUTED_VALUE"""),"OK")</f>
        <v>OK</v>
      </c>
      <c r="AF222" s="7" t="str">
        <f>IFERROR(__xludf.DUMMYFUNCTION("""COMPUTED_VALUE"""),"SI")</f>
        <v>SI</v>
      </c>
    </row>
    <row r="223">
      <c r="A223" s="42">
        <f>IFERROR(__xludf.DUMMYFUNCTION("""COMPUTED_VALUE"""),45534.89775015046)</f>
        <v>45534.89775</v>
      </c>
      <c r="B223" s="43" t="str">
        <f>IFERROR(__xludf.DUMMYFUNCTION("""COMPUTED_VALUE"""),"Nacho")</f>
        <v>Nacho</v>
      </c>
      <c r="C223" s="43" t="str">
        <f>IFERROR(__xludf.DUMMYFUNCTION("""COMPUTED_VALUE"""),"Padilla")</f>
        <v>Padilla</v>
      </c>
      <c r="D223" s="43" t="str">
        <f>IFERROR(__xludf.DUMMYFUNCTION("""COMPUTED_VALUE"""),"San Isidro")</f>
        <v>San Isidro</v>
      </c>
      <c r="E223" s="45" t="str">
        <f>IFERROR(__xludf.DUMMYFUNCTION("""COMPUTED_VALUE"""),"ARG")</f>
        <v>ARG</v>
      </c>
      <c r="F223" s="45">
        <f>IFERROR(__xludf.DUMMYFUNCTION("""COMPUTED_VALUE"""),5.0158944E7)</f>
        <v>50158944</v>
      </c>
      <c r="G223" s="44">
        <f>IFERROR(__xludf.DUMMYFUNCTION("""COMPUTED_VALUE"""),40278.0)</f>
        <v>40278</v>
      </c>
      <c r="H223" s="45">
        <f>IFERROR(__xludf.DUMMYFUNCTION("""COMPUTED_VALUE"""),1.162446486E9)</f>
        <v>1162446486</v>
      </c>
      <c r="I223" s="45">
        <f>IFERROR(__xludf.DUMMYFUNCTION("""COMPUTED_VALUE"""),1.130070219E9)</f>
        <v>1130070219</v>
      </c>
      <c r="J223" s="45" t="str">
        <f>IFERROR(__xludf.DUMMYFUNCTION("""COMPUTED_VALUE"""),"javierignaciopadilla@gmail.com")</f>
        <v>javierignaciopadilla@gmail.com</v>
      </c>
      <c r="K223" s="45" t="str">
        <f>IFERROR(__xludf.DUMMYFUNCTION("""COMPUTED_VALUE"""),"Masculino")</f>
        <v>Masculino</v>
      </c>
      <c r="L223" s="45" t="str">
        <f>IFERROR(__xludf.DUMMYFUNCTION("""COMPUTED_VALUE"""),"CNSI")</f>
        <v>CNSI</v>
      </c>
      <c r="M223" s="45"/>
      <c r="N223" s="7" t="str">
        <f>IFERROR(__xludf.DUMMYFUNCTION("""COMPUTED_VALUE"""),"OPTIMIST TIMONELES")</f>
        <v>OPTIMIST TIMONELES</v>
      </c>
      <c r="O223" s="7"/>
      <c r="P223" s="7">
        <f>IFERROR(__xludf.DUMMYFUNCTION("""COMPUTED_VALUE"""),4111.0)</f>
        <v>4111</v>
      </c>
      <c r="Q223" s="45"/>
      <c r="R223" s="45"/>
      <c r="S223" s="45"/>
      <c r="T223" s="45"/>
      <c r="U223" s="45"/>
      <c r="V223" s="45"/>
      <c r="W223" s="45"/>
      <c r="X223" s="47">
        <f>IFERROR(__xludf.DUMMYFUNCTION("""COMPUTED_VALUE"""),6.1728138503E10)</f>
        <v>61728138503</v>
      </c>
      <c r="Y223" s="7" t="str">
        <f>IFERROR(__xludf.DUMMYFUNCTION("""COMPUTED_VALUE"""),"No")</f>
        <v>No</v>
      </c>
      <c r="Z223" s="45" t="str">
        <f>IFERROR(__xludf.DUMMYFUNCTION("""COMPUTED_VALUE"""),"Acepto")</f>
        <v>Acepto</v>
      </c>
      <c r="AA223" s="45" t="str">
        <f>IFERROR(__xludf.DUMMYFUNCTION("""COMPUTED_VALUE"""),"Terminado")</f>
        <v>Terminado</v>
      </c>
      <c r="AB223" s="45">
        <f>IFERROR(__xludf.DUMMYFUNCTION("""COMPUTED_VALUE"""),50000.0)</f>
        <v>50000</v>
      </c>
      <c r="AC223" s="7">
        <f>IFERROR(__xludf.DUMMYFUNCTION("""COMPUTED_VALUE"""),205135.0)</f>
        <v>205135</v>
      </c>
      <c r="AD223" s="7" t="str">
        <f>IFERROR(__xludf.DUMMYFUNCTION("""COMPUTED_VALUE"""),"TRF 30-08")</f>
        <v>TRF 30-08</v>
      </c>
      <c r="AE223" s="7" t="str">
        <f>IFERROR(__xludf.DUMMYFUNCTION("""COMPUTED_VALUE"""),"OK")</f>
        <v>OK</v>
      </c>
      <c r="AF223" s="7"/>
    </row>
    <row r="224">
      <c r="A224" s="42">
        <f>IFERROR(__xludf.DUMMYFUNCTION("""COMPUTED_VALUE"""),45534.89907944444)</f>
        <v>45534.89908</v>
      </c>
      <c r="B224" s="43" t="str">
        <f>IFERROR(__xludf.DUMMYFUNCTION("""COMPUTED_VALUE"""),"Ramiro")</f>
        <v>Ramiro</v>
      </c>
      <c r="C224" s="43" t="str">
        <f>IFERROR(__xludf.DUMMYFUNCTION("""COMPUTED_VALUE"""),"Padilla")</f>
        <v>Padilla</v>
      </c>
      <c r="D224" s="43" t="str">
        <f>IFERROR(__xludf.DUMMYFUNCTION("""COMPUTED_VALUE"""),"San Isidro")</f>
        <v>San Isidro</v>
      </c>
      <c r="E224" s="45" t="str">
        <f>IFERROR(__xludf.DUMMYFUNCTION("""COMPUTED_VALUE"""),"ARG")</f>
        <v>ARG</v>
      </c>
      <c r="F224" s="45">
        <f>IFERROR(__xludf.DUMMYFUNCTION("""COMPUTED_VALUE"""),5.35933E7)</f>
        <v>53593300</v>
      </c>
      <c r="G224" s="44">
        <f>IFERROR(__xludf.DUMMYFUNCTION("""COMPUTED_VALUE"""),41612.0)</f>
        <v>41612</v>
      </c>
      <c r="H224" s="45">
        <f>IFERROR(__xludf.DUMMYFUNCTION("""COMPUTED_VALUE"""),1.162446486E9)</f>
        <v>1162446486</v>
      </c>
      <c r="I224" s="45">
        <f>IFERROR(__xludf.DUMMYFUNCTION("""COMPUTED_VALUE"""),1.130070219E9)</f>
        <v>1130070219</v>
      </c>
      <c r="J224" s="45" t="str">
        <f>IFERROR(__xludf.DUMMYFUNCTION("""COMPUTED_VALUE"""),"javierignaciopadilla@gmail.com")</f>
        <v>javierignaciopadilla@gmail.com</v>
      </c>
      <c r="K224" s="45" t="str">
        <f>IFERROR(__xludf.DUMMYFUNCTION("""COMPUTED_VALUE"""),"Masculino")</f>
        <v>Masculino</v>
      </c>
      <c r="L224" s="45" t="str">
        <f>IFERROR(__xludf.DUMMYFUNCTION("""COMPUTED_VALUE"""),"CNSI")</f>
        <v>CNSI</v>
      </c>
      <c r="M224" s="45"/>
      <c r="N224" s="7" t="str">
        <f>IFERROR(__xludf.DUMMYFUNCTION("""COMPUTED_VALUE"""),"OPTIMIST PRINCIPIANTES")</f>
        <v>OPTIMIST PRINCIPIANTES</v>
      </c>
      <c r="O224" s="7"/>
      <c r="P224" s="7">
        <f>IFERROR(__xludf.DUMMYFUNCTION("""COMPUTED_VALUE"""),3579.0)</f>
        <v>3579</v>
      </c>
      <c r="Q224" s="45" t="str">
        <f>IFERROR(__xludf.DUMMYFUNCTION("""COMPUTED_VALUE"""),"AQUA")</f>
        <v>AQUA</v>
      </c>
      <c r="R224" s="45"/>
      <c r="S224" s="45"/>
      <c r="T224" s="45"/>
      <c r="U224" s="45"/>
      <c r="V224" s="45"/>
      <c r="W224" s="45"/>
      <c r="X224" s="47">
        <f>IFERROR(__xludf.DUMMYFUNCTION("""COMPUTED_VALUE"""),6.1728138504E10)</f>
        <v>61728138504</v>
      </c>
      <c r="Y224" s="7" t="str">
        <f>IFERROR(__xludf.DUMMYFUNCTION("""COMPUTED_VALUE"""),"No")</f>
        <v>No</v>
      </c>
      <c r="Z224" s="45" t="str">
        <f>IFERROR(__xludf.DUMMYFUNCTION("""COMPUTED_VALUE"""),"Acepto")</f>
        <v>Acepto</v>
      </c>
      <c r="AA224" s="45" t="str">
        <f>IFERROR(__xludf.DUMMYFUNCTION("""COMPUTED_VALUE"""),"Terminado")</f>
        <v>Terminado</v>
      </c>
      <c r="AB224" s="45">
        <f>IFERROR(__xludf.DUMMYFUNCTION("""COMPUTED_VALUE"""),50000.0)</f>
        <v>50000</v>
      </c>
      <c r="AC224" s="7">
        <f>IFERROR(__xludf.DUMMYFUNCTION("""COMPUTED_VALUE"""),205135.0)</f>
        <v>205135</v>
      </c>
      <c r="AD224" s="7" t="str">
        <f>IFERROR(__xludf.DUMMYFUNCTION("""COMPUTED_VALUE"""),"TRF 30-08")</f>
        <v>TRF 30-08</v>
      </c>
      <c r="AE224" s="7" t="str">
        <f>IFERROR(__xludf.DUMMYFUNCTION("""COMPUTED_VALUE"""),"OK")</f>
        <v>OK</v>
      </c>
      <c r="AF224" s="7"/>
    </row>
    <row r="225">
      <c r="A225" s="42">
        <f>IFERROR(__xludf.DUMMYFUNCTION("""COMPUTED_VALUE"""),45535.53124181713)</f>
        <v>45535.53124</v>
      </c>
      <c r="B225" s="43" t="str">
        <f>IFERROR(__xludf.DUMMYFUNCTION("""COMPUTED_VALUE"""),"Cristian")</f>
        <v>Cristian</v>
      </c>
      <c r="C225" s="43" t="str">
        <f>IFERROR(__xludf.DUMMYFUNCTION("""COMPUTED_VALUE"""),"Paglini")</f>
        <v>Paglini</v>
      </c>
      <c r="D225" s="43" t="str">
        <f>IFERROR(__xludf.DUMMYFUNCTION("""COMPUTED_VALUE"""),"Rosario")</f>
        <v>Rosario</v>
      </c>
      <c r="E225" s="45" t="str">
        <f>IFERROR(__xludf.DUMMYFUNCTION("""COMPUTED_VALUE"""),"ARG")</f>
        <v>ARG</v>
      </c>
      <c r="F225" s="45">
        <f>IFERROR(__xludf.DUMMYFUNCTION("""COMPUTED_VALUE"""),2.4779378E7)</f>
        <v>24779378</v>
      </c>
      <c r="G225" s="44">
        <f>IFERROR(__xludf.DUMMYFUNCTION("""COMPUTED_VALUE"""),27688.0)</f>
        <v>27688</v>
      </c>
      <c r="H225" s="45" t="str">
        <f>IFERROR(__xludf.DUMMYFUNCTION("""COMPUTED_VALUE"""),"341-3611358")</f>
        <v>341-3611358</v>
      </c>
      <c r="I225" s="45" t="str">
        <f>IFERROR(__xludf.DUMMYFUNCTION("""COMPUTED_VALUE"""),"341-5479620")</f>
        <v>341-5479620</v>
      </c>
      <c r="J225" s="45" t="str">
        <f>IFERROR(__xludf.DUMMYFUNCTION("""COMPUTED_VALUE"""),"cpaglini@serport.com.ar")</f>
        <v>cpaglini@serport.com.ar</v>
      </c>
      <c r="K225" s="45" t="str">
        <f>IFERROR(__xludf.DUMMYFUNCTION("""COMPUTED_VALUE"""),"Masculino")</f>
        <v>Masculino</v>
      </c>
      <c r="L225" s="45" t="str">
        <f>IFERROR(__xludf.DUMMYFUNCTION("""COMPUTED_VALUE"""),"YCR")</f>
        <v>YCR</v>
      </c>
      <c r="M225" s="45" t="str">
        <f>IFERROR(__xludf.DUMMYFUNCTION("""COMPUTED_VALUE"""),"Corinthians")</f>
        <v>Corinthians</v>
      </c>
      <c r="N225" s="7" t="str">
        <f>IFERROR(__xludf.DUMMYFUNCTION("""COMPUTED_VALUE"""),"J 70")</f>
        <v>J 70</v>
      </c>
      <c r="O225" s="7">
        <f>IFERROR(__xludf.DUMMYFUNCTION("""COMPUTED_VALUE"""),49.0)</f>
        <v>49</v>
      </c>
      <c r="P225" s="7" t="str">
        <f>IFERROR(__xludf.DUMMYFUNCTION("""COMPUTED_VALUE"""),"Arg 1557")</f>
        <v>Arg 1557</v>
      </c>
      <c r="Q225" s="45" t="str">
        <f>IFERROR(__xludf.DUMMYFUNCTION("""COMPUTED_VALUE"""),"Ganesh IV")</f>
        <v>Ganesh IV</v>
      </c>
      <c r="R225" s="45" t="str">
        <f>IFERROR(__xludf.DUMMYFUNCTION("""COMPUTED_VALUE"""),"Cura Ramiro")</f>
        <v>Cura Ramiro</v>
      </c>
      <c r="S225" s="45" t="str">
        <f>IFERROR(__xludf.DUMMYFUNCTION("""COMPUTED_VALUE"""),"Alvaro Acevedo")</f>
        <v>Alvaro Acevedo</v>
      </c>
      <c r="T225" s="45" t="str">
        <f>IFERROR(__xludf.DUMMYFUNCTION("""COMPUTED_VALUE"""),"Matias Dietrich")</f>
        <v>Matias Dietrich</v>
      </c>
      <c r="U225" s="45"/>
      <c r="V225" s="45"/>
      <c r="W225" s="45"/>
      <c r="X225" s="47" t="str">
        <f>IFERROR(__xludf.DUMMYFUNCTION("""COMPUTED_VALUE"""),"Osde")</f>
        <v>Osde</v>
      </c>
      <c r="Y225" s="7" t="str">
        <f>IFERROR(__xludf.DUMMYFUNCTION("""COMPUTED_VALUE"""),"No")</f>
        <v>No</v>
      </c>
      <c r="Z225" s="45" t="str">
        <f>IFERROR(__xludf.DUMMYFUNCTION("""COMPUTED_VALUE"""),"Acepto")</f>
        <v>Acepto</v>
      </c>
      <c r="AA225" s="45" t="str">
        <f>IFERROR(__xludf.DUMMYFUNCTION("""COMPUTED_VALUE"""),"Terminado")</f>
        <v>Terminado</v>
      </c>
      <c r="AB225" s="45">
        <f>IFERROR(__xludf.DUMMYFUNCTION("""COMPUTED_VALUE"""),68000.0)</f>
        <v>68000</v>
      </c>
      <c r="AC225" s="7">
        <f>IFERROR(__xludf.DUMMYFUNCTION("""COMPUTED_VALUE"""),205148.0)</f>
        <v>205148</v>
      </c>
      <c r="AD225" s="7" t="str">
        <f>IFERROR(__xludf.DUMMYFUNCTION("""COMPUTED_VALUE"""),"TRF 31-08")</f>
        <v>TRF 31-08</v>
      </c>
      <c r="AE225" s="7" t="str">
        <f>IFERROR(__xludf.DUMMYFUNCTION("""COMPUTED_VALUE"""),"No Corresp")</f>
        <v>No Corresp</v>
      </c>
      <c r="AF225" s="7"/>
    </row>
    <row r="226">
      <c r="A226" s="42">
        <f>IFERROR(__xludf.DUMMYFUNCTION("""COMPUTED_VALUE"""),45525.61200170139)</f>
        <v>45525.612</v>
      </c>
      <c r="B226" s="43" t="str">
        <f>IFERROR(__xludf.DUMMYFUNCTION("""COMPUTED_VALUE"""),"Gastón ")</f>
        <v>Gastón </v>
      </c>
      <c r="C226" s="43" t="str">
        <f>IFERROR(__xludf.DUMMYFUNCTION("""COMPUTED_VALUE"""),"Pamer ")</f>
        <v>Pamer </v>
      </c>
      <c r="D226" s="43" t="str">
        <f>IFERROR(__xludf.DUMMYFUNCTION("""COMPUTED_VALUE"""),"Viedma")</f>
        <v>Viedma</v>
      </c>
      <c r="E226" s="45" t="str">
        <f>IFERROR(__xludf.DUMMYFUNCTION("""COMPUTED_VALUE"""),"ARG")</f>
        <v>ARG</v>
      </c>
      <c r="F226" s="45">
        <f>IFERROR(__xludf.DUMMYFUNCTION("""COMPUTED_VALUE"""),2.4041738E7)</f>
        <v>24041738</v>
      </c>
      <c r="G226" s="44">
        <f>IFERROR(__xludf.DUMMYFUNCTION("""COMPUTED_VALUE"""),27363.0)</f>
        <v>27363</v>
      </c>
      <c r="H226" s="45">
        <f>IFERROR(__xludf.DUMMYFUNCTION("""COMPUTED_VALUE"""),2.920610198E9)</f>
        <v>2920610198</v>
      </c>
      <c r="I226" s="45">
        <f>IFERROR(__xludf.DUMMYFUNCTION("""COMPUTED_VALUE"""),2.920301041E9)</f>
        <v>2920301041</v>
      </c>
      <c r="J226" s="45" t="str">
        <f>IFERROR(__xludf.DUMMYFUNCTION("""COMPUTED_VALUE"""),"pamergaston@gmail.com")</f>
        <v>pamergaston@gmail.com</v>
      </c>
      <c r="K226" s="45" t="str">
        <f>IFERROR(__xludf.DUMMYFUNCTION("""COMPUTED_VALUE"""),"Masculino")</f>
        <v>Masculino</v>
      </c>
      <c r="L226" s="45" t="str">
        <f>IFERROR(__xludf.DUMMYFUNCTION("""COMPUTED_VALUE"""),"CNLR ")</f>
        <v>CNLR </v>
      </c>
      <c r="M226" s="45"/>
      <c r="N226" s="7" t="str">
        <f>IFERROR(__xludf.DUMMYFUNCTION("""COMPUTED_VALUE"""),"PAMPERO")</f>
        <v>PAMPERO</v>
      </c>
      <c r="O226" s="7"/>
      <c r="P226" s="7">
        <f>IFERROR(__xludf.DUMMYFUNCTION("""COMPUTED_VALUE"""),777.0)</f>
        <v>777</v>
      </c>
      <c r="Q226" s="45" t="str">
        <f>IFERROR(__xludf.DUMMYFUNCTION("""COMPUTED_VALUE"""),"INDIO ")</f>
        <v>INDIO </v>
      </c>
      <c r="R226" s="45" t="str">
        <f>IFERROR(__xludf.DUMMYFUNCTION("""COMPUTED_VALUE"""),"Juan Ruf")</f>
        <v>Juan Ruf</v>
      </c>
      <c r="S226" s="45"/>
      <c r="T226" s="45"/>
      <c r="U226" s="45"/>
      <c r="V226" s="45"/>
      <c r="W226" s="45"/>
      <c r="X226" s="47" t="str">
        <f>IFERROR(__xludf.DUMMYFUNCTION("""COMPUTED_VALUE"""),"Swiss Medical")</f>
        <v>Swiss Medical</v>
      </c>
      <c r="Y226" s="7" t="str">
        <f>IFERROR(__xludf.DUMMYFUNCTION("""COMPUTED_VALUE"""),"Si")</f>
        <v>Si</v>
      </c>
      <c r="Z226" s="45" t="str">
        <f>IFERROR(__xludf.DUMMYFUNCTION("""COMPUTED_VALUE"""),"Acepto")</f>
        <v>Acepto</v>
      </c>
      <c r="AA226" s="45" t="str">
        <f>IFERROR(__xludf.DUMMYFUNCTION("""COMPUTED_VALUE"""),"Terminado")</f>
        <v>Terminado</v>
      </c>
      <c r="AB226" s="45">
        <f>IFERROR(__xludf.DUMMYFUNCTION("""COMPUTED_VALUE"""),60000.0)</f>
        <v>60000</v>
      </c>
      <c r="AC226" s="7">
        <f>IFERROR(__xludf.DUMMYFUNCTION("""COMPUTED_VALUE"""),205015.0)</f>
        <v>205015</v>
      </c>
      <c r="AD226" s="7" t="str">
        <f>IFERROR(__xludf.DUMMYFUNCTION("""COMPUTED_VALUE"""),"TRF 21-08")</f>
        <v>TRF 21-08</v>
      </c>
      <c r="AE226" s="7" t="str">
        <f>IFERROR(__xludf.DUMMYFUNCTION("""COMPUTED_VALUE"""),"No Corresp")</f>
        <v>No Corresp</v>
      </c>
      <c r="AF226" s="7" t="str">
        <f>IFERROR(__xludf.DUMMYFUNCTION("""COMPUTED_VALUE"""),"Si")</f>
        <v>Si</v>
      </c>
    </row>
    <row r="227">
      <c r="A227" s="42">
        <f>IFERROR(__xludf.DUMMYFUNCTION("""COMPUTED_VALUE"""),45537.40147283565)</f>
        <v>45537.40147</v>
      </c>
      <c r="B227" s="43" t="str">
        <f>IFERROR(__xludf.DUMMYFUNCTION("""COMPUTED_VALUE"""),"Tintin")</f>
        <v>Tintin</v>
      </c>
      <c r="C227" s="43" t="str">
        <f>IFERROR(__xludf.DUMMYFUNCTION("""COMPUTED_VALUE"""),"Panasci")</f>
        <v>Panasci</v>
      </c>
      <c r="D227" s="43" t="str">
        <f>IFERROR(__xludf.DUMMYFUNCTION("""COMPUTED_VALUE"""),"caba")</f>
        <v>caba</v>
      </c>
      <c r="E227" s="45" t="str">
        <f>IFERROR(__xludf.DUMMYFUNCTION("""COMPUTED_VALUE"""),"ARG")</f>
        <v>ARG</v>
      </c>
      <c r="F227" s="45">
        <f>IFERROR(__xludf.DUMMYFUNCTION("""COMPUTED_VALUE"""),5.462732E7)</f>
        <v>54627320</v>
      </c>
      <c r="G227" s="44">
        <f>IFERROR(__xludf.DUMMYFUNCTION("""COMPUTED_VALUE"""),42249.0)</f>
        <v>42249</v>
      </c>
      <c r="H227" s="45">
        <f>IFERROR(__xludf.DUMMYFUNCTION("""COMPUTED_VALUE"""),1.162296144E9)</f>
        <v>1162296144</v>
      </c>
      <c r="I227" s="45">
        <f>IFERROR(__xludf.DUMMYFUNCTION("""COMPUTED_VALUE"""),1.162292995E9)</f>
        <v>1162292995</v>
      </c>
      <c r="J227" s="45" t="str">
        <f>IFERROR(__xludf.DUMMYFUNCTION("""COMPUTED_VALUE"""),"cristinadubra@gmail.com")</f>
        <v>cristinadubra@gmail.com</v>
      </c>
      <c r="K227" s="45" t="str">
        <f>IFERROR(__xludf.DUMMYFUNCTION("""COMPUTED_VALUE"""),"Masculino")</f>
        <v>Masculino</v>
      </c>
      <c r="L227" s="45" t="str">
        <f>IFERROR(__xludf.DUMMYFUNCTION("""COMPUTED_VALUE"""),"CUBA")</f>
        <v>CUBA</v>
      </c>
      <c r="M227" s="45"/>
      <c r="N227" s="7" t="str">
        <f>IFERROR(__xludf.DUMMYFUNCTION("""COMPUTED_VALUE"""),"OPTIMIST PRINCIPIANTES")</f>
        <v>OPTIMIST PRINCIPIANTES</v>
      </c>
      <c r="O227" s="7"/>
      <c r="P227" s="7">
        <f>IFERROR(__xludf.DUMMYFUNCTION("""COMPUTED_VALUE"""),3603.0)</f>
        <v>3603</v>
      </c>
      <c r="Q227" s="45"/>
      <c r="R227" s="45"/>
      <c r="S227" s="45"/>
      <c r="T227" s="45"/>
      <c r="U227" s="45"/>
      <c r="V227" s="45"/>
      <c r="W227" s="45"/>
      <c r="X227" s="47" t="str">
        <f>IFERROR(__xludf.DUMMYFUNCTION("""COMPUTED_VALUE"""),"0447732 05 1034")</f>
        <v>0447732 05 1034</v>
      </c>
      <c r="Y227" s="7" t="str">
        <f>IFERROR(__xludf.DUMMYFUNCTION("""COMPUTED_VALUE"""),"No")</f>
        <v>No</v>
      </c>
      <c r="Z227" s="45" t="str">
        <f>IFERROR(__xludf.DUMMYFUNCTION("""COMPUTED_VALUE"""),"Acepto")</f>
        <v>Acepto</v>
      </c>
      <c r="AA227" s="45" t="str">
        <f>IFERROR(__xludf.DUMMYFUNCTION("""COMPUTED_VALUE"""),"Terminado")</f>
        <v>Terminado</v>
      </c>
      <c r="AB227" s="45">
        <f>IFERROR(__xludf.DUMMYFUNCTION("""COMPUTED_VALUE"""),50000.0)</f>
        <v>50000</v>
      </c>
      <c r="AC227" s="7">
        <f>IFERROR(__xludf.DUMMYFUNCTION("""COMPUTED_VALUE"""),205532.0)</f>
        <v>205532</v>
      </c>
      <c r="AD227" s="7" t="str">
        <f>IFERROR(__xludf.DUMMYFUNCTION("""COMPUTED_VALUE"""),"TRF 06-09")</f>
        <v>TRF 06-09</v>
      </c>
      <c r="AE227" s="7" t="str">
        <f>IFERROR(__xludf.DUMMYFUNCTION("""COMPUTED_VALUE"""),"OK")</f>
        <v>OK</v>
      </c>
      <c r="AF227" s="7"/>
    </row>
    <row r="228">
      <c r="A228" s="42">
        <f>IFERROR(__xludf.DUMMYFUNCTION("""COMPUTED_VALUE"""),45537.54102074074)</f>
        <v>45537.54102</v>
      </c>
      <c r="B228" s="43" t="str">
        <f>IFERROR(__xludf.DUMMYFUNCTION("""COMPUTED_VALUE"""),"Ine")</f>
        <v>Ine</v>
      </c>
      <c r="C228" s="43" t="str">
        <f>IFERROR(__xludf.DUMMYFUNCTION("""COMPUTED_VALUE"""),"Panasci")</f>
        <v>Panasci</v>
      </c>
      <c r="D228" s="43" t="str">
        <f>IFERROR(__xludf.DUMMYFUNCTION("""COMPUTED_VALUE"""),"caba")</f>
        <v>caba</v>
      </c>
      <c r="E228" s="45" t="str">
        <f>IFERROR(__xludf.DUMMYFUNCTION("""COMPUTED_VALUE"""),"ARG")</f>
        <v>ARG</v>
      </c>
      <c r="F228" s="45">
        <f>IFERROR(__xludf.DUMMYFUNCTION("""COMPUTED_VALUE"""),5.0030333E7)</f>
        <v>50030333</v>
      </c>
      <c r="G228" s="44">
        <f>IFERROR(__xludf.DUMMYFUNCTION("""COMPUTED_VALUE"""),40192.0)</f>
        <v>40192</v>
      </c>
      <c r="H228" s="45">
        <f>IFERROR(__xludf.DUMMYFUNCTION("""COMPUTED_VALUE"""),1.162296144E9)</f>
        <v>1162296144</v>
      </c>
      <c r="I228" s="45"/>
      <c r="J228" s="45" t="str">
        <f>IFERROR(__xludf.DUMMYFUNCTION("""COMPUTED_VALUE"""),"cristinadubra@gmail.com")</f>
        <v>cristinadubra@gmail.com</v>
      </c>
      <c r="K228" s="45" t="str">
        <f>IFERROR(__xludf.DUMMYFUNCTION("""COMPUTED_VALUE"""),"Femenino")</f>
        <v>Femenino</v>
      </c>
      <c r="L228" s="45" t="str">
        <f>IFERROR(__xludf.DUMMYFUNCTION("""COMPUTED_VALUE"""),"CUBA")</f>
        <v>CUBA</v>
      </c>
      <c r="M228" s="45" t="str">
        <f>IFERROR(__xludf.DUMMYFUNCTION("""COMPUTED_VALUE"""),"Femenino")</f>
        <v>Femenino</v>
      </c>
      <c r="N228" s="7" t="str">
        <f>IFERROR(__xludf.DUMMYFUNCTION("""COMPUTED_VALUE"""),"OPTIMIST TIMONELES")</f>
        <v>OPTIMIST TIMONELES</v>
      </c>
      <c r="O228" s="7"/>
      <c r="P228" s="7">
        <f>IFERROR(__xludf.DUMMYFUNCTION("""COMPUTED_VALUE"""),4069.0)</f>
        <v>4069</v>
      </c>
      <c r="Q228" s="45"/>
      <c r="R228" s="45"/>
      <c r="S228" s="45"/>
      <c r="T228" s="45"/>
      <c r="U228" s="45"/>
      <c r="V228" s="45"/>
      <c r="W228" s="45"/>
      <c r="X228" s="47" t="str">
        <f>IFERROR(__xludf.DUMMYFUNCTION("""COMPUTED_VALUE"""),"0447732 03 1028")</f>
        <v>0447732 03 1028</v>
      </c>
      <c r="Y228" s="7" t="str">
        <f>IFERROR(__xludf.DUMMYFUNCTION("""COMPUTED_VALUE"""),"No")</f>
        <v>No</v>
      </c>
      <c r="Z228" s="45" t="str">
        <f>IFERROR(__xludf.DUMMYFUNCTION("""COMPUTED_VALUE"""),"Acepto")</f>
        <v>Acepto</v>
      </c>
      <c r="AA228" s="45" t="str">
        <f>IFERROR(__xludf.DUMMYFUNCTION("""COMPUTED_VALUE"""),"Terminado")</f>
        <v>Terminado</v>
      </c>
      <c r="AB228" s="45">
        <f>IFERROR(__xludf.DUMMYFUNCTION("""COMPUTED_VALUE"""),50000.0)</f>
        <v>50000</v>
      </c>
      <c r="AC228" s="7">
        <f>IFERROR(__xludf.DUMMYFUNCTION("""COMPUTED_VALUE"""),205532.0)</f>
        <v>205532</v>
      </c>
      <c r="AD228" s="7" t="str">
        <f>IFERROR(__xludf.DUMMYFUNCTION("""COMPUTED_VALUE"""),"TRF 06-09")</f>
        <v>TRF 06-09</v>
      </c>
      <c r="AE228" s="7" t="str">
        <f>IFERROR(__xludf.DUMMYFUNCTION("""COMPUTED_VALUE"""),"OK")</f>
        <v>OK</v>
      </c>
      <c r="AF228" s="7"/>
    </row>
    <row r="229">
      <c r="A229" s="42">
        <f>IFERROR(__xludf.DUMMYFUNCTION("""COMPUTED_VALUE"""),45537.54207502315)</f>
        <v>45537.54208</v>
      </c>
      <c r="B229" s="43" t="str">
        <f>IFERROR(__xludf.DUMMYFUNCTION("""COMPUTED_VALUE"""),"Nacho")</f>
        <v>Nacho</v>
      </c>
      <c r="C229" s="43" t="str">
        <f>IFERROR(__xludf.DUMMYFUNCTION("""COMPUTED_VALUE"""),"Panasci")</f>
        <v>Panasci</v>
      </c>
      <c r="D229" s="43" t="str">
        <f>IFERROR(__xludf.DUMMYFUNCTION("""COMPUTED_VALUE"""),"caba")</f>
        <v>caba</v>
      </c>
      <c r="E229" s="45" t="str">
        <f>IFERROR(__xludf.DUMMYFUNCTION("""COMPUTED_VALUE"""),"ARG")</f>
        <v>ARG</v>
      </c>
      <c r="F229" s="45">
        <f>IFERROR(__xludf.DUMMYFUNCTION("""COMPUTED_VALUE"""),5.244842E7)</f>
        <v>52448420</v>
      </c>
      <c r="G229" s="44">
        <f>IFERROR(__xludf.DUMMYFUNCTION("""COMPUTED_VALUE"""),41022.0)</f>
        <v>41022</v>
      </c>
      <c r="H229" s="45">
        <f>IFERROR(__xludf.DUMMYFUNCTION("""COMPUTED_VALUE"""),1.162296144E9)</f>
        <v>1162296144</v>
      </c>
      <c r="I229" s="45">
        <f>IFERROR(__xludf.DUMMYFUNCTION("""COMPUTED_VALUE"""),1.162292995E9)</f>
        <v>1162292995</v>
      </c>
      <c r="J229" s="45" t="str">
        <f>IFERROR(__xludf.DUMMYFUNCTION("""COMPUTED_VALUE"""),"cristinadubra@gmail.com")</f>
        <v>cristinadubra@gmail.com</v>
      </c>
      <c r="K229" s="45" t="str">
        <f>IFERROR(__xludf.DUMMYFUNCTION("""COMPUTED_VALUE"""),"Femenino")</f>
        <v>Femenino</v>
      </c>
      <c r="L229" s="45" t="str">
        <f>IFERROR(__xludf.DUMMYFUNCTION("""COMPUTED_VALUE"""),"CUBA")</f>
        <v>CUBA</v>
      </c>
      <c r="M229" s="45"/>
      <c r="N229" s="7" t="str">
        <f>IFERROR(__xludf.DUMMYFUNCTION("""COMPUTED_VALUE"""),"OPTIMIST TIMONELES")</f>
        <v>OPTIMIST TIMONELES</v>
      </c>
      <c r="O229" s="7"/>
      <c r="P229" s="7">
        <f>IFERROR(__xludf.DUMMYFUNCTION("""COMPUTED_VALUE"""),4136.0)</f>
        <v>4136</v>
      </c>
      <c r="Q229" s="45"/>
      <c r="R229" s="45"/>
      <c r="S229" s="45"/>
      <c r="T229" s="45"/>
      <c r="U229" s="45"/>
      <c r="V229" s="45"/>
      <c r="W229" s="45"/>
      <c r="X229" s="47"/>
      <c r="Y229" s="7" t="str">
        <f>IFERROR(__xludf.DUMMYFUNCTION("""COMPUTED_VALUE"""),"No")</f>
        <v>No</v>
      </c>
      <c r="Z229" s="45" t="str">
        <f>IFERROR(__xludf.DUMMYFUNCTION("""COMPUTED_VALUE"""),"Acepto")</f>
        <v>Acepto</v>
      </c>
      <c r="AA229" s="45" t="str">
        <f>IFERROR(__xludf.DUMMYFUNCTION("""COMPUTED_VALUE"""),"Terminado")</f>
        <v>Terminado</v>
      </c>
      <c r="AB229" s="45">
        <f>IFERROR(__xludf.DUMMYFUNCTION("""COMPUTED_VALUE"""),50000.0)</f>
        <v>50000</v>
      </c>
      <c r="AC229" s="7">
        <f>IFERROR(__xludf.DUMMYFUNCTION("""COMPUTED_VALUE"""),205532.0)</f>
        <v>205532</v>
      </c>
      <c r="AD229" s="7" t="str">
        <f>IFERROR(__xludf.DUMMYFUNCTION("""COMPUTED_VALUE"""),"TRF 06-09")</f>
        <v>TRF 06-09</v>
      </c>
      <c r="AE229" s="7" t="str">
        <f>IFERROR(__xludf.DUMMYFUNCTION("""COMPUTED_VALUE"""),"OK")</f>
        <v>OK</v>
      </c>
      <c r="AF229" s="7"/>
    </row>
    <row r="230">
      <c r="A230" s="42">
        <f>IFERROR(__xludf.DUMMYFUNCTION("""COMPUTED_VALUE"""),45535.46595240741)</f>
        <v>45535.46595</v>
      </c>
      <c r="B230" s="43" t="str">
        <f>IFERROR(__xludf.DUMMYFUNCTION("""COMPUTED_VALUE"""),"Tomas")</f>
        <v>Tomas</v>
      </c>
      <c r="C230" s="43" t="str">
        <f>IFERROR(__xludf.DUMMYFUNCTION("""COMPUTED_VALUE"""),"Paoli")</f>
        <v>Paoli</v>
      </c>
      <c r="D230" s="43" t="str">
        <f>IFERROR(__xludf.DUMMYFUNCTION("""COMPUTED_VALUE"""),"San isidro")</f>
        <v>San isidro</v>
      </c>
      <c r="E230" s="45" t="str">
        <f>IFERROR(__xludf.DUMMYFUNCTION("""COMPUTED_VALUE"""),"ARG")</f>
        <v>ARG</v>
      </c>
      <c r="F230" s="45">
        <f>IFERROR(__xludf.DUMMYFUNCTION("""COMPUTED_VALUE"""),5.2168E7)</f>
        <v>52168000</v>
      </c>
      <c r="G230" s="44">
        <f>IFERROR(__xludf.DUMMYFUNCTION("""COMPUTED_VALUE"""),40986.0)</f>
        <v>40986</v>
      </c>
      <c r="H230" s="45">
        <f>IFERROR(__xludf.DUMMYFUNCTION("""COMPUTED_VALUE"""),1.155770173E9)</f>
        <v>1155770173</v>
      </c>
      <c r="I230" s="45" t="str">
        <f>IFERROR(__xludf.DUMMYFUNCTION("""COMPUTED_VALUE"""),"11-5577-0173 ")</f>
        <v>11-5577-0173 </v>
      </c>
      <c r="J230" s="45" t="str">
        <f>IFERROR(__xludf.DUMMYFUNCTION("""COMPUTED_VALUE"""),"paolilucas@gmail.com")</f>
        <v>paolilucas@gmail.com</v>
      </c>
      <c r="K230" s="45" t="str">
        <f>IFERROR(__xludf.DUMMYFUNCTION("""COMPUTED_VALUE"""),"Masculino")</f>
        <v>Masculino</v>
      </c>
      <c r="L230" s="45" t="str">
        <f>IFERROR(__xludf.DUMMYFUNCTION("""COMPUTED_VALUE"""),"CNSI")</f>
        <v>CNSI</v>
      </c>
      <c r="M230" s="45" t="str">
        <f>IFERROR(__xludf.DUMMYFUNCTION("""COMPUTED_VALUE"""),"Interior (Optimist)")</f>
        <v>Interior (Optimist)</v>
      </c>
      <c r="N230" s="7" t="str">
        <f>IFERROR(__xludf.DUMMYFUNCTION("""COMPUTED_VALUE"""),"OPTIMIST PRINCIPIANTES")</f>
        <v>OPTIMIST PRINCIPIANTES</v>
      </c>
      <c r="O230" s="7"/>
      <c r="P230" s="7" t="str">
        <f>IFERROR(__xludf.DUMMYFUNCTION("""COMPUTED_VALUE"""),"036")</f>
        <v>036</v>
      </c>
      <c r="Q230" s="45"/>
      <c r="R230" s="45"/>
      <c r="S230" s="45"/>
      <c r="T230" s="45"/>
      <c r="U230" s="45"/>
      <c r="V230" s="45"/>
      <c r="W230" s="45"/>
      <c r="X230" s="47"/>
      <c r="Y230" s="7" t="str">
        <f>IFERROR(__xludf.DUMMYFUNCTION("""COMPUTED_VALUE"""),"No")</f>
        <v>No</v>
      </c>
      <c r="Z230" s="45" t="str">
        <f>IFERROR(__xludf.DUMMYFUNCTION("""COMPUTED_VALUE"""),"Acepto")</f>
        <v>Acepto</v>
      </c>
      <c r="AA230" s="45" t="str">
        <f>IFERROR(__xludf.DUMMYFUNCTION("""COMPUTED_VALUE"""),"Terminado")</f>
        <v>Terminado</v>
      </c>
      <c r="AB230" s="45">
        <f>IFERROR(__xludf.DUMMYFUNCTION("""COMPUTED_VALUE"""),50000.0)</f>
        <v>50000</v>
      </c>
      <c r="AC230" s="7">
        <f>IFERROR(__xludf.DUMMYFUNCTION("""COMPUTED_VALUE"""),205117.0)</f>
        <v>205117</v>
      </c>
      <c r="AD230" s="7" t="str">
        <f>IFERROR(__xludf.DUMMYFUNCTION("""COMPUTED_VALUE"""),"Tarj 31-08")</f>
        <v>Tarj 31-08</v>
      </c>
      <c r="AE230" s="7" t="str">
        <f>IFERROR(__xludf.DUMMYFUNCTION("""COMPUTED_VALUE"""),"OK")</f>
        <v>OK</v>
      </c>
      <c r="AF230" s="7"/>
    </row>
    <row r="231">
      <c r="A231" s="42">
        <f>IFERROR(__xludf.DUMMYFUNCTION("""COMPUTED_VALUE"""),45535.46840246528)</f>
        <v>45535.4684</v>
      </c>
      <c r="B231" s="43" t="str">
        <f>IFERROR(__xludf.DUMMYFUNCTION("""COMPUTED_VALUE"""),"Santiago")</f>
        <v>Santiago</v>
      </c>
      <c r="C231" s="43" t="str">
        <f>IFERROR(__xludf.DUMMYFUNCTION("""COMPUTED_VALUE"""),"Paoli")</f>
        <v>Paoli</v>
      </c>
      <c r="D231" s="43" t="str">
        <f>IFERROR(__xludf.DUMMYFUNCTION("""COMPUTED_VALUE"""),"San isidro")</f>
        <v>San isidro</v>
      </c>
      <c r="E231" s="45" t="str">
        <f>IFERROR(__xludf.DUMMYFUNCTION("""COMPUTED_VALUE"""),"ARG")</f>
        <v>ARG</v>
      </c>
      <c r="F231" s="45">
        <f>IFERROR(__xludf.DUMMYFUNCTION("""COMPUTED_VALUE"""),5.3972454E7)</f>
        <v>53972454</v>
      </c>
      <c r="G231" s="44">
        <f>IFERROR(__xludf.DUMMYFUNCTION("""COMPUTED_VALUE"""),41839.0)</f>
        <v>41839</v>
      </c>
      <c r="H231" s="45">
        <f>IFERROR(__xludf.DUMMYFUNCTION("""COMPUTED_VALUE"""),1.155770173E9)</f>
        <v>1155770173</v>
      </c>
      <c r="I231" s="45">
        <f>IFERROR(__xludf.DUMMYFUNCTION("""COMPUTED_VALUE"""),1.155770173E9)</f>
        <v>1155770173</v>
      </c>
      <c r="J231" s="45" t="str">
        <f>IFERROR(__xludf.DUMMYFUNCTION("""COMPUTED_VALUE"""),"paolilucas@gmail.com")</f>
        <v>paolilucas@gmail.com</v>
      </c>
      <c r="K231" s="45" t="str">
        <f>IFERROR(__xludf.DUMMYFUNCTION("""COMPUTED_VALUE"""),"Masculino")</f>
        <v>Masculino</v>
      </c>
      <c r="L231" s="45" t="str">
        <f>IFERROR(__xludf.DUMMYFUNCTION("""COMPUTED_VALUE"""),"CNSI")</f>
        <v>CNSI</v>
      </c>
      <c r="M231" s="45" t="str">
        <f>IFERROR(__xludf.DUMMYFUNCTION("""COMPUTED_VALUE"""),"Interior (Optimist)")</f>
        <v>Interior (Optimist)</v>
      </c>
      <c r="N231" s="7" t="str">
        <f>IFERROR(__xludf.DUMMYFUNCTION("""COMPUTED_VALUE"""),"OPTIMIST PRINCIPIANTES")</f>
        <v>OPTIMIST PRINCIPIANTES</v>
      </c>
      <c r="O231" s="7"/>
      <c r="P231" s="7">
        <f>IFERROR(__xludf.DUMMYFUNCTION("""COMPUTED_VALUE"""),3620.0)</f>
        <v>3620</v>
      </c>
      <c r="Q231" s="45"/>
      <c r="R231" s="45"/>
      <c r="S231" s="45"/>
      <c r="T231" s="45"/>
      <c r="U231" s="45"/>
      <c r="V231" s="45"/>
      <c r="W231" s="45"/>
      <c r="X231" s="47"/>
      <c r="Y231" s="7" t="str">
        <f>IFERROR(__xludf.DUMMYFUNCTION("""COMPUTED_VALUE"""),"No")</f>
        <v>No</v>
      </c>
      <c r="Z231" s="45" t="str">
        <f>IFERROR(__xludf.DUMMYFUNCTION("""COMPUTED_VALUE"""),"Acepto")</f>
        <v>Acepto</v>
      </c>
      <c r="AA231" s="45" t="str">
        <f>IFERROR(__xludf.DUMMYFUNCTION("""COMPUTED_VALUE"""),"Terminado")</f>
        <v>Terminado</v>
      </c>
      <c r="AB231" s="45">
        <f>IFERROR(__xludf.DUMMYFUNCTION("""COMPUTED_VALUE"""),50000.0)</f>
        <v>50000</v>
      </c>
      <c r="AC231" s="7">
        <f>IFERROR(__xludf.DUMMYFUNCTION("""COMPUTED_VALUE"""),205117.0)</f>
        <v>205117</v>
      </c>
      <c r="AD231" s="7" t="str">
        <f>IFERROR(__xludf.DUMMYFUNCTION("""COMPUTED_VALUE"""),"Tarj 31-08")</f>
        <v>Tarj 31-08</v>
      </c>
      <c r="AE231" s="7" t="str">
        <f>IFERROR(__xludf.DUMMYFUNCTION("""COMPUTED_VALUE"""),"OK")</f>
        <v>OK</v>
      </c>
      <c r="AF231" s="7"/>
    </row>
    <row r="232">
      <c r="A232" s="42">
        <f>IFERROR(__xludf.DUMMYFUNCTION("""COMPUTED_VALUE"""),45535.5530904051)</f>
        <v>45535.55309</v>
      </c>
      <c r="B232" s="43" t="str">
        <f>IFERROR(__xludf.DUMMYFUNCTION("""COMPUTED_VALUE"""),"Sebastian")</f>
        <v>Sebastian</v>
      </c>
      <c r="C232" s="43" t="str">
        <f>IFERROR(__xludf.DUMMYFUNCTION("""COMPUTED_VALUE"""),"Parrella")</f>
        <v>Parrella</v>
      </c>
      <c r="D232" s="43" t="str">
        <f>IFERROR(__xludf.DUMMYFUNCTION("""COMPUTED_VALUE"""),"Buenos Aires")</f>
        <v>Buenos Aires</v>
      </c>
      <c r="E232" s="45" t="str">
        <f>IFERROR(__xludf.DUMMYFUNCTION("""COMPUTED_VALUE"""),"ARG")</f>
        <v>ARG</v>
      </c>
      <c r="F232" s="45">
        <f>IFERROR(__xludf.DUMMYFUNCTION("""COMPUTED_VALUE"""),4.9926159E7)</f>
        <v>49926159</v>
      </c>
      <c r="G232" s="44">
        <f>IFERROR(__xludf.DUMMYFUNCTION("""COMPUTED_VALUE"""),40162.0)</f>
        <v>40162</v>
      </c>
      <c r="H232" s="45" t="str">
        <f>IFERROR(__xludf.DUMMYFUNCTION("""COMPUTED_VALUE"""),"+54 9 11 3811-4637")</f>
        <v>+54 9 11 3811-4637</v>
      </c>
      <c r="I232" s="45" t="str">
        <f>IFERROR(__xludf.DUMMYFUNCTION("""COMPUTED_VALUE"""),"+54 9 11 3811-4637")</f>
        <v>+54 9 11 3811-4637</v>
      </c>
      <c r="J232" s="45" t="str">
        <f>IFERROR(__xludf.DUMMYFUNCTION("""COMPUTED_VALUE"""),"sebastian.parrella@gmail.com")</f>
        <v>sebastian.parrella@gmail.com</v>
      </c>
      <c r="K232" s="45" t="str">
        <f>IFERROR(__xludf.DUMMYFUNCTION("""COMPUTED_VALUE"""),"Masculino")</f>
        <v>Masculino</v>
      </c>
      <c r="L232" s="45" t="str">
        <f>IFERROR(__xludf.DUMMYFUNCTION("""COMPUTED_VALUE"""),"YCCN")</f>
        <v>YCCN</v>
      </c>
      <c r="M232" s="45"/>
      <c r="N232" s="7" t="str">
        <f>IFERROR(__xludf.DUMMYFUNCTION("""COMPUTED_VALUE"""),"OPTIMIST TIMONELES")</f>
        <v>OPTIMIST TIMONELES</v>
      </c>
      <c r="O232" s="7"/>
      <c r="P232" s="7">
        <f>IFERROR(__xludf.DUMMYFUNCTION("""COMPUTED_VALUE"""),3490.0)</f>
        <v>3490</v>
      </c>
      <c r="Q232" s="45"/>
      <c r="R232" s="45"/>
      <c r="S232" s="45"/>
      <c r="T232" s="45"/>
      <c r="U232" s="45"/>
      <c r="V232" s="45"/>
      <c r="W232" s="45"/>
      <c r="X232" s="47" t="str">
        <f>IFERROR(__xludf.DUMMYFUNCTION("""COMPUTED_VALUE"""),"Osde")</f>
        <v>Osde</v>
      </c>
      <c r="Y232" s="7" t="str">
        <f>IFERROR(__xludf.DUMMYFUNCTION("""COMPUTED_VALUE"""),"No")</f>
        <v>No</v>
      </c>
      <c r="Z232" s="45" t="str">
        <f>IFERROR(__xludf.DUMMYFUNCTION("""COMPUTED_VALUE"""),"Acepto")</f>
        <v>Acepto</v>
      </c>
      <c r="AA232" s="45" t="str">
        <f>IFERROR(__xludf.DUMMYFUNCTION("""COMPUTED_VALUE"""),"Terminado")</f>
        <v>Terminado</v>
      </c>
      <c r="AB232" s="45">
        <f>IFERROR(__xludf.DUMMYFUNCTION("""COMPUTED_VALUE"""),50000.0)</f>
        <v>50000</v>
      </c>
      <c r="AC232" s="7">
        <f>IFERROR(__xludf.DUMMYFUNCTION("""COMPUTED_VALUE"""),205154.0)</f>
        <v>205154</v>
      </c>
      <c r="AD232" s="7" t="str">
        <f>IFERROR(__xludf.DUMMYFUNCTION("""COMPUTED_VALUE"""),"TRF 31-08")</f>
        <v>TRF 31-08</v>
      </c>
      <c r="AE232" s="7" t="str">
        <f>IFERROR(__xludf.DUMMYFUNCTION("""COMPUTED_VALUE"""),"OK")</f>
        <v>OK</v>
      </c>
      <c r="AF232" s="7"/>
    </row>
    <row r="233">
      <c r="A233" s="42">
        <f>IFERROR(__xludf.DUMMYFUNCTION("""COMPUTED_VALUE"""),45533.70528741898)</f>
        <v>45533.70529</v>
      </c>
      <c r="B233" s="43" t="str">
        <f>IFERROR(__xludf.DUMMYFUNCTION("""COMPUTED_VALUE"""),"Agustín ")</f>
        <v>Agustín </v>
      </c>
      <c r="C233" s="43" t="str">
        <f>IFERROR(__xludf.DUMMYFUNCTION("""COMPUTED_VALUE"""),"Pascual")</f>
        <v>Pascual</v>
      </c>
      <c r="D233" s="43" t="str">
        <f>IFERROR(__xludf.DUMMYFUNCTION("""COMPUTED_VALUE"""),"Caba")</f>
        <v>Caba</v>
      </c>
      <c r="E233" s="45" t="str">
        <f>IFERROR(__xludf.DUMMYFUNCTION("""COMPUTED_VALUE"""),"ARG")</f>
        <v>ARG</v>
      </c>
      <c r="F233" s="45">
        <f>IFERROR(__xludf.DUMMYFUNCTION("""COMPUTED_VALUE"""),3.4263472E7)</f>
        <v>34263472</v>
      </c>
      <c r="G233" s="44">
        <f>IFERROR(__xludf.DUMMYFUNCTION("""COMPUTED_VALUE"""),32573.0)</f>
        <v>32573</v>
      </c>
      <c r="H233" s="45">
        <f>IFERROR(__xludf.DUMMYFUNCTION("""COMPUTED_VALUE"""),1.135012888E9)</f>
        <v>1135012888</v>
      </c>
      <c r="I233" s="45"/>
      <c r="J233" s="45" t="str">
        <f>IFERROR(__xludf.DUMMYFUNCTION("""COMPUTED_VALUE"""),"juan_agustin09@hotmail.com")</f>
        <v>juan_agustin09@hotmail.com</v>
      </c>
      <c r="K233" s="45" t="str">
        <f>IFERROR(__xludf.DUMMYFUNCTION("""COMPUTED_VALUE"""),"Masculino")</f>
        <v>Masculino</v>
      </c>
      <c r="L233" s="45" t="str">
        <f>IFERROR(__xludf.DUMMYFUNCTION("""COMPUTED_VALUE"""),"YCO")</f>
        <v>YCO</v>
      </c>
      <c r="M233" s="45"/>
      <c r="N233" s="7" t="str">
        <f>IFERROR(__xludf.DUMMYFUNCTION("""COMPUTED_VALUE"""),"ILCA 7")</f>
        <v>ILCA 7</v>
      </c>
      <c r="O233" s="7"/>
      <c r="P233" s="7">
        <f>IFERROR(__xludf.DUMMYFUNCTION("""COMPUTED_VALUE"""),218079.0)</f>
        <v>218079</v>
      </c>
      <c r="Q233" s="45"/>
      <c r="R233" s="45"/>
      <c r="S233" s="45"/>
      <c r="T233" s="45"/>
      <c r="U233" s="45"/>
      <c r="V233" s="45"/>
      <c r="W233" s="45"/>
      <c r="X233" s="47"/>
      <c r="Y233" s="7" t="str">
        <f>IFERROR(__xludf.DUMMYFUNCTION("""COMPUTED_VALUE"""),"Si")</f>
        <v>Si</v>
      </c>
      <c r="Z233" s="45" t="str">
        <f>IFERROR(__xludf.DUMMYFUNCTION("""COMPUTED_VALUE"""),"Acepto")</f>
        <v>Acepto</v>
      </c>
      <c r="AA233" s="45" t="str">
        <f>IFERROR(__xludf.DUMMYFUNCTION("""COMPUTED_VALUE"""),"Terminado")</f>
        <v>Terminado</v>
      </c>
      <c r="AB233" s="45">
        <f>IFERROR(__xludf.DUMMYFUNCTION("""COMPUTED_VALUE"""),45000.0)</f>
        <v>45000</v>
      </c>
      <c r="AC233" s="7">
        <f>IFERROR(__xludf.DUMMYFUNCTION("""COMPUTED_VALUE"""),205567.0)</f>
        <v>205567</v>
      </c>
      <c r="AD233" s="7" t="str">
        <f>IFERROR(__xludf.DUMMYFUNCTION("""COMPUTED_VALUE"""),"EF 07-09")</f>
        <v>EF 07-09</v>
      </c>
      <c r="AE233" s="7" t="str">
        <f>IFERROR(__xludf.DUMMYFUNCTION("""COMPUTED_VALUE"""),"No Corresp")</f>
        <v>No Corresp</v>
      </c>
      <c r="AF233" s="7"/>
    </row>
    <row r="234">
      <c r="A234" s="42">
        <f>IFERROR(__xludf.DUMMYFUNCTION("""COMPUTED_VALUE"""),45533.70608849537)</f>
        <v>45533.70609</v>
      </c>
      <c r="B234" s="43" t="str">
        <f>IFERROR(__xludf.DUMMYFUNCTION("""COMPUTED_VALUE"""),"Agustin")</f>
        <v>Agustin</v>
      </c>
      <c r="C234" s="43" t="str">
        <f>IFERROR(__xludf.DUMMYFUNCTION("""COMPUTED_VALUE"""),"Pascual")</f>
        <v>Pascual</v>
      </c>
      <c r="D234" s="43" t="str">
        <f>IFERROR(__xludf.DUMMYFUNCTION("""COMPUTED_VALUE"""),"Caba")</f>
        <v>Caba</v>
      </c>
      <c r="E234" s="45" t="str">
        <f>IFERROR(__xludf.DUMMYFUNCTION("""COMPUTED_VALUE"""),"ARG")</f>
        <v>ARG</v>
      </c>
      <c r="F234" s="45">
        <f>IFERROR(__xludf.DUMMYFUNCTION("""COMPUTED_VALUE"""),3.4263472E7)</f>
        <v>34263472</v>
      </c>
      <c r="G234" s="44">
        <f>IFERROR(__xludf.DUMMYFUNCTION("""COMPUTED_VALUE"""),32573.0)</f>
        <v>32573</v>
      </c>
      <c r="H234" s="45">
        <f>IFERROR(__xludf.DUMMYFUNCTION("""COMPUTED_VALUE"""),1.135012888E9)</f>
        <v>1135012888</v>
      </c>
      <c r="I234" s="45"/>
      <c r="J234" s="45" t="str">
        <f>IFERROR(__xludf.DUMMYFUNCTION("""COMPUTED_VALUE"""),"juan_agustin09@hotmail.com ")</f>
        <v>juan_agustin09@hotmail.com </v>
      </c>
      <c r="K234" s="45" t="str">
        <f>IFERROR(__xludf.DUMMYFUNCTION("""COMPUTED_VALUE"""),"Masculino")</f>
        <v>Masculino</v>
      </c>
      <c r="L234" s="45" t="str">
        <f>IFERROR(__xludf.DUMMYFUNCTION("""COMPUTED_VALUE"""),"YCO")</f>
        <v>YCO</v>
      </c>
      <c r="M234" s="45"/>
      <c r="N234" s="7" t="str">
        <f>IFERROR(__xludf.DUMMYFUNCTION("""COMPUTED_VALUE"""),"WING FOIL")</f>
        <v>WING FOIL</v>
      </c>
      <c r="O234" s="7"/>
      <c r="P234" s="7">
        <f>IFERROR(__xludf.DUMMYFUNCTION("""COMPUTED_VALUE"""),79.0)</f>
        <v>79</v>
      </c>
      <c r="Q234" s="45"/>
      <c r="R234" s="45"/>
      <c r="S234" s="45"/>
      <c r="T234" s="45"/>
      <c r="U234" s="45"/>
      <c r="V234" s="45"/>
      <c r="W234" s="45"/>
      <c r="X234" s="47"/>
      <c r="Y234" s="7" t="str">
        <f>IFERROR(__xludf.DUMMYFUNCTION("""COMPUTED_VALUE"""),"Si")</f>
        <v>Si</v>
      </c>
      <c r="Z234" s="45" t="str">
        <f>IFERROR(__xludf.DUMMYFUNCTION("""COMPUTED_VALUE"""),"Acepto")</f>
        <v>Acepto</v>
      </c>
      <c r="AA234" s="45" t="str">
        <f>IFERROR(__xludf.DUMMYFUNCTION("""COMPUTED_VALUE"""),"Pendiente")</f>
        <v>Pendiente</v>
      </c>
      <c r="AB234" s="45"/>
      <c r="AC234" s="7"/>
      <c r="AD234" s="7"/>
      <c r="AE234" s="7" t="str">
        <f>IFERROR(__xludf.DUMMYFUNCTION("""COMPUTED_VALUE"""),"No Corresp")</f>
        <v>No Corresp</v>
      </c>
      <c r="AF234" s="7"/>
    </row>
    <row r="235">
      <c r="A235" s="42">
        <f>IFERROR(__xludf.DUMMYFUNCTION("""COMPUTED_VALUE"""),45534.70787643519)</f>
        <v>45534.70788</v>
      </c>
      <c r="B235" s="43" t="str">
        <f>IFERROR(__xludf.DUMMYFUNCTION("""COMPUTED_VALUE"""),"Antonella")</f>
        <v>Antonella</v>
      </c>
      <c r="C235" s="43" t="str">
        <f>IFERROR(__xludf.DUMMYFUNCTION("""COMPUTED_VALUE"""),"Pastori")</f>
        <v>Pastori</v>
      </c>
      <c r="D235" s="43" t="str">
        <f>IFERROR(__xludf.DUMMYFUNCTION("""COMPUTED_VALUE"""),"La Plata")</f>
        <v>La Plata</v>
      </c>
      <c r="E235" s="45" t="str">
        <f>IFERROR(__xludf.DUMMYFUNCTION("""COMPUTED_VALUE"""),"ARG")</f>
        <v>ARG</v>
      </c>
      <c r="F235" s="45">
        <f>IFERROR(__xludf.DUMMYFUNCTION("""COMPUTED_VALUE"""),5.126146E7)</f>
        <v>51261460</v>
      </c>
      <c r="G235" s="44">
        <f>IFERROR(__xludf.DUMMYFUNCTION("""COMPUTED_VALUE"""),40791.0)</f>
        <v>40791</v>
      </c>
      <c r="H235" s="45">
        <f>IFERROR(__xludf.DUMMYFUNCTION("""COMPUTED_VALUE"""),2.21614579E9)</f>
        <v>2216145790</v>
      </c>
      <c r="I235" s="45">
        <f>IFERROR(__xludf.DUMMYFUNCTION("""COMPUTED_VALUE"""),2.21614579E9)</f>
        <v>2216145790</v>
      </c>
      <c r="J235" s="45" t="str">
        <f>IFERROR(__xludf.DUMMYFUNCTION("""COMPUTED_VALUE"""),"mpaulavelazco@gmail.com")</f>
        <v>mpaulavelazco@gmail.com</v>
      </c>
      <c r="K235" s="45" t="str">
        <f>IFERROR(__xludf.DUMMYFUNCTION("""COMPUTED_VALUE"""),"Femenino")</f>
        <v>Femenino</v>
      </c>
      <c r="L235" s="45" t="str">
        <f>IFERROR(__xludf.DUMMYFUNCTION("""COMPUTED_VALUE"""),"CRLP")</f>
        <v>CRLP</v>
      </c>
      <c r="M235" s="45" t="str">
        <f>IFERROR(__xludf.DUMMYFUNCTION("""COMPUTED_VALUE"""),"Femenino, Principiantes Optimist ")</f>
        <v>Femenino, Principiantes Optimist </v>
      </c>
      <c r="N235" s="7" t="str">
        <f>IFERROR(__xludf.DUMMYFUNCTION("""COMPUTED_VALUE"""),"OPTIMIST PRINCIPIANTES")</f>
        <v>OPTIMIST PRINCIPIANTES</v>
      </c>
      <c r="O235" s="7"/>
      <c r="P235" s="7">
        <f>IFERROR(__xludf.DUMMYFUNCTION("""COMPUTED_VALUE"""),3286.0)</f>
        <v>3286</v>
      </c>
      <c r="Q235" s="45"/>
      <c r="R235" s="45"/>
      <c r="S235" s="45"/>
      <c r="T235" s="45"/>
      <c r="U235" s="45"/>
      <c r="V235" s="45"/>
      <c r="W235" s="45"/>
      <c r="X235" s="47" t="str">
        <f>IFERROR(__xludf.DUMMYFUNCTION("""COMPUTED_VALUE"""),"IOMA K255203229/02")</f>
        <v>IOMA K255203229/02</v>
      </c>
      <c r="Y235" s="7" t="str">
        <f>IFERROR(__xludf.DUMMYFUNCTION("""COMPUTED_VALUE"""),"Si")</f>
        <v>Si</v>
      </c>
      <c r="Z235" s="45" t="str">
        <f>IFERROR(__xludf.DUMMYFUNCTION("""COMPUTED_VALUE"""),"Acepto")</f>
        <v>Acepto</v>
      </c>
      <c r="AA235" s="45" t="str">
        <f>IFERROR(__xludf.DUMMYFUNCTION("""COMPUTED_VALUE"""),"Terminado")</f>
        <v>Terminado</v>
      </c>
      <c r="AB235" s="45">
        <f>IFERROR(__xludf.DUMMYFUNCTION("""COMPUTED_VALUE"""),50000.0)</f>
        <v>50000</v>
      </c>
      <c r="AC235" s="7">
        <f>IFERROR(__xludf.DUMMYFUNCTION("""COMPUTED_VALUE"""),205122.0)</f>
        <v>205122</v>
      </c>
      <c r="AD235" s="7" t="str">
        <f>IFERROR(__xludf.DUMMYFUNCTION("""COMPUTED_VALUE"""),"TRF 30-08")</f>
        <v>TRF 30-08</v>
      </c>
      <c r="AE235" s="7" t="str">
        <f>IFERROR(__xludf.DUMMYFUNCTION("""COMPUTED_VALUE"""),"OK")</f>
        <v>OK</v>
      </c>
      <c r="AF235" s="7"/>
    </row>
    <row r="236">
      <c r="A236" s="42">
        <f>IFERROR(__xludf.DUMMYFUNCTION("""COMPUTED_VALUE"""),45539.79807870371)</f>
        <v>45539.79808</v>
      </c>
      <c r="B236" s="43" t="str">
        <f>IFERROR(__xludf.DUMMYFUNCTION("""COMPUTED_VALUE"""),"Sergio")</f>
        <v>Sergio</v>
      </c>
      <c r="C236" s="43" t="str">
        <f>IFERROR(__xludf.DUMMYFUNCTION("""COMPUTED_VALUE"""),"Pendola")</f>
        <v>Pendola</v>
      </c>
      <c r="D236" s="43" t="str">
        <f>IFERROR(__xludf.DUMMYFUNCTION("""COMPUTED_VALUE"""),"Olivos")</f>
        <v>Olivos</v>
      </c>
      <c r="E236" s="45" t="str">
        <f>IFERROR(__xludf.DUMMYFUNCTION("""COMPUTED_VALUE"""),"ARG")</f>
        <v>ARG</v>
      </c>
      <c r="F236" s="45">
        <f>IFERROR(__xludf.DUMMYFUNCTION("""COMPUTED_VALUE"""),1.612448E7)</f>
        <v>16124480</v>
      </c>
      <c r="G236" s="44">
        <f>IFERROR(__xludf.DUMMYFUNCTION("""COMPUTED_VALUE"""),22682.0)</f>
        <v>22682</v>
      </c>
      <c r="H236" s="45">
        <f>IFERROR(__xludf.DUMMYFUNCTION("""COMPUTED_VALUE"""),1.170750777E9)</f>
        <v>1170750777</v>
      </c>
      <c r="I236" s="45"/>
      <c r="J236" s="45" t="str">
        <f>IFERROR(__xludf.DUMMYFUNCTION("""COMPUTED_VALUE"""),"sependola@gmail.com")</f>
        <v>sependola@gmail.com</v>
      </c>
      <c r="K236" s="45" t="str">
        <f>IFERROR(__xludf.DUMMYFUNCTION("""COMPUTED_VALUE"""),"Masculino")</f>
        <v>Masculino</v>
      </c>
      <c r="L236" s="45" t="str">
        <f>IFERROR(__xludf.DUMMYFUNCTION("""COMPUTED_VALUE"""),"CNO")</f>
        <v>CNO</v>
      </c>
      <c r="M236" s="45" t="str">
        <f>IFERROR(__xludf.DUMMYFUNCTION("""COMPUTED_VALUE"""),"Corintians")</f>
        <v>Corintians</v>
      </c>
      <c r="N236" s="7" t="str">
        <f>IFERROR(__xludf.DUMMYFUNCTION("""COMPUTED_VALUE"""),"J 70")</f>
        <v>J 70</v>
      </c>
      <c r="O236" s="7">
        <f>IFERROR(__xludf.DUMMYFUNCTION("""COMPUTED_VALUE"""),13.0)</f>
        <v>13</v>
      </c>
      <c r="P236" s="7" t="str">
        <f>IFERROR(__xludf.DUMMYFUNCTION("""COMPUTED_VALUE"""),"ARG1199")</f>
        <v>ARG1199</v>
      </c>
      <c r="Q236" s="45" t="str">
        <f>IFERROR(__xludf.DUMMYFUNCTION("""COMPUTED_VALUE"""),"Cacique")</f>
        <v>Cacique</v>
      </c>
      <c r="R236" s="45" t="str">
        <f>IFERROR(__xludf.DUMMYFUNCTION("""COMPUTED_VALUE"""),"Juan Lupo")</f>
        <v>Juan Lupo</v>
      </c>
      <c r="S236" s="45" t="str">
        <f>IFERROR(__xludf.DUMMYFUNCTION("""COMPUTED_VALUE"""),"Diego Belli")</f>
        <v>Diego Belli</v>
      </c>
      <c r="T236" s="45" t="str">
        <f>IFERROR(__xludf.DUMMYFUNCTION("""COMPUTED_VALUE"""),"Agustin Cristiano")</f>
        <v>Agustin Cristiano</v>
      </c>
      <c r="U236" s="45"/>
      <c r="V236" s="45"/>
      <c r="W236" s="45"/>
      <c r="X236" s="47"/>
      <c r="Y236" s="7" t="str">
        <f>IFERROR(__xludf.DUMMYFUNCTION("""COMPUTED_VALUE"""),"No")</f>
        <v>No</v>
      </c>
      <c r="Z236" s="45" t="str">
        <f>IFERROR(__xludf.DUMMYFUNCTION("""COMPUTED_VALUE"""),"Acepto")</f>
        <v>Acepto</v>
      </c>
      <c r="AA236" s="45" t="str">
        <f>IFERROR(__xludf.DUMMYFUNCTION("""COMPUTED_VALUE"""),"Terminado")</f>
        <v>Terminado</v>
      </c>
      <c r="AB236" s="45">
        <f>IFERROR(__xludf.DUMMYFUNCTION("""COMPUTED_VALUE"""),80000.0)</f>
        <v>80000</v>
      </c>
      <c r="AC236" s="7">
        <f>IFERROR(__xludf.DUMMYFUNCTION("""COMPUTED_VALUE"""),205546.0)</f>
        <v>205546</v>
      </c>
      <c r="AD236" s="7" t="str">
        <f>IFERROR(__xludf.DUMMYFUNCTION("""COMPUTED_VALUE"""),"TRF 06-09")</f>
        <v>TRF 06-09</v>
      </c>
      <c r="AE236" s="7" t="str">
        <f>IFERROR(__xludf.DUMMYFUNCTION("""COMPUTED_VALUE"""),"No Corresp")</f>
        <v>No Corresp</v>
      </c>
      <c r="AF236" s="7"/>
    </row>
    <row r="237">
      <c r="A237" s="42">
        <f>IFERROR(__xludf.DUMMYFUNCTION("""COMPUTED_VALUE"""),45534.39919627315)</f>
        <v>45534.3992</v>
      </c>
      <c r="B237" s="43" t="str">
        <f>IFERROR(__xludf.DUMMYFUNCTION("""COMPUTED_VALUE"""),"matias ")</f>
        <v>matias </v>
      </c>
      <c r="C237" s="43" t="str">
        <f>IFERROR(__xludf.DUMMYFUNCTION("""COMPUTED_VALUE"""),"pereira")</f>
        <v>pereira</v>
      </c>
      <c r="D237" s="43" t="str">
        <f>IFERROR(__xludf.DUMMYFUNCTION("""COMPUTED_VALUE"""),"bs as")</f>
        <v>bs as</v>
      </c>
      <c r="E237" s="45" t="str">
        <f>IFERROR(__xludf.DUMMYFUNCTION("""COMPUTED_VALUE"""),"ARG")</f>
        <v>ARG</v>
      </c>
      <c r="F237" s="45">
        <f>IFERROR(__xludf.DUMMYFUNCTION("""COMPUTED_VALUE"""),2.3804215E7)</f>
        <v>23804215</v>
      </c>
      <c r="G237" s="44">
        <f>IFERROR(__xludf.DUMMYFUNCTION("""COMPUTED_VALUE"""),27102.0)</f>
        <v>27102</v>
      </c>
      <c r="H237" s="45">
        <f>IFERROR(__xludf.DUMMYFUNCTION("""COMPUTED_VALUE"""),5.8791952E7)</f>
        <v>58791952</v>
      </c>
      <c r="I237" s="45"/>
      <c r="J237" s="45" t="str">
        <f>IFERROR(__xludf.DUMMYFUNCTION("""COMPUTED_VALUE"""),"lozanoedgardo@gmail.com")</f>
        <v>lozanoedgardo@gmail.com</v>
      </c>
      <c r="K237" s="45" t="str">
        <f>IFERROR(__xludf.DUMMYFUNCTION("""COMPUTED_VALUE"""),"Masculino")</f>
        <v>Masculino</v>
      </c>
      <c r="L237" s="45" t="str">
        <f>IFERROR(__xludf.DUMMYFUNCTION("""COMPUTED_VALUE"""),"cno")</f>
        <v>cno</v>
      </c>
      <c r="M237" s="45" t="str">
        <f>IFERROR(__xludf.DUMMYFUNCTION("""COMPUTED_VALUE"""),"Corintians")</f>
        <v>Corintians</v>
      </c>
      <c r="N237" s="7" t="str">
        <f>IFERROR(__xludf.DUMMYFUNCTION("""COMPUTED_VALUE"""),"J 70")</f>
        <v>J 70</v>
      </c>
      <c r="O237" s="7">
        <f>IFERROR(__xludf.DUMMYFUNCTION("""COMPUTED_VALUE"""),71.0)</f>
        <v>71</v>
      </c>
      <c r="P237" s="7">
        <f>IFERROR(__xludf.DUMMYFUNCTION("""COMPUTED_VALUE"""),1555.0)</f>
        <v>1555</v>
      </c>
      <c r="Q237" s="45" t="str">
        <f>IFERROR(__xludf.DUMMYFUNCTION("""COMPUTED_VALUE"""),"blue")</f>
        <v>blue</v>
      </c>
      <c r="R237" s="45" t="str">
        <f>IFERROR(__xludf.DUMMYFUNCTION("""COMPUTED_VALUE"""),"fernando casanello")</f>
        <v>fernando casanello</v>
      </c>
      <c r="S237" s="45" t="str">
        <f>IFERROR(__xludf.DUMMYFUNCTION("""COMPUTED_VALUE"""),"emiliano homps")</f>
        <v>emiliano homps</v>
      </c>
      <c r="T237" s="45" t="str">
        <f>IFERROR(__xludf.DUMMYFUNCTION("""COMPUTED_VALUE"""),"edgardo lozano")</f>
        <v>edgardo lozano</v>
      </c>
      <c r="U237" s="45"/>
      <c r="V237" s="45"/>
      <c r="W237" s="45"/>
      <c r="X237" s="47" t="str">
        <f>IFERROR(__xludf.DUMMYFUNCTION("""COMPUTED_VALUE"""),"osde 210")</f>
        <v>osde 210</v>
      </c>
      <c r="Y237" s="7" t="str">
        <f>IFERROR(__xludf.DUMMYFUNCTION("""COMPUTED_VALUE"""),"No")</f>
        <v>No</v>
      </c>
      <c r="Z237" s="45" t="str">
        <f>IFERROR(__xludf.DUMMYFUNCTION("""COMPUTED_VALUE"""),"Acepto")</f>
        <v>Acepto</v>
      </c>
      <c r="AA237" s="45" t="str">
        <f>IFERROR(__xludf.DUMMYFUNCTION("""COMPUTED_VALUE"""),"Terminado")</f>
        <v>Terminado</v>
      </c>
      <c r="AB237" s="45">
        <f>IFERROR(__xludf.DUMMYFUNCTION("""COMPUTED_VALUE"""),80000.0)</f>
        <v>80000</v>
      </c>
      <c r="AC237" s="7">
        <f>IFERROR(__xludf.DUMMYFUNCTION("""COMPUTED_VALUE"""),205090.0)</f>
        <v>205090</v>
      </c>
      <c r="AD237" s="7" t="str">
        <f>IFERROR(__xludf.DUMMYFUNCTION("""COMPUTED_VALUE"""),"TRF 30-08")</f>
        <v>TRF 30-08</v>
      </c>
      <c r="AE237" s="7" t="str">
        <f>IFERROR(__xludf.DUMMYFUNCTION("""COMPUTED_VALUE"""),"No Corresp")</f>
        <v>No Corresp</v>
      </c>
      <c r="AF237" s="7"/>
    </row>
    <row r="238">
      <c r="A238" s="42">
        <f>IFERROR(__xludf.DUMMYFUNCTION("""COMPUTED_VALUE"""),45538.82748641203)</f>
        <v>45538.82749</v>
      </c>
      <c r="B238" s="43" t="str">
        <f>IFERROR(__xludf.DUMMYFUNCTION("""COMPUTED_VALUE"""),"Bautista ")</f>
        <v>Bautista </v>
      </c>
      <c r="C238" s="43" t="str">
        <f>IFERROR(__xludf.DUMMYFUNCTION("""COMPUTED_VALUE"""),"PEREIRO")</f>
        <v>PEREIRO</v>
      </c>
      <c r="D238" s="43" t="str">
        <f>IFERROR(__xludf.DUMMYFUNCTION("""COMPUTED_VALUE"""),"Caba")</f>
        <v>Caba</v>
      </c>
      <c r="E238" s="45" t="str">
        <f>IFERROR(__xludf.DUMMYFUNCTION("""COMPUTED_VALUE"""),"ARG")</f>
        <v>ARG</v>
      </c>
      <c r="F238" s="45">
        <f>IFERROR(__xludf.DUMMYFUNCTION("""COMPUTED_VALUE"""),5.1588663E7)</f>
        <v>51588663</v>
      </c>
      <c r="G238" s="44">
        <f>IFERROR(__xludf.DUMMYFUNCTION("""COMPUTED_VALUE"""),40893.0)</f>
        <v>40893</v>
      </c>
      <c r="H238" s="45">
        <f>IFERROR(__xludf.DUMMYFUNCTION("""COMPUTED_VALUE"""),1.12605254E9)</f>
        <v>1126052540</v>
      </c>
      <c r="I238" s="45">
        <f>IFERROR(__xludf.DUMMYFUNCTION("""COMPUTED_VALUE"""),1.12605254E9)</f>
        <v>1126052540</v>
      </c>
      <c r="J238" s="45" t="str">
        <f>IFERROR(__xludf.DUMMYFUNCTION("""COMPUTED_VALUE"""),"doloresgm@gmail.com")</f>
        <v>doloresgm@gmail.com</v>
      </c>
      <c r="K238" s="45" t="str">
        <f>IFERROR(__xludf.DUMMYFUNCTION("""COMPUTED_VALUE"""),"Masculino")</f>
        <v>Masculino</v>
      </c>
      <c r="L238" s="45" t="str">
        <f>IFERROR(__xludf.DUMMYFUNCTION("""COMPUTED_VALUE"""),"Cuba")</f>
        <v>Cuba</v>
      </c>
      <c r="M238" s="45"/>
      <c r="N238" s="7" t="str">
        <f>IFERROR(__xludf.DUMMYFUNCTION("""COMPUTED_VALUE"""),"OPTIMIST TIMONELES")</f>
        <v>OPTIMIST TIMONELES</v>
      </c>
      <c r="O238" s="7"/>
      <c r="P238" s="7">
        <f>IFERROR(__xludf.DUMMYFUNCTION("""COMPUTED_VALUE"""),3757.0)</f>
        <v>3757</v>
      </c>
      <c r="Q238" s="45"/>
      <c r="R238" s="45"/>
      <c r="S238" s="45"/>
      <c r="T238" s="45"/>
      <c r="U238" s="45"/>
      <c r="V238" s="45"/>
      <c r="W238" s="45"/>
      <c r="X238" s="47" t="str">
        <f>IFERROR(__xludf.DUMMYFUNCTION("""COMPUTED_VALUE"""),"Osde")</f>
        <v>Osde</v>
      </c>
      <c r="Y238" s="7" t="str">
        <f>IFERROR(__xludf.DUMMYFUNCTION("""COMPUTED_VALUE"""),"No")</f>
        <v>No</v>
      </c>
      <c r="Z238" s="45" t="str">
        <f>IFERROR(__xludf.DUMMYFUNCTION("""COMPUTED_VALUE"""),"Acepto")</f>
        <v>Acepto</v>
      </c>
      <c r="AA238" s="45" t="str">
        <f>IFERROR(__xludf.DUMMYFUNCTION("""COMPUTED_VALUE"""),"Terminado")</f>
        <v>Terminado</v>
      </c>
      <c r="AB238" s="45">
        <f>IFERROR(__xludf.DUMMYFUNCTION("""COMPUTED_VALUE"""),50000.0)</f>
        <v>50000</v>
      </c>
      <c r="AC238" s="7">
        <f>IFERROR(__xludf.DUMMYFUNCTION("""COMPUTED_VALUE"""),205422.0)</f>
        <v>205422</v>
      </c>
      <c r="AD238" s="7" t="str">
        <f>IFERROR(__xludf.DUMMYFUNCTION("""COMPUTED_VALUE"""),"TRF 03-09")</f>
        <v>TRF 03-09</v>
      </c>
      <c r="AE238" s="7" t="str">
        <f>IFERROR(__xludf.DUMMYFUNCTION("""COMPUTED_VALUE"""),"OK")</f>
        <v>OK</v>
      </c>
      <c r="AF238" s="7"/>
    </row>
    <row r="239">
      <c r="A239" s="42">
        <f>IFERROR(__xludf.DUMMYFUNCTION("""COMPUTED_VALUE"""),45540.60892486111)</f>
        <v>45540.60892</v>
      </c>
      <c r="B239" s="43" t="str">
        <f>IFERROR(__xludf.DUMMYFUNCTION("""COMPUTED_VALUE"""),"Juani")</f>
        <v>Juani</v>
      </c>
      <c r="C239" s="43" t="str">
        <f>IFERROR(__xludf.DUMMYFUNCTION("""COMPUTED_VALUE"""),"Pereyra")</f>
        <v>Pereyra</v>
      </c>
      <c r="D239" s="43" t="str">
        <f>IFERROR(__xludf.DUMMYFUNCTION("""COMPUTED_VALUE"""),"Buenos Aires ")</f>
        <v>Buenos Aires </v>
      </c>
      <c r="E239" s="45" t="str">
        <f>IFERROR(__xludf.DUMMYFUNCTION("""COMPUTED_VALUE"""),"ARG")</f>
        <v>ARG</v>
      </c>
      <c r="F239" s="45">
        <f>IFERROR(__xludf.DUMMYFUNCTION("""COMPUTED_VALUE"""),2.6282576E7)</f>
        <v>26282576</v>
      </c>
      <c r="G239" s="44">
        <f>IFERROR(__xludf.DUMMYFUNCTION("""COMPUTED_VALUE"""),-665383.0)</f>
        <v>-665383</v>
      </c>
      <c r="H239" s="45">
        <f>IFERROR(__xludf.DUMMYFUNCTION("""COMPUTED_VALUE"""),9.1138983581E10)</f>
        <v>91138983581</v>
      </c>
      <c r="I239" s="45">
        <f>IFERROR(__xludf.DUMMYFUNCTION("""COMPUTED_VALUE"""),9.1138983581E10)</f>
        <v>91138983581</v>
      </c>
      <c r="J239" s="45" t="str">
        <f>IFERROR(__xludf.DUMMYFUNCTION("""COMPUTED_VALUE"""),"juanipereyra0078@gmail.com")</f>
        <v>juanipereyra0078@gmail.com</v>
      </c>
      <c r="K239" s="45" t="str">
        <f>IFERROR(__xludf.DUMMYFUNCTION("""COMPUTED_VALUE"""),"Masculino")</f>
        <v>Masculino</v>
      </c>
      <c r="L239" s="45" t="str">
        <f>IFERROR(__xludf.DUMMYFUNCTION("""COMPUTED_VALUE"""),"CNO")</f>
        <v>CNO</v>
      </c>
      <c r="M239" s="45"/>
      <c r="N239" s="7" t="str">
        <f>IFERROR(__xludf.DUMMYFUNCTION("""COMPUTED_VALUE"""),"J 70")</f>
        <v>J 70</v>
      </c>
      <c r="O239" s="7">
        <f>IFERROR(__xludf.DUMMYFUNCTION("""COMPUTED_VALUE"""),39.0)</f>
        <v>39</v>
      </c>
      <c r="P239" s="7">
        <f>IFERROR(__xludf.DUMMYFUNCTION("""COMPUTED_VALUE"""),1441.0)</f>
        <v>1441</v>
      </c>
      <c r="Q239" s="45" t="str">
        <f>IFERROR(__xludf.DUMMYFUNCTION("""COMPUTED_VALUE"""),"Homero")</f>
        <v>Homero</v>
      </c>
      <c r="R239" s="45" t="str">
        <f>IFERROR(__xludf.DUMMYFUNCTION("""COMPUTED_VALUE"""),"Pepe bettini")</f>
        <v>Pepe bettini</v>
      </c>
      <c r="S239" s="45" t="str">
        <f>IFERROR(__xludf.DUMMYFUNCTION("""COMPUTED_VALUE"""),"Fede calabrese")</f>
        <v>Fede calabrese</v>
      </c>
      <c r="T239" s="45"/>
      <c r="U239" s="45"/>
      <c r="V239" s="45"/>
      <c r="W239" s="45"/>
      <c r="X239" s="47"/>
      <c r="Y239" s="7" t="str">
        <f>IFERROR(__xludf.DUMMYFUNCTION("""COMPUTED_VALUE"""),"No")</f>
        <v>No</v>
      </c>
      <c r="Z239" s="45" t="str">
        <f>IFERROR(__xludf.DUMMYFUNCTION("""COMPUTED_VALUE"""),"Acepto")</f>
        <v>Acepto</v>
      </c>
      <c r="AA239" s="45" t="str">
        <f>IFERROR(__xludf.DUMMYFUNCTION("""COMPUTED_VALUE"""),"Terminado")</f>
        <v>Terminado</v>
      </c>
      <c r="AB239" s="45">
        <f>IFERROR(__xludf.DUMMYFUNCTION("""COMPUTED_VALUE"""),80000.0)</f>
        <v>80000</v>
      </c>
      <c r="AC239" s="7">
        <f>IFERROR(__xludf.DUMMYFUNCTION("""COMPUTED_VALUE"""),205502.0)</f>
        <v>205502</v>
      </c>
      <c r="AD239" s="7" t="str">
        <f>IFERROR(__xludf.DUMMYFUNCTION("""COMPUTED_VALUE"""),"TRF 05-09")</f>
        <v>TRF 05-09</v>
      </c>
      <c r="AE239" s="7" t="str">
        <f>IFERROR(__xludf.DUMMYFUNCTION("""COMPUTED_VALUE"""),"No Corresp")</f>
        <v>No Corresp</v>
      </c>
      <c r="AF239" s="7"/>
    </row>
    <row r="240">
      <c r="A240" s="42">
        <f>IFERROR(__xludf.DUMMYFUNCTION("""COMPUTED_VALUE"""),45535.73855837963)</f>
        <v>45535.73856</v>
      </c>
      <c r="B240" s="43" t="str">
        <f>IFERROR(__xludf.DUMMYFUNCTION("""COMPUTED_VALUE"""),"Felix ")</f>
        <v>Felix </v>
      </c>
      <c r="C240" s="43" t="str">
        <f>IFERROR(__xludf.DUMMYFUNCTION("""COMPUTED_VALUE"""),"Pereyra Iraola ")</f>
        <v>Pereyra Iraola </v>
      </c>
      <c r="D240" s="43" t="str">
        <f>IFERROR(__xludf.DUMMYFUNCTION("""COMPUTED_VALUE"""),"CABA ")</f>
        <v>CABA </v>
      </c>
      <c r="E240" s="45" t="str">
        <f>IFERROR(__xludf.DUMMYFUNCTION("""COMPUTED_VALUE"""),"ARG")</f>
        <v>ARG</v>
      </c>
      <c r="F240" s="45">
        <f>IFERROR(__xludf.DUMMYFUNCTION("""COMPUTED_VALUE"""),4.8462484E7)</f>
        <v>48462484</v>
      </c>
      <c r="G240" s="44">
        <f>IFERROR(__xludf.DUMMYFUNCTION("""COMPUTED_VALUE"""),39489.0)</f>
        <v>39489</v>
      </c>
      <c r="H240" s="45">
        <f>IFERROR(__xludf.DUMMYFUNCTION("""COMPUTED_VALUE"""),1.167438705E9)</f>
        <v>1167438705</v>
      </c>
      <c r="I240" s="45">
        <f>IFERROR(__xludf.DUMMYFUNCTION("""COMPUTED_VALUE"""),1.153244102E9)</f>
        <v>1153244102</v>
      </c>
      <c r="J240" s="45" t="str">
        <f>IFERROR(__xludf.DUMMYFUNCTION("""COMPUTED_VALUE"""),"pereyrairaolafelixd@gmail.com")</f>
        <v>pereyrairaolafelixd@gmail.com</v>
      </c>
      <c r="K240" s="45" t="str">
        <f>IFERROR(__xludf.DUMMYFUNCTION("""COMPUTED_VALUE"""),"Masculino")</f>
        <v>Masculino</v>
      </c>
      <c r="L240" s="45" t="str">
        <f>IFERROR(__xludf.DUMMYFUNCTION("""COMPUTED_VALUE"""),"YCA")</f>
        <v>YCA</v>
      </c>
      <c r="M240" s="45"/>
      <c r="N240" s="7" t="str">
        <f>IFERROR(__xludf.DUMMYFUNCTION("""COMPUTED_VALUE"""),"ILCA 4")</f>
        <v>ILCA 4</v>
      </c>
      <c r="O240" s="7"/>
      <c r="P240" s="7">
        <f>IFERROR(__xludf.DUMMYFUNCTION("""COMPUTED_VALUE"""),224775.0)</f>
        <v>224775</v>
      </c>
      <c r="Q240" s="45"/>
      <c r="R240" s="45"/>
      <c r="S240" s="45"/>
      <c r="T240" s="45"/>
      <c r="U240" s="45"/>
      <c r="V240" s="45"/>
      <c r="W240" s="45"/>
      <c r="X240" s="47" t="str">
        <f>IFERROR(__xludf.DUMMYFUNCTION("""COMPUTED_VALUE"""),"OSDE")</f>
        <v>OSDE</v>
      </c>
      <c r="Y240" s="7" t="str">
        <f>IFERROR(__xludf.DUMMYFUNCTION("""COMPUTED_VALUE"""),"No")</f>
        <v>No</v>
      </c>
      <c r="Z240" s="45" t="str">
        <f>IFERROR(__xludf.DUMMYFUNCTION("""COMPUTED_VALUE"""),"Acepto")</f>
        <v>Acepto</v>
      </c>
      <c r="AA240" s="45" t="str">
        <f>IFERROR(__xludf.DUMMYFUNCTION("""COMPUTED_VALUE"""),"Terminado")</f>
        <v>Terminado</v>
      </c>
      <c r="AB240" s="45">
        <f>IFERROR(__xludf.DUMMYFUNCTION("""COMPUTED_VALUE"""),45000.0)</f>
        <v>45000</v>
      </c>
      <c r="AC240" s="7">
        <f>IFERROR(__xludf.DUMMYFUNCTION("""COMPUTED_VALUE"""),205350.0)</f>
        <v>205350</v>
      </c>
      <c r="AD240" s="7" t="str">
        <f>IFERROR(__xludf.DUMMYFUNCTION("""COMPUTED_VALUE"""),"TRF 31-08")</f>
        <v>TRF 31-08</v>
      </c>
      <c r="AE240" s="7" t="str">
        <f>IFERROR(__xludf.DUMMYFUNCTION("""COMPUTED_VALUE"""),"OK")</f>
        <v>OK</v>
      </c>
      <c r="AF240" s="7"/>
    </row>
    <row r="241">
      <c r="A241" s="42">
        <f>IFERROR(__xludf.DUMMYFUNCTION("""COMPUTED_VALUE"""),45535.550941249996)</f>
        <v>45535.55094</v>
      </c>
      <c r="B241" s="43" t="str">
        <f>IFERROR(__xludf.DUMMYFUNCTION("""COMPUTED_VALUE"""),"Juan Cruz")</f>
        <v>Juan Cruz</v>
      </c>
      <c r="C241" s="43" t="str">
        <f>IFERROR(__xludf.DUMMYFUNCTION("""COMPUTED_VALUE"""),"Perrotta")</f>
        <v>Perrotta</v>
      </c>
      <c r="D241" s="43" t="str">
        <f>IFERROR(__xludf.DUMMYFUNCTION("""COMPUTED_VALUE"""),"Buenos Aires")</f>
        <v>Buenos Aires</v>
      </c>
      <c r="E241" s="45" t="str">
        <f>IFERROR(__xludf.DUMMYFUNCTION("""COMPUTED_VALUE"""),"ARG")</f>
        <v>ARG</v>
      </c>
      <c r="F241" s="45">
        <f>IFERROR(__xludf.DUMMYFUNCTION("""COMPUTED_VALUE"""),5.0801005E7)</f>
        <v>50801005</v>
      </c>
      <c r="G241" s="44">
        <f>IFERROR(__xludf.DUMMYFUNCTION("""COMPUTED_VALUE"""),40518.0)</f>
        <v>40518</v>
      </c>
      <c r="H241" s="45">
        <f>IFERROR(__xludf.DUMMYFUNCTION("""COMPUTED_VALUE"""),1.16501903E9)</f>
        <v>1165019030</v>
      </c>
      <c r="I241" s="45">
        <f>IFERROR(__xludf.DUMMYFUNCTION("""COMPUTED_VALUE"""),1.16501903E9)</f>
        <v>1165019030</v>
      </c>
      <c r="J241" s="45" t="str">
        <f>IFERROR(__xludf.DUMMYFUNCTION("""COMPUTED_VALUE"""),"Paulacutini@gmail.comp")</f>
        <v>Paulacutini@gmail.comp</v>
      </c>
      <c r="K241" s="45" t="str">
        <f>IFERROR(__xludf.DUMMYFUNCTION("""COMPUTED_VALUE"""),"Masculino")</f>
        <v>Masculino</v>
      </c>
      <c r="L241" s="45" t="str">
        <f>IFERROR(__xludf.DUMMYFUNCTION("""COMPUTED_VALUE"""),"CNAS")</f>
        <v>CNAS</v>
      </c>
      <c r="M241" s="45"/>
      <c r="N241" s="7" t="str">
        <f>IFERROR(__xludf.DUMMYFUNCTION("""COMPUTED_VALUE"""),"OPTIMIST TIMONELES")</f>
        <v>OPTIMIST TIMONELES</v>
      </c>
      <c r="O241" s="7"/>
      <c r="P241" s="7">
        <f>IFERROR(__xludf.DUMMYFUNCTION("""COMPUTED_VALUE"""),3619.0)</f>
        <v>3619</v>
      </c>
      <c r="Q241" s="45"/>
      <c r="R241" s="45"/>
      <c r="S241" s="45"/>
      <c r="T241" s="45"/>
      <c r="U241" s="45"/>
      <c r="V241" s="45"/>
      <c r="W241" s="45"/>
      <c r="X241" s="47">
        <f>IFERROR(__xludf.DUMMYFUNCTION("""COMPUTED_VALUE"""),6.0688819404E10)</f>
        <v>60688819404</v>
      </c>
      <c r="Y241" s="7" t="str">
        <f>IFERROR(__xludf.DUMMYFUNCTION("""COMPUTED_VALUE"""),"Si")</f>
        <v>Si</v>
      </c>
      <c r="Z241" s="45" t="str">
        <f>IFERROR(__xludf.DUMMYFUNCTION("""COMPUTED_VALUE"""),"Acepto")</f>
        <v>Acepto</v>
      </c>
      <c r="AA241" s="45" t="str">
        <f>IFERROR(__xludf.DUMMYFUNCTION("""COMPUTED_VALUE"""),"Terminado")</f>
        <v>Terminado</v>
      </c>
      <c r="AB241" s="45">
        <f>IFERROR(__xludf.DUMMYFUNCTION("""COMPUTED_VALUE"""),60000.0)</f>
        <v>60000</v>
      </c>
      <c r="AC241" s="7">
        <f>IFERROR(__xludf.DUMMYFUNCTION("""COMPUTED_VALUE"""),205155.0)</f>
        <v>205155</v>
      </c>
      <c r="AD241" s="7" t="str">
        <f>IFERROR(__xludf.DUMMYFUNCTION("""COMPUTED_VALUE"""),"TRF 31-08")</f>
        <v>TRF 31-08</v>
      </c>
      <c r="AE241" s="7" t="str">
        <f>IFERROR(__xludf.DUMMYFUNCTION("""COMPUTED_VALUE"""),"OK")</f>
        <v>OK</v>
      </c>
      <c r="AF241" s="7"/>
    </row>
    <row r="242">
      <c r="A242" s="42">
        <f>IFERROR(__xludf.DUMMYFUNCTION("""COMPUTED_VALUE"""),45534.72881792824)</f>
        <v>45534.72882</v>
      </c>
      <c r="B242" s="43" t="str">
        <f>IFERROR(__xludf.DUMMYFUNCTION("""COMPUTED_VALUE"""),"Luciano")</f>
        <v>Luciano</v>
      </c>
      <c r="C242" s="43" t="str">
        <f>IFERROR(__xludf.DUMMYFUNCTION("""COMPUTED_VALUE"""),"Pesci")</f>
        <v>Pesci</v>
      </c>
      <c r="D242" s="43" t="str">
        <f>IFERROR(__xludf.DUMMYFUNCTION("""COMPUTED_VALUE"""),"Cordoba")</f>
        <v>Cordoba</v>
      </c>
      <c r="E242" s="45" t="str">
        <f>IFERROR(__xludf.DUMMYFUNCTION("""COMPUTED_VALUE"""),"ARG")</f>
        <v>ARG</v>
      </c>
      <c r="F242" s="45">
        <f>IFERROR(__xludf.DUMMYFUNCTION("""COMPUTED_VALUE"""),3.6234715E7)</f>
        <v>36234715</v>
      </c>
      <c r="G242" s="44">
        <f>IFERROR(__xludf.DUMMYFUNCTION("""COMPUTED_VALUE"""),33694.0)</f>
        <v>33694</v>
      </c>
      <c r="H242" s="45">
        <f>IFERROR(__xludf.DUMMYFUNCTION("""COMPUTED_VALUE"""),3.541621149E9)</f>
        <v>3541621149</v>
      </c>
      <c r="I242" s="45">
        <f>IFERROR(__xludf.DUMMYFUNCTION("""COMPUTED_VALUE"""),1.140431213E9)</f>
        <v>1140431213</v>
      </c>
      <c r="J242" s="45" t="str">
        <f>IFERROR(__xludf.DUMMYFUNCTION("""COMPUTED_VALUE"""),"Pesci.luciano@gmail.com")</f>
        <v>Pesci.luciano@gmail.com</v>
      </c>
      <c r="K242" s="45" t="str">
        <f>IFERROR(__xludf.DUMMYFUNCTION("""COMPUTED_VALUE"""),"Masculino")</f>
        <v>Masculino</v>
      </c>
      <c r="L242" s="45" t="str">
        <f>IFERROR(__xludf.DUMMYFUNCTION("""COMPUTED_VALUE"""),"Cnc")</f>
        <v>Cnc</v>
      </c>
      <c r="M242" s="45" t="str">
        <f>IFERROR(__xludf.DUMMYFUNCTION("""COMPUTED_VALUE"""),"Mixto")</f>
        <v>Mixto</v>
      </c>
      <c r="N242" s="7" t="str">
        <f>IFERROR(__xludf.DUMMYFUNCTION("""COMPUTED_VALUE"""),"SNIPE")</f>
        <v>SNIPE</v>
      </c>
      <c r="O242" s="7"/>
      <c r="P242" s="7">
        <f>IFERROR(__xludf.DUMMYFUNCTION("""COMPUTED_VALUE"""),30599.0)</f>
        <v>30599</v>
      </c>
      <c r="Q242" s="45"/>
      <c r="R242" s="45" t="str">
        <f>IFERROR(__xludf.DUMMYFUNCTION("""COMPUTED_VALUE"""),"Florencia Galimberti")</f>
        <v>Florencia Galimberti</v>
      </c>
      <c r="S242" s="45"/>
      <c r="T242" s="45"/>
      <c r="U242" s="45"/>
      <c r="V242" s="45"/>
      <c r="W242" s="45"/>
      <c r="X242" s="47" t="str">
        <f>IFERROR(__xludf.DUMMYFUNCTION("""COMPUTED_VALUE"""),"Omint")</f>
        <v>Omint</v>
      </c>
      <c r="Y242" s="7" t="str">
        <f>IFERROR(__xludf.DUMMYFUNCTION("""COMPUTED_VALUE"""),"Si")</f>
        <v>Si</v>
      </c>
      <c r="Z242" s="45" t="str">
        <f>IFERROR(__xludf.DUMMYFUNCTION("""COMPUTED_VALUE"""),"Acepto")</f>
        <v>Acepto</v>
      </c>
      <c r="AA242" s="45" t="str">
        <f>IFERROR(__xludf.DUMMYFUNCTION("""COMPUTED_VALUE"""),"Terminado")</f>
        <v>Terminado</v>
      </c>
      <c r="AB242" s="45">
        <f>IFERROR(__xludf.DUMMYFUNCTION("""COMPUTED_VALUE"""),51000.0)</f>
        <v>51000</v>
      </c>
      <c r="AC242" s="7">
        <f>IFERROR(__xludf.DUMMYFUNCTION("""COMPUTED_VALUE"""),205364.0)</f>
        <v>205364</v>
      </c>
      <c r="AD242" s="7" t="str">
        <f>IFERROR(__xludf.DUMMYFUNCTION("""COMPUTED_VALUE"""),"TRF 31-08")</f>
        <v>TRF 31-08</v>
      </c>
      <c r="AE242" s="7" t="str">
        <f>IFERROR(__xludf.DUMMYFUNCTION("""COMPUTED_VALUE"""),"No Corresp")</f>
        <v>No Corresp</v>
      </c>
      <c r="AF242" s="7"/>
    </row>
    <row r="243">
      <c r="A243" s="42">
        <f>IFERROR(__xludf.DUMMYFUNCTION("""COMPUTED_VALUE"""),45519.72620657407)</f>
        <v>45519.72621</v>
      </c>
      <c r="B243" s="43" t="str">
        <f>IFERROR(__xludf.DUMMYFUNCTION("""COMPUTED_VALUE"""),"Leon ")</f>
        <v>Leon </v>
      </c>
      <c r="C243" s="43" t="str">
        <f>IFERROR(__xludf.DUMMYFUNCTION("""COMPUTED_VALUE"""),"Pfortner")</f>
        <v>Pfortner</v>
      </c>
      <c r="D243" s="43" t="str">
        <f>IFERROR(__xludf.DUMMYFUNCTION("""COMPUTED_VALUE"""),"Buenos Aires ")</f>
        <v>Buenos Aires </v>
      </c>
      <c r="E243" s="45" t="str">
        <f>IFERROR(__xludf.DUMMYFUNCTION("""COMPUTED_VALUE"""),"ARG")</f>
        <v>ARG</v>
      </c>
      <c r="F243" s="45">
        <f>IFERROR(__xludf.DUMMYFUNCTION("""COMPUTED_VALUE"""),4.9193553E7)</f>
        <v>49193553</v>
      </c>
      <c r="G243" s="44">
        <f>IFERROR(__xludf.DUMMYFUNCTION("""COMPUTED_VALUE"""),39818.0)</f>
        <v>39818</v>
      </c>
      <c r="H243" s="45" t="str">
        <f>IFERROR(__xludf.DUMMYFUNCTION("""COMPUTED_VALUE"""),"‪+54 9 11 2466‑8132‬")</f>
        <v>‪+54 9 11 2466‑8132‬</v>
      </c>
      <c r="I243" s="45">
        <f>IFERROR(__xludf.DUMMYFUNCTION("""COMPUTED_VALUE"""),1.554731779E9)</f>
        <v>1554731779</v>
      </c>
      <c r="J243" s="45" t="str">
        <f>IFERROR(__xludf.DUMMYFUNCTION("""COMPUTED_VALUE"""),"leonpfortner@gmail.com")</f>
        <v>leonpfortner@gmail.com</v>
      </c>
      <c r="K243" s="45" t="str">
        <f>IFERROR(__xludf.DUMMYFUNCTION("""COMPUTED_VALUE"""),"Masculino")</f>
        <v>Masculino</v>
      </c>
      <c r="L243" s="45" t="str">
        <f>IFERROR(__xludf.DUMMYFUNCTION("""COMPUTED_VALUE"""),"SKB")</f>
        <v>SKB</v>
      </c>
      <c r="M243" s="45" t="str">
        <f>IFERROR(__xludf.DUMMYFUNCTION("""COMPUTED_VALUE"""),"Interior (Optimist), Master (ILCA)")</f>
        <v>Interior (Optimist), Master (ILCA)</v>
      </c>
      <c r="N243" s="7" t="str">
        <f>IFERROR(__xludf.DUMMYFUNCTION("""COMPUTED_VALUE"""),"WING FOIL")</f>
        <v>WING FOIL</v>
      </c>
      <c r="O243" s="7"/>
      <c r="P243" s="7" t="str">
        <f>IFERROR(__xludf.DUMMYFUNCTION("""COMPUTED_VALUE"""),"5.5 , 5.0 , 6.0 ")</f>
        <v>5.5 , 5.0 , 6.0 </v>
      </c>
      <c r="Q243" s="45"/>
      <c r="R243" s="45" t="str">
        <f>IFERROR(__xludf.DUMMYFUNCTION("""COMPUTED_VALUE"""),"León pfortner")</f>
        <v>León pfortner</v>
      </c>
      <c r="S243" s="45"/>
      <c r="T243" s="45"/>
      <c r="U243" s="45"/>
      <c r="V243" s="45"/>
      <c r="W243" s="45"/>
      <c r="X243" s="47" t="str">
        <f>IFERROR(__xludf.DUMMYFUNCTION("""COMPUTED_VALUE"""),"Osde ")</f>
        <v>Osde </v>
      </c>
      <c r="Y243" s="7" t="str">
        <f>IFERROR(__xludf.DUMMYFUNCTION("""COMPUTED_VALUE"""),"No")</f>
        <v>No</v>
      </c>
      <c r="Z243" s="45" t="str">
        <f>IFERROR(__xludf.DUMMYFUNCTION("""COMPUTED_VALUE"""),"Acepto")</f>
        <v>Acepto</v>
      </c>
      <c r="AA243" s="45" t="str">
        <f>IFERROR(__xludf.DUMMYFUNCTION("""COMPUTED_VALUE"""),"Pendiente")</f>
        <v>Pendiente</v>
      </c>
      <c r="AB243" s="45"/>
      <c r="AC243" s="7"/>
      <c r="AD243" s="7"/>
      <c r="AE243" s="7" t="str">
        <f>IFERROR(__xludf.DUMMYFUNCTION("""COMPUTED_VALUE"""),"Pendiente")</f>
        <v>Pendiente</v>
      </c>
      <c r="AF243" s="7"/>
    </row>
    <row r="244">
      <c r="A244" s="42">
        <f>IFERROR(__xludf.DUMMYFUNCTION("""COMPUTED_VALUE"""),45535.51053509259)</f>
        <v>45535.51054</v>
      </c>
      <c r="B244" s="43" t="str">
        <f>IFERROR(__xludf.DUMMYFUNCTION("""COMPUTED_VALUE"""),"Donato")</f>
        <v>Donato</v>
      </c>
      <c r="C244" s="43" t="str">
        <f>IFERROR(__xludf.DUMMYFUNCTION("""COMPUTED_VALUE"""),"Pichetti")</f>
        <v>Pichetti</v>
      </c>
      <c r="D244" s="43" t="str">
        <f>IFERROR(__xludf.DUMMYFUNCTION("""COMPUTED_VALUE"""),"Junin")</f>
        <v>Junin</v>
      </c>
      <c r="E244" s="45" t="str">
        <f>IFERROR(__xludf.DUMMYFUNCTION("""COMPUTED_VALUE"""),"ARG")</f>
        <v>ARG</v>
      </c>
      <c r="F244" s="45">
        <f>IFERROR(__xludf.DUMMYFUNCTION("""COMPUTED_VALUE"""),5.3218075E7)</f>
        <v>53218075</v>
      </c>
      <c r="G244" s="44">
        <f>IFERROR(__xludf.DUMMYFUNCTION("""COMPUTED_VALUE"""),41495.0)</f>
        <v>41495</v>
      </c>
      <c r="H244" s="45">
        <f>IFERROR(__xludf.DUMMYFUNCTION("""COMPUTED_VALUE"""),2.36469228E9)</f>
        <v>2364692280</v>
      </c>
      <c r="I244" s="45">
        <f>IFERROR(__xludf.DUMMYFUNCTION("""COMPUTED_VALUE"""),2.474677979E9)</f>
        <v>2474677979</v>
      </c>
      <c r="J244" s="45" t="str">
        <f>IFERROR(__xludf.DUMMYFUNCTION("""COMPUTED_VALUE"""),"ana.inesc@hotmail.com")</f>
        <v>ana.inesc@hotmail.com</v>
      </c>
      <c r="K244" s="45" t="str">
        <f>IFERROR(__xludf.DUMMYFUNCTION("""COMPUTED_VALUE"""),"Masculino")</f>
        <v>Masculino</v>
      </c>
      <c r="L244" s="45" t="str">
        <f>IFERROR(__xludf.DUMMYFUNCTION("""COMPUTED_VALUE"""),"CNSP")</f>
        <v>CNSP</v>
      </c>
      <c r="M244" s="45" t="str">
        <f>IFERROR(__xludf.DUMMYFUNCTION("""COMPUTED_VALUE"""),"Interior (Optimist)")</f>
        <v>Interior (Optimist)</v>
      </c>
      <c r="N244" s="7" t="str">
        <f>IFERROR(__xludf.DUMMYFUNCTION("""COMPUTED_VALUE"""),"OPTIMIST TIMONELES")</f>
        <v>OPTIMIST TIMONELES</v>
      </c>
      <c r="O244" s="7"/>
      <c r="P244" s="7">
        <f>IFERROR(__xludf.DUMMYFUNCTION("""COMPUTED_VALUE"""),4042.0)</f>
        <v>4042</v>
      </c>
      <c r="Q244" s="45"/>
      <c r="R244" s="45"/>
      <c r="S244" s="45"/>
      <c r="T244" s="45"/>
      <c r="U244" s="45"/>
      <c r="V244" s="45"/>
      <c r="W244" s="45"/>
      <c r="X244" s="47" t="str">
        <f>IFERROR(__xludf.DUMMYFUNCTION("""COMPUTED_VALUE"""),"OSDE ")</f>
        <v>OSDE </v>
      </c>
      <c r="Y244" s="7" t="str">
        <f>IFERROR(__xludf.DUMMYFUNCTION("""COMPUTED_VALUE"""),"Si")</f>
        <v>Si</v>
      </c>
      <c r="Z244" s="45" t="str">
        <f>IFERROR(__xludf.DUMMYFUNCTION("""COMPUTED_VALUE"""),"Acepto")</f>
        <v>Acepto</v>
      </c>
      <c r="AA244" s="45" t="str">
        <f>IFERROR(__xludf.DUMMYFUNCTION("""COMPUTED_VALUE"""),"Terminado")</f>
        <v>Terminado</v>
      </c>
      <c r="AB244" s="45">
        <f>IFERROR(__xludf.DUMMYFUNCTION("""COMPUTED_VALUE"""),42500.0)</f>
        <v>42500</v>
      </c>
      <c r="AC244" s="7">
        <f>IFERROR(__xludf.DUMMYFUNCTION("""COMPUTED_VALUE"""),205382.0)</f>
        <v>205382</v>
      </c>
      <c r="AD244" s="7" t="str">
        <f>IFERROR(__xludf.DUMMYFUNCTION("""COMPUTED_VALUE"""),"TRF 02-09")</f>
        <v>TRF 02-09</v>
      </c>
      <c r="AE244" s="7" t="str">
        <f>IFERROR(__xludf.DUMMYFUNCTION("""COMPUTED_VALUE"""),"OK")</f>
        <v>OK</v>
      </c>
      <c r="AF244" s="7"/>
    </row>
    <row r="245">
      <c r="A245" s="42">
        <f>IFERROR(__xludf.DUMMYFUNCTION("""COMPUTED_VALUE"""),45535.58038476852)</f>
        <v>45535.58038</v>
      </c>
      <c r="B245" s="43" t="str">
        <f>IFERROR(__xludf.DUMMYFUNCTION("""COMPUTED_VALUE"""),"Gino")</f>
        <v>Gino</v>
      </c>
      <c r="C245" s="43" t="str">
        <f>IFERROR(__xludf.DUMMYFUNCTION("""COMPUTED_VALUE"""),"Pichetti")</f>
        <v>Pichetti</v>
      </c>
      <c r="D245" s="43" t="str">
        <f>IFERROR(__xludf.DUMMYFUNCTION("""COMPUTED_VALUE"""),"Junín ")</f>
        <v>Junín </v>
      </c>
      <c r="E245" s="45" t="str">
        <f>IFERROR(__xludf.DUMMYFUNCTION("""COMPUTED_VALUE"""),"ARG")</f>
        <v>ARG</v>
      </c>
      <c r="F245" s="45">
        <f>IFERROR(__xludf.DUMMYFUNCTION("""COMPUTED_VALUE"""),5.0668849E7)</f>
        <v>50668849</v>
      </c>
      <c r="G245" s="44">
        <f>IFERROR(__xludf.DUMMYFUNCTION("""COMPUTED_VALUE"""),40546.0)</f>
        <v>40546</v>
      </c>
      <c r="H245" s="45">
        <f>IFERROR(__xludf.DUMMYFUNCTION("""COMPUTED_VALUE"""),2.36469228E9)</f>
        <v>2364692280</v>
      </c>
      <c r="I245" s="45">
        <f>IFERROR(__xludf.DUMMYFUNCTION("""COMPUTED_VALUE"""),2.474677979E9)</f>
        <v>2474677979</v>
      </c>
      <c r="J245" s="45" t="str">
        <f>IFERROR(__xludf.DUMMYFUNCTION("""COMPUTED_VALUE"""),"ana.inesc@hotmail.com ")</f>
        <v>ana.inesc@hotmail.com </v>
      </c>
      <c r="K245" s="45" t="str">
        <f>IFERROR(__xludf.DUMMYFUNCTION("""COMPUTED_VALUE"""),"Masculino")</f>
        <v>Masculino</v>
      </c>
      <c r="L245" s="45" t="str">
        <f>IFERROR(__xludf.DUMMYFUNCTION("""COMPUTED_VALUE"""),"CNSP")</f>
        <v>CNSP</v>
      </c>
      <c r="M245" s="45" t="str">
        <f>IFERROR(__xludf.DUMMYFUNCTION("""COMPUTED_VALUE"""),"Interior (Optimist)")</f>
        <v>Interior (Optimist)</v>
      </c>
      <c r="N245" s="7" t="str">
        <f>IFERROR(__xludf.DUMMYFUNCTION("""COMPUTED_VALUE"""),"OPTIMIST TIMONELES")</f>
        <v>OPTIMIST TIMONELES</v>
      </c>
      <c r="O245" s="7"/>
      <c r="P245" s="7">
        <f>IFERROR(__xludf.DUMMYFUNCTION("""COMPUTED_VALUE"""),4052.0)</f>
        <v>4052</v>
      </c>
      <c r="Q245" s="45"/>
      <c r="R245" s="45"/>
      <c r="S245" s="45"/>
      <c r="T245" s="45"/>
      <c r="U245" s="45"/>
      <c r="V245" s="45"/>
      <c r="W245" s="45"/>
      <c r="X245" s="47" t="str">
        <f>IFERROR(__xludf.DUMMYFUNCTION("""COMPUTED_VALUE"""),"OSDE")</f>
        <v>OSDE</v>
      </c>
      <c r="Y245" s="7" t="str">
        <f>IFERROR(__xludf.DUMMYFUNCTION("""COMPUTED_VALUE"""),"Si")</f>
        <v>Si</v>
      </c>
      <c r="Z245" s="45" t="str">
        <f>IFERROR(__xludf.DUMMYFUNCTION("""COMPUTED_VALUE"""),"Acepto")</f>
        <v>Acepto</v>
      </c>
      <c r="AA245" s="45" t="str">
        <f>IFERROR(__xludf.DUMMYFUNCTION("""COMPUTED_VALUE"""),"Terminado")</f>
        <v>Terminado</v>
      </c>
      <c r="AB245" s="45">
        <f>IFERROR(__xludf.DUMMYFUNCTION("""COMPUTED_VALUE"""),42500.0)</f>
        <v>42500</v>
      </c>
      <c r="AC245" s="7">
        <f>IFERROR(__xludf.DUMMYFUNCTION("""COMPUTED_VALUE"""),205381.0)</f>
        <v>205381</v>
      </c>
      <c r="AD245" s="7" t="str">
        <f>IFERROR(__xludf.DUMMYFUNCTION("""COMPUTED_VALUE"""),"TRF 02-09")</f>
        <v>TRF 02-09</v>
      </c>
      <c r="AE245" s="7" t="str">
        <f>IFERROR(__xludf.DUMMYFUNCTION("""COMPUTED_VALUE"""),"OK")</f>
        <v>OK</v>
      </c>
      <c r="AF245" s="7"/>
    </row>
    <row r="246">
      <c r="A246" s="42">
        <f>IFERROR(__xludf.DUMMYFUNCTION("""COMPUTED_VALUE"""),45534.78619775463)</f>
        <v>45534.7862</v>
      </c>
      <c r="B246" s="43" t="str">
        <f>IFERROR(__xludf.DUMMYFUNCTION("""COMPUTED_VALUE"""),"Dante")</f>
        <v>Dante</v>
      </c>
      <c r="C246" s="43" t="str">
        <f>IFERROR(__xludf.DUMMYFUNCTION("""COMPUTED_VALUE"""),"Pierson")</f>
        <v>Pierson</v>
      </c>
      <c r="D246" s="43" t="str">
        <f>IFERROR(__xludf.DUMMYFUNCTION("""COMPUTED_VALUE"""),"Rosario")</f>
        <v>Rosario</v>
      </c>
      <c r="E246" s="45" t="str">
        <f>IFERROR(__xludf.DUMMYFUNCTION("""COMPUTED_VALUE"""),"ARG")</f>
        <v>ARG</v>
      </c>
      <c r="F246" s="45">
        <f>IFERROR(__xludf.DUMMYFUNCTION("""COMPUTED_VALUE"""),5.0241942E7)</f>
        <v>50241942</v>
      </c>
      <c r="G246" s="44">
        <f>IFERROR(__xludf.DUMMYFUNCTION("""COMPUTED_VALUE"""),40273.0)</f>
        <v>40273</v>
      </c>
      <c r="H246" s="45">
        <f>IFERROR(__xludf.DUMMYFUNCTION("""COMPUTED_VALUE"""),3.416987798E9)</f>
        <v>3416987798</v>
      </c>
      <c r="I246" s="45">
        <f>IFERROR(__xludf.DUMMYFUNCTION("""COMPUTED_VALUE"""),3.416987797E9)</f>
        <v>3416987797</v>
      </c>
      <c r="J246" s="45" t="str">
        <f>IFERROR(__xludf.DUMMYFUNCTION("""COMPUTED_VALUE"""),"valeritacerra@gmail.com")</f>
        <v>valeritacerra@gmail.com</v>
      </c>
      <c r="K246" s="45" t="str">
        <f>IFERROR(__xludf.DUMMYFUNCTION("""COMPUTED_VALUE"""),"Masculino")</f>
        <v>Masculino</v>
      </c>
      <c r="L246" s="45" t="str">
        <f>IFERROR(__xludf.DUMMYFUNCTION("""COMPUTED_VALUE"""),"CRR")</f>
        <v>CRR</v>
      </c>
      <c r="M246" s="45" t="str">
        <f>IFERROR(__xludf.DUMMYFUNCTION("""COMPUTED_VALUE"""),"Interior (Optimist)")</f>
        <v>Interior (Optimist)</v>
      </c>
      <c r="N246" s="7" t="str">
        <f>IFERROR(__xludf.DUMMYFUNCTION("""COMPUTED_VALUE"""),"OPTIMIST TIMONELES")</f>
        <v>OPTIMIST TIMONELES</v>
      </c>
      <c r="O246" s="7"/>
      <c r="P246" s="7">
        <f>IFERROR(__xludf.DUMMYFUNCTION("""COMPUTED_VALUE"""),3999.0)</f>
        <v>3999</v>
      </c>
      <c r="Q246" s="45"/>
      <c r="R246" s="45"/>
      <c r="S246" s="45"/>
      <c r="T246" s="45"/>
      <c r="U246" s="45"/>
      <c r="V246" s="45"/>
      <c r="W246" s="45"/>
      <c r="X246" s="47" t="str">
        <f>IFERROR(__xludf.DUMMYFUNCTION("""COMPUTED_VALUE"""),"OSUNR 0026538900C")</f>
        <v>OSUNR 0026538900C</v>
      </c>
      <c r="Y246" s="7" t="str">
        <f>IFERROR(__xludf.DUMMYFUNCTION("""COMPUTED_VALUE"""),"No")</f>
        <v>No</v>
      </c>
      <c r="Z246" s="45" t="str">
        <f>IFERROR(__xludf.DUMMYFUNCTION("""COMPUTED_VALUE"""),"Acepto")</f>
        <v>Acepto</v>
      </c>
      <c r="AA246" s="45" t="str">
        <f>IFERROR(__xludf.DUMMYFUNCTION("""COMPUTED_VALUE"""),"Terminado")</f>
        <v>Terminado</v>
      </c>
      <c r="AB246" s="45">
        <f>IFERROR(__xludf.DUMMYFUNCTION("""COMPUTED_VALUE"""),42500.0)</f>
        <v>42500</v>
      </c>
      <c r="AC246" s="7">
        <f>IFERROR(__xludf.DUMMYFUNCTION("""COMPUTED_VALUE"""),205132.0)</f>
        <v>205132</v>
      </c>
      <c r="AD246" s="7" t="str">
        <f>IFERROR(__xludf.DUMMYFUNCTION("""COMPUTED_VALUE"""),"TRF 30-08")</f>
        <v>TRF 30-08</v>
      </c>
      <c r="AE246" s="7" t="str">
        <f>IFERROR(__xludf.DUMMYFUNCTION("""COMPUTED_VALUE"""),"OK")</f>
        <v>OK</v>
      </c>
      <c r="AF246" s="7"/>
    </row>
    <row r="247">
      <c r="A247" s="42">
        <f>IFERROR(__xludf.DUMMYFUNCTION("""COMPUTED_VALUE"""),45534.50337871528)</f>
        <v>45534.50338</v>
      </c>
      <c r="B247" s="43" t="str">
        <f>IFERROR(__xludf.DUMMYFUNCTION("""COMPUTED_VALUE"""),"Lucio ")</f>
        <v>Lucio </v>
      </c>
      <c r="C247" s="43" t="str">
        <f>IFERROR(__xludf.DUMMYFUNCTION("""COMPUTED_VALUE"""),"Pierson")</f>
        <v>Pierson</v>
      </c>
      <c r="D247" s="43" t="str">
        <f>IFERROR(__xludf.DUMMYFUNCTION("""COMPUTED_VALUE"""),"La Plata ")</f>
        <v>La Plata </v>
      </c>
      <c r="E247" s="45" t="str">
        <f>IFERROR(__xludf.DUMMYFUNCTION("""COMPUTED_VALUE"""),"ARG")</f>
        <v>ARG</v>
      </c>
      <c r="F247" s="45">
        <f>IFERROR(__xludf.DUMMYFUNCTION("""COMPUTED_VALUE"""),4.9932072E7)</f>
        <v>49932072</v>
      </c>
      <c r="G247" s="44">
        <f>IFERROR(__xludf.DUMMYFUNCTION("""COMPUTED_VALUE"""),40129.0)</f>
        <v>40129</v>
      </c>
      <c r="H247" s="45" t="str">
        <f>IFERROR(__xludf.DUMMYFUNCTION("""COMPUTED_VALUE"""),"221 542 6584")</f>
        <v>221 542 6584</v>
      </c>
      <c r="I247" s="45" t="str">
        <f>IFERROR(__xludf.DUMMYFUNCTION("""COMPUTED_VALUE"""),"221 640 2039")</f>
        <v>221 640 2039</v>
      </c>
      <c r="J247" s="45" t="str">
        <f>IFERROR(__xludf.DUMMYFUNCTION("""COMPUTED_VALUE"""),"luciopinedo09@gmail.com")</f>
        <v>luciopinedo09@gmail.com</v>
      </c>
      <c r="K247" s="45" t="str">
        <f>IFERROR(__xludf.DUMMYFUNCTION("""COMPUTED_VALUE"""),"Masculino")</f>
        <v>Masculino</v>
      </c>
      <c r="L247" s="45" t="str">
        <f>IFERROR(__xludf.DUMMYFUNCTION("""COMPUTED_VALUE"""),"CRLP")</f>
        <v>CRLP</v>
      </c>
      <c r="M247" s="45"/>
      <c r="N247" s="7" t="str">
        <f>IFERROR(__xludf.DUMMYFUNCTION("""COMPUTED_VALUE"""),"OPTIMIST TIMONELES")</f>
        <v>OPTIMIST TIMONELES</v>
      </c>
      <c r="O247" s="7"/>
      <c r="P247" s="7">
        <f>IFERROR(__xludf.DUMMYFUNCTION("""COMPUTED_VALUE"""),3581.0)</f>
        <v>3581</v>
      </c>
      <c r="Q247" s="45"/>
      <c r="R247" s="45"/>
      <c r="S247" s="45"/>
      <c r="T247" s="45"/>
      <c r="U247" s="45"/>
      <c r="V247" s="45"/>
      <c r="W247" s="45"/>
      <c r="X247" s="47" t="str">
        <f>IFERROR(__xludf.DUMMYFUNCTION("""COMPUTED_VALUE"""),"IOMA/ K248929169/03")</f>
        <v>IOMA/ K248929169/03</v>
      </c>
      <c r="Y247" s="7" t="str">
        <f>IFERROR(__xludf.DUMMYFUNCTION("""COMPUTED_VALUE"""),"Si")</f>
        <v>Si</v>
      </c>
      <c r="Z247" s="45" t="str">
        <f>IFERROR(__xludf.DUMMYFUNCTION("""COMPUTED_VALUE"""),"Acepto")</f>
        <v>Acepto</v>
      </c>
      <c r="AA247" s="45" t="str">
        <f>IFERROR(__xludf.DUMMYFUNCTION("""COMPUTED_VALUE"""),"Terminado")</f>
        <v>Terminado</v>
      </c>
      <c r="AB247" s="45">
        <f>IFERROR(__xludf.DUMMYFUNCTION("""COMPUTED_VALUE"""),50000.0)</f>
        <v>50000</v>
      </c>
      <c r="AC247" s="7">
        <f>IFERROR(__xludf.DUMMYFUNCTION("""COMPUTED_VALUE"""),205104.0)</f>
        <v>205104</v>
      </c>
      <c r="AD247" s="7" t="str">
        <f>IFERROR(__xludf.DUMMYFUNCTION("""COMPUTED_VALUE"""),"TRF 30-08")</f>
        <v>TRF 30-08</v>
      </c>
      <c r="AE247" s="7" t="str">
        <f>IFERROR(__xludf.DUMMYFUNCTION("""COMPUTED_VALUE"""),"Pendiente")</f>
        <v>Pendiente</v>
      </c>
      <c r="AF247" s="7"/>
    </row>
    <row r="248">
      <c r="A248" s="42">
        <f>IFERROR(__xludf.DUMMYFUNCTION("""COMPUTED_VALUE"""),45534.39952320602)</f>
        <v>45534.39952</v>
      </c>
      <c r="B248" s="43" t="str">
        <f>IFERROR(__xludf.DUMMYFUNCTION("""COMPUTED_VALUE"""),"Lautaro")</f>
        <v>Lautaro</v>
      </c>
      <c r="C248" s="43" t="str">
        <f>IFERROR(__xludf.DUMMYFUNCTION("""COMPUTED_VALUE"""),"Pinedo Chiappa")</f>
        <v>Pinedo Chiappa</v>
      </c>
      <c r="D248" s="43" t="str">
        <f>IFERROR(__xludf.DUMMYFUNCTION("""COMPUTED_VALUE"""),"La Plata")</f>
        <v>La Plata</v>
      </c>
      <c r="E248" s="45" t="str">
        <f>IFERROR(__xludf.DUMMYFUNCTION("""COMPUTED_VALUE"""),"ARG")</f>
        <v>ARG</v>
      </c>
      <c r="F248" s="45">
        <f>IFERROR(__xludf.DUMMYFUNCTION("""COMPUTED_VALUE"""),5.1261261E7)</f>
        <v>51261261</v>
      </c>
      <c r="G248" s="44">
        <f>IFERROR(__xludf.DUMMYFUNCTION("""COMPUTED_VALUE"""),38961.0)</f>
        <v>38961</v>
      </c>
      <c r="H248" s="45" t="str">
        <f>IFERROR(__xludf.DUMMYFUNCTION("""COMPUTED_VALUE"""),"221 4196396")</f>
        <v>221 4196396</v>
      </c>
      <c r="I248" s="45" t="str">
        <f>IFERROR(__xludf.DUMMYFUNCTION("""COMPUTED_VALUE"""),"221 4196396")</f>
        <v>221 4196396</v>
      </c>
      <c r="J248" s="45" t="str">
        <f>IFERROR(__xludf.DUMMYFUNCTION("""COMPUTED_VALUE"""),"agustinpinedo@gmail.com")</f>
        <v>agustinpinedo@gmail.com</v>
      </c>
      <c r="K248" s="45" t="str">
        <f>IFERROR(__xludf.DUMMYFUNCTION("""COMPUTED_VALUE"""),"Masculino")</f>
        <v>Masculino</v>
      </c>
      <c r="L248" s="45" t="str">
        <f>IFERROR(__xludf.DUMMYFUNCTION("""COMPUTED_VALUE"""),"CRLP")</f>
        <v>CRLP</v>
      </c>
      <c r="M248" s="45" t="str">
        <f>IFERROR(__xludf.DUMMYFUNCTION("""COMPUTED_VALUE"""),"Optimist Timoneles")</f>
        <v>Optimist Timoneles</v>
      </c>
      <c r="N248" s="7" t="str">
        <f>IFERROR(__xludf.DUMMYFUNCTION("""COMPUTED_VALUE"""),"OPTIMIST TIMONELES")</f>
        <v>OPTIMIST TIMONELES</v>
      </c>
      <c r="O248" s="7"/>
      <c r="P248" s="7">
        <f>IFERROR(__xludf.DUMMYFUNCTION("""COMPUTED_VALUE"""),3070.0)</f>
        <v>3070</v>
      </c>
      <c r="Q248" s="45"/>
      <c r="R248" s="45"/>
      <c r="S248" s="45"/>
      <c r="T248" s="45"/>
      <c r="U248" s="45"/>
      <c r="V248" s="45"/>
      <c r="W248" s="45"/>
      <c r="X248" s="47" t="str">
        <f>IFERROR(__xludf.DUMMYFUNCTION("""COMPUTED_VALUE"""),"IOMA 2228512572703")</f>
        <v>IOMA 2228512572703</v>
      </c>
      <c r="Y248" s="7" t="str">
        <f>IFERROR(__xludf.DUMMYFUNCTION("""COMPUTED_VALUE"""),"Si")</f>
        <v>Si</v>
      </c>
      <c r="Z248" s="45" t="str">
        <f>IFERROR(__xludf.DUMMYFUNCTION("""COMPUTED_VALUE"""),"Acepto")</f>
        <v>Acepto</v>
      </c>
      <c r="AA248" s="45" t="str">
        <f>IFERROR(__xludf.DUMMYFUNCTION("""COMPUTED_VALUE"""),"Terminado")</f>
        <v>Terminado</v>
      </c>
      <c r="AB248" s="45">
        <f>IFERROR(__xludf.DUMMYFUNCTION("""COMPUTED_VALUE"""),50000.0)</f>
        <v>50000</v>
      </c>
      <c r="AC248" s="7">
        <f>IFERROR(__xludf.DUMMYFUNCTION("""COMPUTED_VALUE"""),205087.0)</f>
        <v>205087</v>
      </c>
      <c r="AD248" s="7" t="str">
        <f>IFERROR(__xludf.DUMMYFUNCTION("""COMPUTED_VALUE"""),"TRF 30-08")</f>
        <v>TRF 30-08</v>
      </c>
      <c r="AE248" s="7" t="str">
        <f>IFERROR(__xludf.DUMMYFUNCTION("""COMPUTED_VALUE"""),"OK")</f>
        <v>OK</v>
      </c>
      <c r="AF248" s="7"/>
    </row>
    <row r="249">
      <c r="A249" s="42">
        <f>IFERROR(__xludf.DUMMYFUNCTION("""COMPUTED_VALUE"""),45534.410175625)</f>
        <v>45534.41018</v>
      </c>
      <c r="B249" s="43" t="str">
        <f>IFERROR(__xludf.DUMMYFUNCTION("""COMPUTED_VALUE"""),"Facundo")</f>
        <v>Facundo</v>
      </c>
      <c r="C249" s="43" t="str">
        <f>IFERROR(__xludf.DUMMYFUNCTION("""COMPUTED_VALUE"""),"Pinedo Chiappa")</f>
        <v>Pinedo Chiappa</v>
      </c>
      <c r="D249" s="43" t="str">
        <f>IFERROR(__xludf.DUMMYFUNCTION("""COMPUTED_VALUE"""),"La Plata")</f>
        <v>La Plata</v>
      </c>
      <c r="E249" s="45" t="str">
        <f>IFERROR(__xludf.DUMMYFUNCTION("""COMPUTED_VALUE"""),"ARG")</f>
        <v>ARG</v>
      </c>
      <c r="F249" s="45">
        <f>IFERROR(__xludf.DUMMYFUNCTION("""COMPUTED_VALUE"""),5.1717346E7)</f>
        <v>51717346</v>
      </c>
      <c r="G249" s="44">
        <f>IFERROR(__xludf.DUMMYFUNCTION("""COMPUTED_VALUE"""),38919.0)</f>
        <v>38919</v>
      </c>
      <c r="H249" s="45" t="str">
        <f>IFERROR(__xludf.DUMMYFUNCTION("""COMPUTED_VALUE"""),"221 4196396")</f>
        <v>221 4196396</v>
      </c>
      <c r="I249" s="45" t="str">
        <f>IFERROR(__xludf.DUMMYFUNCTION("""COMPUTED_VALUE"""),"221 4196396")</f>
        <v>221 4196396</v>
      </c>
      <c r="J249" s="45" t="str">
        <f>IFERROR(__xludf.DUMMYFUNCTION("""COMPUTED_VALUE"""),"agustinpinedo@gmail.com")</f>
        <v>agustinpinedo@gmail.com</v>
      </c>
      <c r="K249" s="45" t="str">
        <f>IFERROR(__xludf.DUMMYFUNCTION("""COMPUTED_VALUE"""),"Masculino")</f>
        <v>Masculino</v>
      </c>
      <c r="L249" s="45" t="str">
        <f>IFERROR(__xludf.DUMMYFUNCTION("""COMPUTED_VALUE"""),"CRLP")</f>
        <v>CRLP</v>
      </c>
      <c r="M249" s="45"/>
      <c r="N249" s="7" t="str">
        <f>IFERROR(__xludf.DUMMYFUNCTION("""COMPUTED_VALUE"""),"ILCA 6")</f>
        <v>ILCA 6</v>
      </c>
      <c r="O249" s="7"/>
      <c r="P249" s="7">
        <f>IFERROR(__xludf.DUMMYFUNCTION("""COMPUTED_VALUE"""),21.0)</f>
        <v>21</v>
      </c>
      <c r="Q249" s="45"/>
      <c r="R249" s="45"/>
      <c r="S249" s="45"/>
      <c r="T249" s="45"/>
      <c r="U249" s="45"/>
      <c r="V249" s="45"/>
      <c r="W249" s="45"/>
      <c r="X249" s="47"/>
      <c r="Y249" s="7" t="str">
        <f>IFERROR(__xludf.DUMMYFUNCTION("""COMPUTED_VALUE"""),"No")</f>
        <v>No</v>
      </c>
      <c r="Z249" s="45" t="str">
        <f>IFERROR(__xludf.DUMMYFUNCTION("""COMPUTED_VALUE"""),"Acepto")</f>
        <v>Acepto</v>
      </c>
      <c r="AA249" s="45" t="str">
        <f>IFERROR(__xludf.DUMMYFUNCTION("""COMPUTED_VALUE"""),"Terminado")</f>
        <v>Terminado</v>
      </c>
      <c r="AB249" s="45">
        <f>IFERROR(__xludf.DUMMYFUNCTION("""COMPUTED_VALUE"""),50000.0)</f>
        <v>50000</v>
      </c>
      <c r="AC249" s="7">
        <f>IFERROR(__xludf.DUMMYFUNCTION("""COMPUTED_VALUE"""),205089.0)</f>
        <v>205089</v>
      </c>
      <c r="AD249" s="7" t="str">
        <f>IFERROR(__xludf.DUMMYFUNCTION("""COMPUTED_VALUE"""),"TRF 30-08")</f>
        <v>TRF 30-08</v>
      </c>
      <c r="AE249" s="7" t="str">
        <f>IFERROR(__xludf.DUMMYFUNCTION("""COMPUTED_VALUE"""),"OK")</f>
        <v>OK</v>
      </c>
      <c r="AF249" s="7" t="str">
        <f>IFERROR(__xludf.DUMMYFUNCTION("""COMPUTED_VALUE"""),"Debe saldo")</f>
        <v>Debe saldo</v>
      </c>
    </row>
    <row r="250">
      <c r="A250" s="42">
        <f>IFERROR(__xludf.DUMMYFUNCTION("""COMPUTED_VALUE"""),45536.4677509375)</f>
        <v>45536.46775</v>
      </c>
      <c r="B250" s="43" t="str">
        <f>IFERROR(__xludf.DUMMYFUNCTION("""COMPUTED_VALUE"""),"Matilde")</f>
        <v>Matilde</v>
      </c>
      <c r="C250" s="43" t="str">
        <f>IFERROR(__xludf.DUMMYFUNCTION("""COMPUTED_VALUE"""),"Pini Bellaubi ")</f>
        <v>Pini Bellaubi </v>
      </c>
      <c r="D250" s="43" t="str">
        <f>IFERROR(__xludf.DUMMYFUNCTION("""COMPUTED_VALUE"""),"La plata ")</f>
        <v>La plata </v>
      </c>
      <c r="E250" s="45" t="str">
        <f>IFERROR(__xludf.DUMMYFUNCTION("""COMPUTED_VALUE"""),"ARG")</f>
        <v>ARG</v>
      </c>
      <c r="F250" s="45">
        <f>IFERROR(__xludf.DUMMYFUNCTION("""COMPUTED_VALUE"""),5.2618403E7)</f>
        <v>52618403</v>
      </c>
      <c r="G250" s="44">
        <f>IFERROR(__xludf.DUMMYFUNCTION("""COMPUTED_VALUE"""),41136.0)</f>
        <v>41136</v>
      </c>
      <c r="H250" s="45">
        <f>IFERROR(__xludf.DUMMYFUNCTION("""COMPUTED_VALUE"""),2.215229881E9)</f>
        <v>2215229881</v>
      </c>
      <c r="I250" s="45">
        <f>IFERROR(__xludf.DUMMYFUNCTION("""COMPUTED_VALUE"""),2.214777851E9)</f>
        <v>2214777851</v>
      </c>
      <c r="J250" s="45" t="str">
        <f>IFERROR(__xludf.DUMMYFUNCTION("""COMPUTED_VALUE"""),"mansilla_laura@hotmail.com")</f>
        <v>mansilla_laura@hotmail.com</v>
      </c>
      <c r="K250" s="45" t="str">
        <f>IFERROR(__xludf.DUMMYFUNCTION("""COMPUTED_VALUE"""),"Femenino")</f>
        <v>Femenino</v>
      </c>
      <c r="L250" s="45" t="str">
        <f>IFERROR(__xludf.DUMMYFUNCTION("""COMPUTED_VALUE"""),"CRLP")</f>
        <v>CRLP</v>
      </c>
      <c r="M250" s="45" t="str">
        <f>IFERROR(__xludf.DUMMYFUNCTION("""COMPUTED_VALUE"""),"Interior (Optimist)")</f>
        <v>Interior (Optimist)</v>
      </c>
      <c r="N250" s="7" t="str">
        <f>IFERROR(__xludf.DUMMYFUNCTION("""COMPUTED_VALUE"""),"OPTIMIST PRINCIPIANTES")</f>
        <v>OPTIMIST PRINCIPIANTES</v>
      </c>
      <c r="O250" s="7"/>
      <c r="P250" s="7">
        <f>IFERROR(__xludf.DUMMYFUNCTION("""COMPUTED_VALUE"""),3754.0)</f>
        <v>3754</v>
      </c>
      <c r="Q250" s="45"/>
      <c r="R250" s="45"/>
      <c r="S250" s="45"/>
      <c r="T250" s="45"/>
      <c r="U250" s="45"/>
      <c r="V250" s="45"/>
      <c r="W250" s="45"/>
      <c r="X250" s="47" t="str">
        <f>IFERROR(__xludf.DUMMYFUNCTION("""COMPUTED_VALUE"""),"IOMA")</f>
        <v>IOMA</v>
      </c>
      <c r="Y250" s="7" t="str">
        <f>IFERROR(__xludf.DUMMYFUNCTION("""COMPUTED_VALUE"""),"Si")</f>
        <v>Si</v>
      </c>
      <c r="Z250" s="45" t="str">
        <f>IFERROR(__xludf.DUMMYFUNCTION("""COMPUTED_VALUE"""),"Acepto")</f>
        <v>Acepto</v>
      </c>
      <c r="AA250" s="45" t="str">
        <f>IFERROR(__xludf.DUMMYFUNCTION("""COMPUTED_VALUE"""),"Terminado")</f>
        <v>Terminado</v>
      </c>
      <c r="AB250" s="45">
        <f>IFERROR(__xludf.DUMMYFUNCTION("""COMPUTED_VALUE"""),60000.0)</f>
        <v>60000</v>
      </c>
      <c r="AC250" s="7">
        <f>IFERROR(__xludf.DUMMYFUNCTION("""COMPUTED_VALUE"""),205384.0)</f>
        <v>205384</v>
      </c>
      <c r="AD250" s="7" t="str">
        <f>IFERROR(__xludf.DUMMYFUNCTION("""COMPUTED_VALUE"""),"TRF 02-09")</f>
        <v>TRF 02-09</v>
      </c>
      <c r="AE250" s="7" t="str">
        <f>IFERROR(__xludf.DUMMYFUNCTION("""COMPUTED_VALUE"""),"OK")</f>
        <v>OK</v>
      </c>
      <c r="AF250" s="7"/>
    </row>
    <row r="251">
      <c r="A251" s="42">
        <f>IFERROR(__xludf.DUMMYFUNCTION("""COMPUTED_VALUE"""),45534.45669899306)</f>
        <v>45534.4567</v>
      </c>
      <c r="B251" s="43" t="str">
        <f>IFERROR(__xludf.DUMMYFUNCTION("""COMPUTED_VALUE"""),"Nicolas ")</f>
        <v>Nicolas </v>
      </c>
      <c r="C251" s="43" t="str">
        <f>IFERROR(__xludf.DUMMYFUNCTION("""COMPUTED_VALUE"""),"Pinosa Percossi")</f>
        <v>Pinosa Percossi</v>
      </c>
      <c r="D251" s="43" t="str">
        <f>IFERROR(__xludf.DUMMYFUNCTION("""COMPUTED_VALUE"""),"bs as ")</f>
        <v>bs as </v>
      </c>
      <c r="E251" s="45" t="str">
        <f>IFERROR(__xludf.DUMMYFUNCTION("""COMPUTED_VALUE"""),"ARG")</f>
        <v>ARG</v>
      </c>
      <c r="F251" s="45">
        <f>IFERROR(__xludf.DUMMYFUNCTION("""COMPUTED_VALUE"""),5.2768323E7)</f>
        <v>52768323</v>
      </c>
      <c r="G251" s="44">
        <f>IFERROR(__xludf.DUMMYFUNCTION("""COMPUTED_VALUE"""),41198.0)</f>
        <v>41198</v>
      </c>
      <c r="H251" s="45" t="str">
        <f>IFERROR(__xludf.DUMMYFUNCTION("""COMPUTED_VALUE"""),"54 9 11 5410 7295")</f>
        <v>54 9 11 5410 7295</v>
      </c>
      <c r="I251" s="45" t="str">
        <f>IFERROR(__xludf.DUMMYFUNCTION("""COMPUTED_VALUE"""),"54 9 11 4417 5793")</f>
        <v>54 9 11 4417 5793</v>
      </c>
      <c r="J251" s="45" t="str">
        <f>IFERROR(__xludf.DUMMYFUNCTION("""COMPUTED_VALUE"""),"dpinosa@hotmail.com")</f>
        <v>dpinosa@hotmail.com</v>
      </c>
      <c r="K251" s="45" t="str">
        <f>IFERROR(__xludf.DUMMYFUNCTION("""COMPUTED_VALUE"""),"Masculino")</f>
        <v>Masculino</v>
      </c>
      <c r="L251" s="45" t="str">
        <f>IFERROR(__xludf.DUMMYFUNCTION("""COMPUTED_VALUE"""),"club nautico olivos ( c.n.o )")</f>
        <v>club nautico olivos ( c.n.o )</v>
      </c>
      <c r="M251" s="45" t="str">
        <f>IFERROR(__xludf.DUMMYFUNCTION("""COMPUTED_VALUE"""),"Interior (Optimist)")</f>
        <v>Interior (Optimist)</v>
      </c>
      <c r="N251" s="7" t="str">
        <f>IFERROR(__xludf.DUMMYFUNCTION("""COMPUTED_VALUE"""),"OPTIMIST PRINCIPIANTES")</f>
        <v>OPTIMIST PRINCIPIANTES</v>
      </c>
      <c r="O251" s="7"/>
      <c r="P251" s="7">
        <f>IFERROR(__xludf.DUMMYFUNCTION("""COMPUTED_VALUE"""),4170.0)</f>
        <v>4170</v>
      </c>
      <c r="Q251" s="45" t="str">
        <f>IFERROR(__xludf.DUMMYFUNCTION("""COMPUTED_VALUE"""),"fofoca junior")</f>
        <v>fofoca junior</v>
      </c>
      <c r="R251" s="45" t="str">
        <f>IFERROR(__xludf.DUMMYFUNCTION("""COMPUTED_VALUE"""),"Nicolas Pinosa Percossi")</f>
        <v>Nicolas Pinosa Percossi</v>
      </c>
      <c r="S251" s="45"/>
      <c r="T251" s="45"/>
      <c r="U251" s="45"/>
      <c r="V251" s="45"/>
      <c r="W251" s="45"/>
      <c r="X251" s="47" t="str">
        <f>IFERROR(__xludf.DUMMYFUNCTION("""COMPUTED_VALUE"""),"osde 410")</f>
        <v>osde 410</v>
      </c>
      <c r="Y251" s="7" t="str">
        <f>IFERROR(__xludf.DUMMYFUNCTION("""COMPUTED_VALUE"""),"No")</f>
        <v>No</v>
      </c>
      <c r="Z251" s="45" t="str">
        <f>IFERROR(__xludf.DUMMYFUNCTION("""COMPUTED_VALUE"""),"Acepto")</f>
        <v>Acepto</v>
      </c>
      <c r="AA251" s="45" t="str">
        <f>IFERROR(__xludf.DUMMYFUNCTION("""COMPUTED_VALUE"""),"Terminado")</f>
        <v>Terminado</v>
      </c>
      <c r="AB251" s="45">
        <f>IFERROR(__xludf.DUMMYFUNCTION("""COMPUTED_VALUE"""),50000.0)</f>
        <v>50000</v>
      </c>
      <c r="AC251" s="7">
        <f>IFERROR(__xludf.DUMMYFUNCTION("""COMPUTED_VALUE"""),205389.0)</f>
        <v>205389</v>
      </c>
      <c r="AD251" s="7" t="str">
        <f>IFERROR(__xludf.DUMMYFUNCTION("""COMPUTED_VALUE"""),"TRF 30-08")</f>
        <v>TRF 30-08</v>
      </c>
      <c r="AE251" s="7" t="str">
        <f>IFERROR(__xludf.DUMMYFUNCTION("""COMPUTED_VALUE"""),"OK")</f>
        <v>OK</v>
      </c>
      <c r="AF251" s="7" t="str">
        <f>IFERROR(__xludf.DUMMYFUNCTION("""COMPUTED_VALUE"""),"SI")</f>
        <v>SI</v>
      </c>
    </row>
    <row r="252">
      <c r="A252" s="42">
        <f>IFERROR(__xludf.DUMMYFUNCTION("""COMPUTED_VALUE"""),45535.648309421296)</f>
        <v>45535.64831</v>
      </c>
      <c r="B252" s="43" t="str">
        <f>IFERROR(__xludf.DUMMYFUNCTION("""COMPUTED_VALUE"""),"Pedro Paulo")</f>
        <v>Pedro Paulo</v>
      </c>
      <c r="C252" s="43" t="str">
        <f>IFERROR(__xludf.DUMMYFUNCTION("""COMPUTED_VALUE"""),"Pinto")</f>
        <v>Pinto</v>
      </c>
      <c r="D252" s="43" t="str">
        <f>IFERROR(__xludf.DUMMYFUNCTION("""COMPUTED_VALUE"""),"Buenos Aires")</f>
        <v>Buenos Aires</v>
      </c>
      <c r="E252" s="45" t="str">
        <f>IFERROR(__xludf.DUMMYFUNCTION("""COMPUTED_VALUE"""),"ARG")</f>
        <v>ARG</v>
      </c>
      <c r="F252" s="45">
        <f>IFERROR(__xludf.DUMMYFUNCTION("""COMPUTED_VALUE"""),5.1705498E7)</f>
        <v>51705498</v>
      </c>
      <c r="G252" s="44">
        <f>IFERROR(__xludf.DUMMYFUNCTION("""COMPUTED_VALUE"""),36770.0)</f>
        <v>36770</v>
      </c>
      <c r="H252" s="45">
        <f>IFERROR(__xludf.DUMMYFUNCTION("""COMPUTED_VALUE"""),1.168550109E9)</f>
        <v>1168550109</v>
      </c>
      <c r="I252" s="45">
        <f>IFERROR(__xludf.DUMMYFUNCTION("""COMPUTED_VALUE"""),1.163044368E9)</f>
        <v>1163044368</v>
      </c>
      <c r="J252" s="45" t="str">
        <f>IFERROR(__xludf.DUMMYFUNCTION("""COMPUTED_VALUE"""),"pinto0pedro1paulo9@gmail.com")</f>
        <v>pinto0pedro1paulo9@gmail.com</v>
      </c>
      <c r="K252" s="45" t="str">
        <f>IFERROR(__xludf.DUMMYFUNCTION("""COMPUTED_VALUE"""),"Masculino")</f>
        <v>Masculino</v>
      </c>
      <c r="L252" s="45" t="str">
        <f>IFERROR(__xludf.DUMMYFUNCTION("""COMPUTED_VALUE"""),"CNSI-Cvsi")</f>
        <v>CNSI-Cvsi</v>
      </c>
      <c r="M252" s="45" t="str">
        <f>IFERROR(__xludf.DUMMYFUNCTION("""COMPUTED_VALUE"""),"Senior")</f>
        <v>Senior</v>
      </c>
      <c r="N252" s="7" t="str">
        <f>IFERROR(__xludf.DUMMYFUNCTION("""COMPUTED_VALUE"""),"ILCA 7")</f>
        <v>ILCA 7</v>
      </c>
      <c r="O252" s="7" t="str">
        <f>IFERROR(__xludf.DUMMYFUNCTION("""COMPUTED_VALUE"""),"-")</f>
        <v>-</v>
      </c>
      <c r="P252" s="7">
        <f>IFERROR(__xludf.DUMMYFUNCTION("""COMPUTED_VALUE"""),202572.0)</f>
        <v>202572</v>
      </c>
      <c r="Q252" s="45" t="str">
        <f>IFERROR(__xludf.DUMMYFUNCTION("""COMPUTED_VALUE"""),"-")</f>
        <v>-</v>
      </c>
      <c r="R252" s="45"/>
      <c r="S252" s="45"/>
      <c r="T252" s="45"/>
      <c r="U252" s="45"/>
      <c r="V252" s="45"/>
      <c r="W252" s="45"/>
      <c r="X252" s="47" t="str">
        <f>IFERROR(__xludf.DUMMYFUNCTION("""COMPUTED_VALUE"""),"Colegio Escribanos Provincia de Buenos Aires")</f>
        <v>Colegio Escribanos Provincia de Buenos Aires</v>
      </c>
      <c r="Y252" s="7" t="str">
        <f>IFERROR(__xludf.DUMMYFUNCTION("""COMPUTED_VALUE"""),"Si")</f>
        <v>Si</v>
      </c>
      <c r="Z252" s="45" t="str">
        <f>IFERROR(__xludf.DUMMYFUNCTION("""COMPUTED_VALUE"""),"Acepto")</f>
        <v>Acepto</v>
      </c>
      <c r="AA252" s="45" t="str">
        <f>IFERROR(__xludf.DUMMYFUNCTION("""COMPUTED_VALUE"""),"Terminado")</f>
        <v>Terminado</v>
      </c>
      <c r="AB252" s="45">
        <f>IFERROR(__xludf.DUMMYFUNCTION("""COMPUTED_VALUE"""),45000.0)</f>
        <v>45000</v>
      </c>
      <c r="AC252" s="7">
        <f>IFERROR(__xludf.DUMMYFUNCTION("""COMPUTED_VALUE"""),205654.0)</f>
        <v>205654</v>
      </c>
      <c r="AD252" s="7" t="str">
        <f>IFERROR(__xludf.DUMMYFUNCTION("""COMPUTED_VALUE"""),"TRF 10-09")</f>
        <v>TRF 10-09</v>
      </c>
      <c r="AE252" s="7" t="str">
        <f>IFERROR(__xludf.DUMMYFUNCTION("""COMPUTED_VALUE"""),"No Corresp")</f>
        <v>No Corresp</v>
      </c>
      <c r="AF252" s="7" t="str">
        <f>IFERROR(__xludf.DUMMYFUNCTION("""COMPUTED_VALUE"""),"SI")</f>
        <v>SI</v>
      </c>
    </row>
    <row r="253">
      <c r="A253" s="42">
        <f>IFERROR(__xludf.DUMMYFUNCTION("""COMPUTED_VALUE"""),45535.65005939815)</f>
        <v>45535.65006</v>
      </c>
      <c r="B253" s="43" t="str">
        <f>IFERROR(__xludf.DUMMYFUNCTION("""COMPUTED_VALUE"""),"Maggie")</f>
        <v>Maggie</v>
      </c>
      <c r="C253" s="43" t="str">
        <f>IFERROR(__xludf.DUMMYFUNCTION("""COMPUTED_VALUE"""),"Pinto")</f>
        <v>Pinto</v>
      </c>
      <c r="D253" s="43" t="str">
        <f>IFERROR(__xludf.DUMMYFUNCTION("""COMPUTED_VALUE"""),"Buenos Aires")</f>
        <v>Buenos Aires</v>
      </c>
      <c r="E253" s="45" t="str">
        <f>IFERROR(__xludf.DUMMYFUNCTION("""COMPUTED_VALUE"""),"ARG")</f>
        <v>ARG</v>
      </c>
      <c r="F253" s="45">
        <f>IFERROR(__xludf.DUMMYFUNCTION("""COMPUTED_VALUE"""),4.8578167E7)</f>
        <v>48578167</v>
      </c>
      <c r="G253" s="44">
        <f>IFERROR(__xludf.DUMMYFUNCTION("""COMPUTED_VALUE"""),39517.0)</f>
        <v>39517</v>
      </c>
      <c r="H253" s="45">
        <f>IFERROR(__xludf.DUMMYFUNCTION("""COMPUTED_VALUE"""),1.16850109E8)</f>
        <v>116850109</v>
      </c>
      <c r="I253" s="45">
        <f>IFERROR(__xludf.DUMMYFUNCTION("""COMPUTED_VALUE"""),1.163044368E9)</f>
        <v>1163044368</v>
      </c>
      <c r="J253" s="45" t="str">
        <f>IFERROR(__xludf.DUMMYFUNCTION("""COMPUTED_VALUE"""),"pinto0pedro1paulo9@gmail.com")</f>
        <v>pinto0pedro1paulo9@gmail.com</v>
      </c>
      <c r="K253" s="45" t="str">
        <f>IFERROR(__xludf.DUMMYFUNCTION("""COMPUTED_VALUE"""),"Femenino")</f>
        <v>Femenino</v>
      </c>
      <c r="L253" s="45" t="str">
        <f>IFERROR(__xludf.DUMMYFUNCTION("""COMPUTED_VALUE"""),"CNSI-Cvsi")</f>
        <v>CNSI-Cvsi</v>
      </c>
      <c r="M253" s="45" t="str">
        <f>IFERROR(__xludf.DUMMYFUNCTION("""COMPUTED_VALUE"""),"Femenino, U19")</f>
        <v>Femenino, U19</v>
      </c>
      <c r="N253" s="7" t="str">
        <f>IFERROR(__xludf.DUMMYFUNCTION("""COMPUTED_VALUE"""),"ILCA 6")</f>
        <v>ILCA 6</v>
      </c>
      <c r="O253" s="7"/>
      <c r="P253" s="7">
        <f>IFERROR(__xludf.DUMMYFUNCTION("""COMPUTED_VALUE"""),223642.0)</f>
        <v>223642</v>
      </c>
      <c r="Q253" s="45" t="str">
        <f>IFERROR(__xludf.DUMMYFUNCTION("""COMPUTED_VALUE"""),"La brava")</f>
        <v>La brava</v>
      </c>
      <c r="R253" s="45"/>
      <c r="S253" s="45"/>
      <c r="T253" s="45"/>
      <c r="U253" s="45"/>
      <c r="V253" s="45"/>
      <c r="W253" s="45"/>
      <c r="X253" s="47" t="str">
        <f>IFERROR(__xludf.DUMMYFUNCTION("""COMPUTED_VALUE"""),"Colegio de Escribanos Provincia Buenos Aires")</f>
        <v>Colegio de Escribanos Provincia Buenos Aires</v>
      </c>
      <c r="Y253" s="7" t="str">
        <f>IFERROR(__xludf.DUMMYFUNCTION("""COMPUTED_VALUE"""),"Si")</f>
        <v>Si</v>
      </c>
      <c r="Z253" s="45" t="str">
        <f>IFERROR(__xludf.DUMMYFUNCTION("""COMPUTED_VALUE"""),"Acepto")</f>
        <v>Acepto</v>
      </c>
      <c r="AA253" s="45" t="str">
        <f>IFERROR(__xludf.DUMMYFUNCTION("""COMPUTED_VALUE"""),"Terminado")</f>
        <v>Terminado</v>
      </c>
      <c r="AB253" s="45">
        <f>IFERROR(__xludf.DUMMYFUNCTION("""COMPUTED_VALUE"""),45000.0)</f>
        <v>45000</v>
      </c>
      <c r="AC253" s="7">
        <f>IFERROR(__xludf.DUMMYFUNCTION("""COMPUTED_VALUE"""),205654.0)</f>
        <v>205654</v>
      </c>
      <c r="AD253" s="7" t="str">
        <f>IFERROR(__xludf.DUMMYFUNCTION("""COMPUTED_VALUE"""),"TRF 10-09")</f>
        <v>TRF 10-09</v>
      </c>
      <c r="AE253" s="7" t="str">
        <f>IFERROR(__xludf.DUMMYFUNCTION("""COMPUTED_VALUE"""),"OK")</f>
        <v>OK</v>
      </c>
      <c r="AF253" s="7" t="str">
        <f>IFERROR(__xludf.DUMMYFUNCTION("""COMPUTED_VALUE"""),"SI")</f>
        <v>SI</v>
      </c>
    </row>
    <row r="254">
      <c r="A254" s="42">
        <f>IFERROR(__xludf.DUMMYFUNCTION("""COMPUTED_VALUE"""),45535.651181712965)</f>
        <v>45535.65118</v>
      </c>
      <c r="B254" s="43" t="str">
        <f>IFERROR(__xludf.DUMMYFUNCTION("""COMPUTED_VALUE"""),"Naina Marie")</f>
        <v>Naina Marie</v>
      </c>
      <c r="C254" s="43" t="str">
        <f>IFERROR(__xludf.DUMMYFUNCTION("""COMPUTED_VALUE"""),"Pinto")</f>
        <v>Pinto</v>
      </c>
      <c r="D254" s="43" t="str">
        <f>IFERROR(__xludf.DUMMYFUNCTION("""COMPUTED_VALUE"""),"Buenos Aires")</f>
        <v>Buenos Aires</v>
      </c>
      <c r="E254" s="45" t="str">
        <f>IFERROR(__xludf.DUMMYFUNCTION("""COMPUTED_VALUE"""),"ARG")</f>
        <v>ARG</v>
      </c>
      <c r="F254" s="45">
        <f>IFERROR(__xludf.DUMMYFUNCTION("""COMPUTED_VALUE"""),4.7091456E7)</f>
        <v>47091456</v>
      </c>
      <c r="G254" s="44">
        <f>IFERROR(__xludf.DUMMYFUNCTION("""COMPUTED_VALUE"""),38769.0)</f>
        <v>38769</v>
      </c>
      <c r="H254" s="45">
        <f>IFERROR(__xludf.DUMMYFUNCTION("""COMPUTED_VALUE"""),1.168550109E9)</f>
        <v>1168550109</v>
      </c>
      <c r="I254" s="45">
        <f>IFERROR(__xludf.DUMMYFUNCTION("""COMPUTED_VALUE"""),1.163044368E9)</f>
        <v>1163044368</v>
      </c>
      <c r="J254" s="45" t="str">
        <f>IFERROR(__xludf.DUMMYFUNCTION("""COMPUTED_VALUE"""),"pinto0pedro1paulo9@gmail.com")</f>
        <v>pinto0pedro1paulo9@gmail.com</v>
      </c>
      <c r="K254" s="45" t="str">
        <f>IFERROR(__xludf.DUMMYFUNCTION("""COMPUTED_VALUE"""),"Femenino")</f>
        <v>Femenino</v>
      </c>
      <c r="L254" s="45" t="str">
        <f>IFERROR(__xludf.DUMMYFUNCTION("""COMPUTED_VALUE"""),"CNSI-Cvsi")</f>
        <v>CNSI-Cvsi</v>
      </c>
      <c r="M254" s="45" t="str">
        <f>IFERROR(__xludf.DUMMYFUNCTION("""COMPUTED_VALUE"""),"Femenino")</f>
        <v>Femenino</v>
      </c>
      <c r="N254" s="7" t="str">
        <f>IFERROR(__xludf.DUMMYFUNCTION("""COMPUTED_VALUE"""),"ILCA 6")</f>
        <v>ILCA 6</v>
      </c>
      <c r="O254" s="7"/>
      <c r="P254" s="7">
        <f>IFERROR(__xludf.DUMMYFUNCTION("""COMPUTED_VALUE"""),220572.0)</f>
        <v>220572</v>
      </c>
      <c r="Q254" s="45" t="str">
        <f>IFERROR(__xludf.DUMMYFUNCTION("""COMPUTED_VALUE"""),"SISU")</f>
        <v>SISU</v>
      </c>
      <c r="R254" s="45"/>
      <c r="S254" s="45"/>
      <c r="T254" s="45"/>
      <c r="U254" s="45"/>
      <c r="V254" s="45"/>
      <c r="W254" s="45"/>
      <c r="X254" s="47" t="str">
        <f>IFERROR(__xludf.DUMMYFUNCTION("""COMPUTED_VALUE"""),"Colegio de Escribanos de la Provincia BsAs")</f>
        <v>Colegio de Escribanos de la Provincia BsAs</v>
      </c>
      <c r="Y254" s="7" t="str">
        <f>IFERROR(__xludf.DUMMYFUNCTION("""COMPUTED_VALUE"""),"Si")</f>
        <v>Si</v>
      </c>
      <c r="Z254" s="45" t="str">
        <f>IFERROR(__xludf.DUMMYFUNCTION("""COMPUTED_VALUE"""),"Acepto")</f>
        <v>Acepto</v>
      </c>
      <c r="AA254" s="45" t="str">
        <f>IFERROR(__xludf.DUMMYFUNCTION("""COMPUTED_VALUE"""),"Terminado")</f>
        <v>Terminado</v>
      </c>
      <c r="AB254" s="45">
        <f>IFERROR(__xludf.DUMMYFUNCTION("""COMPUTED_VALUE"""),45000.0)</f>
        <v>45000</v>
      </c>
      <c r="AC254" s="7">
        <f>IFERROR(__xludf.DUMMYFUNCTION("""COMPUTED_VALUE"""),205654.0)</f>
        <v>205654</v>
      </c>
      <c r="AD254" s="7" t="str">
        <f>IFERROR(__xludf.DUMMYFUNCTION("""COMPUTED_VALUE"""),"TRF 10-09")</f>
        <v>TRF 10-09</v>
      </c>
      <c r="AE254" s="7" t="str">
        <f>IFERROR(__xludf.DUMMYFUNCTION("""COMPUTED_VALUE"""),"No Corresp")</f>
        <v>No Corresp</v>
      </c>
      <c r="AF254" s="7" t="str">
        <f>IFERROR(__xludf.DUMMYFUNCTION("""COMPUTED_VALUE"""),"SI")</f>
        <v>SI</v>
      </c>
    </row>
    <row r="255">
      <c r="A255" s="42">
        <f>IFERROR(__xludf.DUMMYFUNCTION("""COMPUTED_VALUE"""),45535.668018310185)</f>
        <v>45535.66802</v>
      </c>
      <c r="B255" s="43" t="str">
        <f>IFERROR(__xludf.DUMMYFUNCTION("""COMPUTED_VALUE"""),"Pedro Paulo")</f>
        <v>Pedro Paulo</v>
      </c>
      <c r="C255" s="43" t="str">
        <f>IFERROR(__xludf.DUMMYFUNCTION("""COMPUTED_VALUE"""),"Pinto")</f>
        <v>Pinto</v>
      </c>
      <c r="D255" s="43" t="str">
        <f>IFERROR(__xludf.DUMMYFUNCTION("""COMPUTED_VALUE"""),"Buenos Aires")</f>
        <v>Buenos Aires</v>
      </c>
      <c r="E255" s="45" t="str">
        <f>IFERROR(__xludf.DUMMYFUNCTION("""COMPUTED_VALUE"""),"ARG")</f>
        <v>ARG</v>
      </c>
      <c r="F255" s="45">
        <f>IFERROR(__xludf.DUMMYFUNCTION("""COMPUTED_VALUE"""),5.1705498E7)</f>
        <v>51705498</v>
      </c>
      <c r="G255" s="44">
        <f>IFERROR(__xludf.DUMMYFUNCTION("""COMPUTED_VALUE"""),36770.0)</f>
        <v>36770</v>
      </c>
      <c r="H255" s="45">
        <f>IFERROR(__xludf.DUMMYFUNCTION("""COMPUTED_VALUE"""),1.168550109E9)</f>
        <v>1168550109</v>
      </c>
      <c r="I255" s="45"/>
      <c r="J255" s="45" t="str">
        <f>IFERROR(__xludf.DUMMYFUNCTION("""COMPUTED_VALUE"""),"pinto0pedro1paulo9@gmail.com")</f>
        <v>pinto0pedro1paulo9@gmail.com</v>
      </c>
      <c r="K255" s="45" t="str">
        <f>IFERROR(__xludf.DUMMYFUNCTION("""COMPUTED_VALUE"""),"Masculino")</f>
        <v>Masculino</v>
      </c>
      <c r="L255" s="45" t="str">
        <f>IFERROR(__xludf.DUMMYFUNCTION("""COMPUTED_VALUE"""),"CNSI-Cvsi")</f>
        <v>CNSI-Cvsi</v>
      </c>
      <c r="M255" s="45" t="str">
        <f>IFERROR(__xludf.DUMMYFUNCTION("""COMPUTED_VALUE"""),"senior")</f>
        <v>senior</v>
      </c>
      <c r="N255" s="7" t="str">
        <f>IFERROR(__xludf.DUMMYFUNCTION("""COMPUTED_VALUE"""),"ILCA 7")</f>
        <v>ILCA 7</v>
      </c>
      <c r="O255" s="7"/>
      <c r="P255" s="7">
        <f>IFERROR(__xludf.DUMMYFUNCTION("""COMPUTED_VALUE"""),202572.0)</f>
        <v>202572</v>
      </c>
      <c r="Q255" s="45"/>
      <c r="R255" s="45"/>
      <c r="S255" s="45"/>
      <c r="T255" s="45"/>
      <c r="U255" s="45"/>
      <c r="V255" s="45"/>
      <c r="W255" s="45"/>
      <c r="X255" s="47" t="str">
        <f>IFERROR(__xludf.DUMMYFUNCTION("""COMPUTED_VALUE"""),"Colegio Escribanos Provincia BsAs")</f>
        <v>Colegio Escribanos Provincia BsAs</v>
      </c>
      <c r="Y255" s="7" t="str">
        <f>IFERROR(__xludf.DUMMYFUNCTION("""COMPUTED_VALUE"""),"Si")</f>
        <v>Si</v>
      </c>
      <c r="Z255" s="45" t="str">
        <f>IFERROR(__xludf.DUMMYFUNCTION("""COMPUTED_VALUE"""),"Acepto")</f>
        <v>Acepto</v>
      </c>
      <c r="AA255" s="45" t="str">
        <f>IFERROR(__xludf.DUMMYFUNCTION("""COMPUTED_VALUE"""),"Repetido")</f>
        <v>Repetido</v>
      </c>
      <c r="AB255" s="45"/>
      <c r="AC255" s="7"/>
      <c r="AD255" s="7"/>
      <c r="AE255" s="7" t="str">
        <f>IFERROR(__xludf.DUMMYFUNCTION("""COMPUTED_VALUE"""),"No Corresp")</f>
        <v>No Corresp</v>
      </c>
      <c r="AF255" s="7"/>
    </row>
    <row r="256">
      <c r="A256" s="42">
        <f>IFERROR(__xludf.DUMMYFUNCTION("""COMPUTED_VALUE"""),45539.67136122685)</f>
        <v>45539.67136</v>
      </c>
      <c r="B256" s="43" t="str">
        <f>IFERROR(__xludf.DUMMYFUNCTION("""COMPUTED_VALUE"""),"Adrian ")</f>
        <v>Adrian </v>
      </c>
      <c r="C256" s="43" t="str">
        <f>IFERROR(__xludf.DUMMYFUNCTION("""COMPUTED_VALUE"""),"Pis")</f>
        <v>Pis</v>
      </c>
      <c r="D256" s="43" t="str">
        <f>IFERROR(__xludf.DUMMYFUNCTION("""COMPUTED_VALUE"""),"Temperley ")</f>
        <v>Temperley </v>
      </c>
      <c r="E256" s="45" t="str">
        <f>IFERROR(__xludf.DUMMYFUNCTION("""COMPUTED_VALUE"""),"ARG")</f>
        <v>ARG</v>
      </c>
      <c r="F256" s="45">
        <f>IFERROR(__xludf.DUMMYFUNCTION("""COMPUTED_VALUE"""),2.0215237E7)</f>
        <v>20215237</v>
      </c>
      <c r="G256" s="44">
        <f>IFERROR(__xludf.DUMMYFUNCTION("""COMPUTED_VALUE"""),25156.0)</f>
        <v>25156</v>
      </c>
      <c r="H256" s="45">
        <f>IFERROR(__xludf.DUMMYFUNCTION("""COMPUTED_VALUE"""),1.163816234E9)</f>
        <v>1163816234</v>
      </c>
      <c r="I256" s="45">
        <f>IFERROR(__xludf.DUMMYFUNCTION("""COMPUTED_VALUE"""),1.150230481E9)</f>
        <v>1150230481</v>
      </c>
      <c r="J256" s="45" t="str">
        <f>IFERROR(__xludf.DUMMYFUNCTION("""COMPUTED_VALUE"""),"pisadrian@hotmail.com")</f>
        <v>pisadrian@hotmail.com</v>
      </c>
      <c r="K256" s="45" t="str">
        <f>IFERROR(__xludf.DUMMYFUNCTION("""COMPUTED_VALUE"""),"Masculino")</f>
        <v>Masculino</v>
      </c>
      <c r="L256" s="45" t="str">
        <f>IFERROR(__xludf.DUMMYFUNCTION("""COMPUTED_VALUE"""),"YCO")</f>
        <v>YCO</v>
      </c>
      <c r="M256" s="45" t="str">
        <f>IFERROR(__xludf.DUMMYFUNCTION("""COMPUTED_VALUE"""),"Master (ILCA)")</f>
        <v>Master (ILCA)</v>
      </c>
      <c r="N256" s="7" t="str">
        <f>IFERROR(__xludf.DUMMYFUNCTION("""COMPUTED_VALUE"""),"ILCA 6")</f>
        <v>ILCA 6</v>
      </c>
      <c r="O256" s="7"/>
      <c r="P256" s="7">
        <f>IFERROR(__xludf.DUMMYFUNCTION("""COMPUTED_VALUE"""),221260.0)</f>
        <v>221260</v>
      </c>
      <c r="Q256" s="45"/>
      <c r="R256" s="45"/>
      <c r="S256" s="45"/>
      <c r="T256" s="45"/>
      <c r="U256" s="45"/>
      <c r="V256" s="45"/>
      <c r="W256" s="45"/>
      <c r="X256" s="47" t="str">
        <f>IFERROR(__xludf.DUMMYFUNCTION("""COMPUTED_VALUE"""),"Comei/023173-01-03")</f>
        <v>Comei/023173-01-03</v>
      </c>
      <c r="Y256" s="7" t="str">
        <f>IFERROR(__xludf.DUMMYFUNCTION("""COMPUTED_VALUE"""),"Si")</f>
        <v>Si</v>
      </c>
      <c r="Z256" s="45" t="str">
        <f>IFERROR(__xludf.DUMMYFUNCTION("""COMPUTED_VALUE"""),"Acepto")</f>
        <v>Acepto</v>
      </c>
      <c r="AA256" s="45" t="str">
        <f>IFERROR(__xludf.DUMMYFUNCTION("""COMPUTED_VALUE"""),"Terminado")</f>
        <v>Terminado</v>
      </c>
      <c r="AB256" s="45">
        <f>IFERROR(__xludf.DUMMYFUNCTION("""COMPUTED_VALUE"""),45000.0)</f>
        <v>45000</v>
      </c>
      <c r="AC256" s="7">
        <f>IFERROR(__xludf.DUMMYFUNCTION("""COMPUTED_VALUE"""),205636.0)</f>
        <v>205636</v>
      </c>
      <c r="AD256" s="7" t="str">
        <f>IFERROR(__xludf.DUMMYFUNCTION("""COMPUTED_VALUE"""),"TRF 09-09")</f>
        <v>TRF 09-09</v>
      </c>
      <c r="AE256" s="7" t="str">
        <f>IFERROR(__xludf.DUMMYFUNCTION("""COMPUTED_VALUE"""),"No Corresp")</f>
        <v>No Corresp</v>
      </c>
      <c r="AF256" s="7"/>
    </row>
    <row r="257">
      <c r="A257" s="42">
        <f>IFERROR(__xludf.DUMMYFUNCTION("""COMPUTED_VALUE"""),45536.827928391205)</f>
        <v>45536.82793</v>
      </c>
      <c r="B257" s="43" t="str">
        <f>IFERROR(__xludf.DUMMYFUNCTION("""COMPUTED_VALUE"""),"Santiago")</f>
        <v>Santiago</v>
      </c>
      <c r="C257" s="43" t="str">
        <f>IFERROR(__xludf.DUMMYFUNCTION("""COMPUTED_VALUE"""),"Poggio")</f>
        <v>Poggio</v>
      </c>
      <c r="D257" s="43" t="str">
        <f>IFERROR(__xludf.DUMMYFUNCTION("""COMPUTED_VALUE"""),"Buenos Aires")</f>
        <v>Buenos Aires</v>
      </c>
      <c r="E257" s="45" t="str">
        <f>IFERROR(__xludf.DUMMYFUNCTION("""COMPUTED_VALUE"""),"ARG")</f>
        <v>ARG</v>
      </c>
      <c r="F257" s="45">
        <f>IFERROR(__xludf.DUMMYFUNCTION("""COMPUTED_VALUE"""),5.2790163E7)</f>
        <v>52790163</v>
      </c>
      <c r="G257" s="44">
        <f>IFERROR(__xludf.DUMMYFUNCTION("""COMPUTED_VALUE"""),41184.0)</f>
        <v>41184</v>
      </c>
      <c r="H257" s="45" t="str">
        <f>IFERROR(__xludf.DUMMYFUNCTION("""COMPUTED_VALUE"""),"01130754065")</f>
        <v>01130754065</v>
      </c>
      <c r="I257" s="45" t="str">
        <f>IFERROR(__xludf.DUMMYFUNCTION("""COMPUTED_VALUE"""),"01130754065")</f>
        <v>01130754065</v>
      </c>
      <c r="J257" s="45" t="str">
        <f>IFERROR(__xludf.DUMMYFUNCTION("""COMPUTED_VALUE"""),"maximop@hotmail.com")</f>
        <v>maximop@hotmail.com</v>
      </c>
      <c r="K257" s="45" t="str">
        <f>IFERROR(__xludf.DUMMYFUNCTION("""COMPUTED_VALUE"""),"Masculino")</f>
        <v>Masculino</v>
      </c>
      <c r="L257" s="45" t="str">
        <f>IFERROR(__xludf.DUMMYFUNCTION("""COMPUTED_VALUE"""),"CUBA")</f>
        <v>CUBA</v>
      </c>
      <c r="M257" s="45" t="str">
        <f>IFERROR(__xludf.DUMMYFUNCTION("""COMPUTED_VALUE"""),"OPTIMIST TIMONEL (Sub12)")</f>
        <v>OPTIMIST TIMONEL (Sub12)</v>
      </c>
      <c r="N257" s="7" t="str">
        <f>IFERROR(__xludf.DUMMYFUNCTION("""COMPUTED_VALUE"""),"OPTIMIST TIMONELES")</f>
        <v>OPTIMIST TIMONELES</v>
      </c>
      <c r="O257" s="7"/>
      <c r="P257" s="7" t="str">
        <f>IFERROR(__xludf.DUMMYFUNCTION("""COMPUTED_VALUE"""),"ARG3765")</f>
        <v>ARG3765</v>
      </c>
      <c r="Q257" s="45"/>
      <c r="R257" s="45"/>
      <c r="S257" s="45"/>
      <c r="T257" s="45"/>
      <c r="U257" s="45"/>
      <c r="V257" s="45"/>
      <c r="W257" s="45"/>
      <c r="X257" s="47" t="str">
        <f>IFERROR(__xludf.DUMMYFUNCTION("""COMPUTED_VALUE"""),"OSDE 210 / 60 723328 1 06")</f>
        <v>OSDE 210 / 60 723328 1 06</v>
      </c>
      <c r="Y257" s="7" t="str">
        <f>IFERROR(__xludf.DUMMYFUNCTION("""COMPUTED_VALUE"""),"No")</f>
        <v>No</v>
      </c>
      <c r="Z257" s="45" t="str">
        <f>IFERROR(__xludf.DUMMYFUNCTION("""COMPUTED_VALUE"""),"Acepto")</f>
        <v>Acepto</v>
      </c>
      <c r="AA257" s="45" t="str">
        <f>IFERROR(__xludf.DUMMYFUNCTION("""COMPUTED_VALUE"""),"Terminado")</f>
        <v>Terminado</v>
      </c>
      <c r="AB257" s="45">
        <f>IFERROR(__xludf.DUMMYFUNCTION("""COMPUTED_VALUE"""),50000.0)</f>
        <v>50000</v>
      </c>
      <c r="AC257" s="7">
        <f>IFERROR(__xludf.DUMMYFUNCTION("""COMPUTED_VALUE"""),205455.0)</f>
        <v>205455</v>
      </c>
      <c r="AD257" s="7" t="str">
        <f>IFERROR(__xludf.DUMMYFUNCTION("""COMPUTED_VALUE"""),"TRF 04-09")</f>
        <v>TRF 04-09</v>
      </c>
      <c r="AE257" s="7" t="str">
        <f>IFERROR(__xludf.DUMMYFUNCTION("""COMPUTED_VALUE"""),"OK")</f>
        <v>OK</v>
      </c>
      <c r="AF257" s="7"/>
    </row>
    <row r="258">
      <c r="A258" s="42">
        <f>IFERROR(__xludf.DUMMYFUNCTION("""COMPUTED_VALUE"""),45534.60809565972)</f>
        <v>45534.6081</v>
      </c>
      <c r="B258" s="43" t="str">
        <f>IFERROR(__xludf.DUMMYFUNCTION("""COMPUTED_VALUE"""),"Martin")</f>
        <v>Martin</v>
      </c>
      <c r="C258" s="43" t="str">
        <f>IFERROR(__xludf.DUMMYFUNCTION("""COMPUTED_VALUE"""),"Propato")</f>
        <v>Propato</v>
      </c>
      <c r="D258" s="43" t="str">
        <f>IFERROR(__xludf.DUMMYFUNCTION("""COMPUTED_VALUE"""),"CABA")</f>
        <v>CABA</v>
      </c>
      <c r="E258" s="45" t="str">
        <f>IFERROR(__xludf.DUMMYFUNCTION("""COMPUTED_VALUE"""),"ARG")</f>
        <v>ARG</v>
      </c>
      <c r="F258" s="45">
        <f>IFERROR(__xludf.DUMMYFUNCTION("""COMPUTED_VALUE"""),1.658178E7)</f>
        <v>16581780</v>
      </c>
      <c r="G258" s="44">
        <f>IFERROR(__xludf.DUMMYFUNCTION("""COMPUTED_VALUE"""),23312.0)</f>
        <v>23312</v>
      </c>
      <c r="H258" s="45">
        <f>IFERROR(__xludf.DUMMYFUNCTION("""COMPUTED_VALUE"""),1.155242237E9)</f>
        <v>1155242237</v>
      </c>
      <c r="I258" s="45"/>
      <c r="J258" s="45" t="str">
        <f>IFERROR(__xludf.DUMMYFUNCTION("""COMPUTED_VALUE"""),"m_propato@hotmail.com")</f>
        <v>m_propato@hotmail.com</v>
      </c>
      <c r="K258" s="45" t="str">
        <f>IFERROR(__xludf.DUMMYFUNCTION("""COMPUTED_VALUE"""),"Masculino")</f>
        <v>Masculino</v>
      </c>
      <c r="L258" s="45" t="str">
        <f>IFERROR(__xludf.DUMMYFUNCTION("""COMPUTED_VALUE"""),"YCO")</f>
        <v>YCO</v>
      </c>
      <c r="M258" s="45" t="str">
        <f>IFERROR(__xludf.DUMMYFUNCTION("""COMPUTED_VALUE"""),"Master (ILCA)")</f>
        <v>Master (ILCA)</v>
      </c>
      <c r="N258" s="7" t="str">
        <f>IFERROR(__xludf.DUMMYFUNCTION("""COMPUTED_VALUE"""),"ILCA 6")</f>
        <v>ILCA 6</v>
      </c>
      <c r="O258" s="7"/>
      <c r="P258" s="7">
        <f>IFERROR(__xludf.DUMMYFUNCTION("""COMPUTED_VALUE"""),182314.0)</f>
        <v>182314</v>
      </c>
      <c r="Q258" s="45"/>
      <c r="R258" s="45"/>
      <c r="S258" s="45"/>
      <c r="T258" s="45"/>
      <c r="U258" s="45"/>
      <c r="V258" s="45"/>
      <c r="W258" s="45"/>
      <c r="X258" s="47" t="str">
        <f>IFERROR(__xludf.DUMMYFUNCTION("""COMPUTED_VALUE"""),"OSDE")</f>
        <v>OSDE</v>
      </c>
      <c r="Y258" s="7" t="str">
        <f>IFERROR(__xludf.DUMMYFUNCTION("""COMPUTED_VALUE"""),"Si")</f>
        <v>Si</v>
      </c>
      <c r="Z258" s="45" t="str">
        <f>IFERROR(__xludf.DUMMYFUNCTION("""COMPUTED_VALUE"""),"Acepto")</f>
        <v>Acepto</v>
      </c>
      <c r="AA258" s="45" t="str">
        <f>IFERROR(__xludf.DUMMYFUNCTION("""COMPUTED_VALUE"""),"Terminado")</f>
        <v>Terminado</v>
      </c>
      <c r="AB258" s="45">
        <f>IFERROR(__xludf.DUMMYFUNCTION("""COMPUTED_VALUE"""),45000.0)</f>
        <v>45000</v>
      </c>
      <c r="AC258" s="7"/>
      <c r="AD258" s="7" t="str">
        <f>IFERROR(__xludf.DUMMYFUNCTION("""COMPUTED_VALUE"""),"AF")</f>
        <v>AF</v>
      </c>
      <c r="AE258" s="7" t="str">
        <f>IFERROR(__xludf.DUMMYFUNCTION("""COMPUTED_VALUE"""),"No Corresp")</f>
        <v>No Corresp</v>
      </c>
      <c r="AF258" s="7"/>
    </row>
    <row r="259">
      <c r="A259" s="42">
        <f>IFERROR(__xludf.DUMMYFUNCTION("""COMPUTED_VALUE"""),45535.86092427083)</f>
        <v>45535.86092</v>
      </c>
      <c r="B259" s="43" t="str">
        <f>IFERROR(__xludf.DUMMYFUNCTION("""COMPUTED_VALUE"""),"Ana Maria")</f>
        <v>Ana Maria</v>
      </c>
      <c r="C259" s="43" t="str">
        <f>IFERROR(__xludf.DUMMYFUNCTION("""COMPUTED_VALUE"""),"Prota")</f>
        <v>Prota</v>
      </c>
      <c r="D259" s="43" t="str">
        <f>IFERROR(__xludf.DUMMYFUNCTION("""COMPUTED_VALUE"""),"Montevideo")</f>
        <v>Montevideo</v>
      </c>
      <c r="E259" s="45" t="str">
        <f>IFERROR(__xludf.DUMMYFUNCTION("""COMPUTED_VALUE"""),"URU")</f>
        <v>URU</v>
      </c>
      <c r="F259" s="45">
        <f>IFERROR(__xludf.DUMMYFUNCTION("""COMPUTED_VALUE"""),6.2194679E7)</f>
        <v>62194679</v>
      </c>
      <c r="G259" s="44">
        <f>IFERROR(__xludf.DUMMYFUNCTION("""COMPUTED_VALUE"""),40651.0)</f>
        <v>40651</v>
      </c>
      <c r="H259" s="45" t="str">
        <f>IFERROR(__xludf.DUMMYFUNCTION("""COMPUTED_VALUE"""),"+59893444307")</f>
        <v>+59893444307</v>
      </c>
      <c r="I259" s="45" t="str">
        <f>IFERROR(__xludf.DUMMYFUNCTION("""COMPUTED_VALUE"""),"+59893444307")</f>
        <v>+59893444307</v>
      </c>
      <c r="J259" s="45" t="str">
        <f>IFERROR(__xludf.DUMMYFUNCTION("""COMPUTED_VALUE"""),"santiagoprota@gmail.com")</f>
        <v>santiagoprota@gmail.com</v>
      </c>
      <c r="K259" s="45" t="str">
        <f>IFERROR(__xludf.DUMMYFUNCTION("""COMPUTED_VALUE"""),"Femenino")</f>
        <v>Femenino</v>
      </c>
      <c r="L259" s="45" t="str">
        <f>IFERROR(__xludf.DUMMYFUNCTION("""COMPUTED_VALUE"""),"NYC")</f>
        <v>NYC</v>
      </c>
      <c r="M259" s="45" t="str">
        <f>IFERROR(__xludf.DUMMYFUNCTION("""COMPUTED_VALUE"""),"Femenino")</f>
        <v>Femenino</v>
      </c>
      <c r="N259" s="7" t="str">
        <f>IFERROR(__xludf.DUMMYFUNCTION("""COMPUTED_VALUE"""),"OPTIMIST TIMONELES")</f>
        <v>OPTIMIST TIMONELES</v>
      </c>
      <c r="O259" s="7"/>
      <c r="P259" s="7">
        <f>IFERROR(__xludf.DUMMYFUNCTION("""COMPUTED_VALUE"""),578.0)</f>
        <v>578</v>
      </c>
      <c r="Q259" s="45" t="str">
        <f>IFERROR(__xludf.DUMMYFUNCTION("""COMPUTED_VALUE"""),"s/n")</f>
        <v>s/n</v>
      </c>
      <c r="R259" s="45"/>
      <c r="S259" s="45"/>
      <c r="T259" s="45"/>
      <c r="U259" s="45"/>
      <c r="V259" s="45"/>
      <c r="W259" s="45"/>
      <c r="X259" s="47" t="str">
        <f>IFERROR(__xludf.DUMMYFUNCTION("""COMPUTED_VALUE"""),"Blue Crooss y Swiss Medical")</f>
        <v>Blue Crooss y Swiss Medical</v>
      </c>
      <c r="Y259" s="7" t="str">
        <f>IFERROR(__xludf.DUMMYFUNCTION("""COMPUTED_VALUE"""),"Si")</f>
        <v>Si</v>
      </c>
      <c r="Z259" s="45" t="str">
        <f>IFERROR(__xludf.DUMMYFUNCTION("""COMPUTED_VALUE"""),"Acepto")</f>
        <v>Acepto</v>
      </c>
      <c r="AA259" s="45" t="str">
        <f>IFERROR(__xludf.DUMMYFUNCTION("""COMPUTED_VALUE"""),"Terminado")</f>
        <v>Terminado</v>
      </c>
      <c r="AB259" s="45">
        <f>IFERROR(__xludf.DUMMYFUNCTION("""COMPUTED_VALUE"""),42500.0)</f>
        <v>42500</v>
      </c>
      <c r="AC259" s="7">
        <f>IFERROR(__xludf.DUMMYFUNCTION("""COMPUTED_VALUE"""),205391.0)</f>
        <v>205391</v>
      </c>
      <c r="AD259" s="7" t="str">
        <f>IFERROR(__xludf.DUMMYFUNCTION("""COMPUTED_VALUE"""),"TRF 02-09")</f>
        <v>TRF 02-09</v>
      </c>
      <c r="AE259" s="7" t="str">
        <f>IFERROR(__xludf.DUMMYFUNCTION("""COMPUTED_VALUE"""),"OK")</f>
        <v>OK</v>
      </c>
      <c r="AF259" s="7" t="str">
        <f>IFERROR(__xludf.DUMMYFUNCTION("""COMPUTED_VALUE"""),"SI")</f>
        <v>SI</v>
      </c>
    </row>
    <row r="260">
      <c r="A260" s="42">
        <f>IFERROR(__xludf.DUMMYFUNCTION("""COMPUTED_VALUE"""),45534.61079976852)</f>
        <v>45534.6108</v>
      </c>
      <c r="B260" s="43" t="str">
        <f>IFERROR(__xludf.DUMMYFUNCTION("""COMPUTED_VALUE"""),"fernando")</f>
        <v>fernando</v>
      </c>
      <c r="C260" s="43" t="str">
        <f>IFERROR(__xludf.DUMMYFUNCTION("""COMPUTED_VALUE"""),"Queirel")</f>
        <v>Queirel</v>
      </c>
      <c r="D260" s="43" t="str">
        <f>IFERROR(__xludf.DUMMYFUNCTION("""COMPUTED_VALUE"""),"la plata")</f>
        <v>la plata</v>
      </c>
      <c r="E260" s="45" t="str">
        <f>IFERROR(__xludf.DUMMYFUNCTION("""COMPUTED_VALUE"""),"ARG")</f>
        <v>ARG</v>
      </c>
      <c r="F260" s="45">
        <f>IFERROR(__xludf.DUMMYFUNCTION("""COMPUTED_VALUE"""),1.2707219E7)</f>
        <v>12707219</v>
      </c>
      <c r="G260" s="44">
        <f>IFERROR(__xludf.DUMMYFUNCTION("""COMPUTED_VALUE"""),20757.0)</f>
        <v>20757</v>
      </c>
      <c r="H260" s="45">
        <f>IFERROR(__xludf.DUMMYFUNCTION("""COMPUTED_VALUE"""),2.215018401E9)</f>
        <v>2215018401</v>
      </c>
      <c r="I260" s="45">
        <f>IFERROR(__xludf.DUMMYFUNCTION("""COMPUTED_VALUE"""),2.215220469E9)</f>
        <v>2215220469</v>
      </c>
      <c r="J260" s="45" t="str">
        <f>IFERROR(__xludf.DUMMYFUNCTION("""COMPUTED_VALUE"""),"cfqueirel@hotmail.com")</f>
        <v>cfqueirel@hotmail.com</v>
      </c>
      <c r="K260" s="45" t="str">
        <f>IFERROR(__xludf.DUMMYFUNCTION("""COMPUTED_VALUE"""),"Masculino")</f>
        <v>Masculino</v>
      </c>
      <c r="L260" s="45" t="str">
        <f>IFERROR(__xludf.DUMMYFUNCTION("""COMPUTED_VALUE"""),"crlp")</f>
        <v>crlp</v>
      </c>
      <c r="M260" s="45" t="str">
        <f>IFERROR(__xludf.DUMMYFUNCTION("""COMPUTED_VALUE"""),"gran master")</f>
        <v>gran master</v>
      </c>
      <c r="N260" s="7" t="str">
        <f>IFERROR(__xludf.DUMMYFUNCTION("""COMPUTED_VALUE"""),"STAR")</f>
        <v>STAR</v>
      </c>
      <c r="O260" s="7"/>
      <c r="P260" s="7">
        <f>IFERROR(__xludf.DUMMYFUNCTION("""COMPUTED_VALUE"""),7885.0)</f>
        <v>7885</v>
      </c>
      <c r="Q260" s="45" t="str">
        <f>IFERROR(__xludf.DUMMYFUNCTION("""COMPUTED_VALUE"""),"sn")</f>
        <v>sn</v>
      </c>
      <c r="R260" s="45" t="str">
        <f>IFERROR(__xludf.DUMMYFUNCTION("""COMPUTED_VALUE"""),"Valentin Queirel")</f>
        <v>Valentin Queirel</v>
      </c>
      <c r="S260" s="45"/>
      <c r="T260" s="45"/>
      <c r="U260" s="45"/>
      <c r="V260" s="45"/>
      <c r="W260" s="45"/>
      <c r="X260" s="47"/>
      <c r="Y260" s="7" t="str">
        <f>IFERROR(__xludf.DUMMYFUNCTION("""COMPUTED_VALUE"""),"Si")</f>
        <v>Si</v>
      </c>
      <c r="Z260" s="45" t="str">
        <f>IFERROR(__xludf.DUMMYFUNCTION("""COMPUTED_VALUE"""),"Acepto")</f>
        <v>Acepto</v>
      </c>
      <c r="AA260" s="45" t="str">
        <f>IFERROR(__xludf.DUMMYFUNCTION("""COMPUTED_VALUE"""),"Terminado")</f>
        <v>Terminado</v>
      </c>
      <c r="AB260" s="45">
        <f>IFERROR(__xludf.DUMMYFUNCTION("""COMPUTED_VALUE"""),60000.0)</f>
        <v>60000</v>
      </c>
      <c r="AC260" s="7">
        <f>IFERROR(__xludf.DUMMYFUNCTION("""COMPUTED_VALUE"""),205417.0)</f>
        <v>205417</v>
      </c>
      <c r="AD260" s="7" t="str">
        <f>IFERROR(__xludf.DUMMYFUNCTION("""COMPUTED_VALUE"""),"TRF 03-09 y 05-09")</f>
        <v>TRF 03-09 y 05-09</v>
      </c>
      <c r="AE260" s="7" t="str">
        <f>IFERROR(__xludf.DUMMYFUNCTION("""COMPUTED_VALUE"""),"No Corresp")</f>
        <v>No Corresp</v>
      </c>
      <c r="AF260" s="7"/>
    </row>
    <row r="261">
      <c r="A261" s="42">
        <f>IFERROR(__xludf.DUMMYFUNCTION("""COMPUTED_VALUE"""),45533.67292912037)</f>
        <v>45533.67293</v>
      </c>
      <c r="B261" s="43" t="str">
        <f>IFERROR(__xludf.DUMMYFUNCTION("""COMPUTED_VALUE"""),"Ciro Valentin ")</f>
        <v>Ciro Valentin </v>
      </c>
      <c r="C261" s="43" t="str">
        <f>IFERROR(__xludf.DUMMYFUNCTION("""COMPUTED_VALUE"""),"Quevedo ")</f>
        <v>Quevedo </v>
      </c>
      <c r="D261" s="43" t="str">
        <f>IFERROR(__xludf.DUMMYFUNCTION("""COMPUTED_VALUE"""),"Puerto Madryn ")</f>
        <v>Puerto Madryn </v>
      </c>
      <c r="E261" s="45" t="str">
        <f>IFERROR(__xludf.DUMMYFUNCTION("""COMPUTED_VALUE"""),"ARG")</f>
        <v>ARG</v>
      </c>
      <c r="F261" s="45">
        <f>IFERROR(__xludf.DUMMYFUNCTION("""COMPUTED_VALUE"""),5.2650181E7)</f>
        <v>52650181</v>
      </c>
      <c r="G261" s="44">
        <f>IFERROR(__xludf.DUMMYFUNCTION("""COMPUTED_VALUE"""),41216.0)</f>
        <v>41216</v>
      </c>
      <c r="H261" s="45" t="str">
        <f>IFERROR(__xludf.DUMMYFUNCTION("""COMPUTED_VALUE"""),"+5492804387512")</f>
        <v>+5492804387512</v>
      </c>
      <c r="I261" s="45" t="str">
        <f>IFERROR(__xludf.DUMMYFUNCTION("""COMPUTED_VALUE"""),"+5491158301838")</f>
        <v>+5491158301838</v>
      </c>
      <c r="J261" s="45" t="str">
        <f>IFERROR(__xludf.DUMMYFUNCTION("""COMPUTED_VALUE"""),"Daniepascu@gmail.com")</f>
        <v>Daniepascu@gmail.com</v>
      </c>
      <c r="K261" s="45" t="str">
        <f>IFERROR(__xludf.DUMMYFUNCTION("""COMPUTED_VALUE"""),"Masculino")</f>
        <v>Masculino</v>
      </c>
      <c r="L261" s="45" t="str">
        <f>IFERROR(__xludf.DUMMYFUNCTION("""COMPUTED_VALUE"""),"CNAS")</f>
        <v>CNAS</v>
      </c>
      <c r="M261" s="45" t="str">
        <f>IFERROR(__xludf.DUMMYFUNCTION("""COMPUTED_VALUE"""),"Interior (Optimist)")</f>
        <v>Interior (Optimist)</v>
      </c>
      <c r="N261" s="7" t="str">
        <f>IFERROR(__xludf.DUMMYFUNCTION("""COMPUTED_VALUE"""),"OPTIMIST TIMONELES")</f>
        <v>OPTIMIST TIMONELES</v>
      </c>
      <c r="O261" s="7"/>
      <c r="P261" s="7">
        <f>IFERROR(__xludf.DUMMYFUNCTION("""COMPUTED_VALUE"""),4046.0)</f>
        <v>4046</v>
      </c>
      <c r="Q261" s="45"/>
      <c r="R261" s="45"/>
      <c r="S261" s="45"/>
      <c r="T261" s="45"/>
      <c r="U261" s="45"/>
      <c r="V261" s="45"/>
      <c r="W261" s="45"/>
      <c r="X261" s="47" t="str">
        <f>IFERROR(__xludf.DUMMYFUNCTION("""COMPUTED_VALUE"""),"IOSFA 058678-3/07")</f>
        <v>IOSFA 058678-3/07</v>
      </c>
      <c r="Y261" s="7" t="str">
        <f>IFERROR(__xludf.DUMMYFUNCTION("""COMPUTED_VALUE"""),"Si")</f>
        <v>Si</v>
      </c>
      <c r="Z261" s="45" t="str">
        <f>IFERROR(__xludf.DUMMYFUNCTION("""COMPUTED_VALUE"""),"Acepto")</f>
        <v>Acepto</v>
      </c>
      <c r="AA261" s="45" t="str">
        <f>IFERROR(__xludf.DUMMYFUNCTION("""COMPUTED_VALUE"""),"Terminado")</f>
        <v>Terminado</v>
      </c>
      <c r="AB261" s="45">
        <f>IFERROR(__xludf.DUMMYFUNCTION("""COMPUTED_VALUE"""),60000.0)</f>
        <v>60000</v>
      </c>
      <c r="AC261" s="7">
        <f>IFERROR(__xludf.DUMMYFUNCTION("""COMPUTED_VALUE"""),205080.0)</f>
        <v>205080</v>
      </c>
      <c r="AD261" s="7" t="str">
        <f>IFERROR(__xludf.DUMMYFUNCTION("""COMPUTED_VALUE"""),"TRF 29-08")</f>
        <v>TRF 29-08</v>
      </c>
      <c r="AE261" s="7" t="str">
        <f>IFERROR(__xludf.DUMMYFUNCTION("""COMPUTED_VALUE"""),"OK")</f>
        <v>OK</v>
      </c>
      <c r="AF261" s="7"/>
    </row>
    <row r="262">
      <c r="A262" s="42">
        <f>IFERROR(__xludf.DUMMYFUNCTION("""COMPUTED_VALUE"""),45539.68765211805)</f>
        <v>45539.68765</v>
      </c>
      <c r="B262" s="43" t="str">
        <f>IFERROR(__xludf.DUMMYFUNCTION("""COMPUTED_VALUE"""),"Nina ")</f>
        <v>Nina </v>
      </c>
      <c r="C262" s="43" t="str">
        <f>IFERROR(__xludf.DUMMYFUNCTION("""COMPUTED_VALUE"""),"Raineri Taverna")</f>
        <v>Raineri Taverna</v>
      </c>
      <c r="D262" s="43" t="str">
        <f>IFERROR(__xludf.DUMMYFUNCTION("""COMPUTED_VALUE"""),"Rosario")</f>
        <v>Rosario</v>
      </c>
      <c r="E262" s="45" t="str">
        <f>IFERROR(__xludf.DUMMYFUNCTION("""COMPUTED_VALUE"""),"ARG")</f>
        <v>ARG</v>
      </c>
      <c r="F262" s="45">
        <f>IFERROR(__xludf.DUMMYFUNCTION("""COMPUTED_VALUE"""),5.3185733E7)</f>
        <v>53185733</v>
      </c>
      <c r="G262" s="44">
        <f>IFERROR(__xludf.DUMMYFUNCTION("""COMPUTED_VALUE"""),41335.0)</f>
        <v>41335</v>
      </c>
      <c r="H262" s="45">
        <f>IFERROR(__xludf.DUMMYFUNCTION("""COMPUTED_VALUE"""),3.41563209E9)</f>
        <v>3415632090</v>
      </c>
      <c r="I262" s="45">
        <f>IFERROR(__xludf.DUMMYFUNCTION("""COMPUTED_VALUE"""),3.41563209E9)</f>
        <v>3415632090</v>
      </c>
      <c r="J262" s="45" t="str">
        <f>IFERROR(__xludf.DUMMYFUNCTION("""COMPUTED_VALUE"""),"andtaverna@gmail.com")</f>
        <v>andtaverna@gmail.com</v>
      </c>
      <c r="K262" s="45" t="str">
        <f>IFERROR(__xludf.DUMMYFUNCTION("""COMPUTED_VALUE"""),"Femenino")</f>
        <v>Femenino</v>
      </c>
      <c r="L262" s="45" t="str">
        <f>IFERROR(__xludf.DUMMYFUNCTION("""COMPUTED_VALUE"""),"CVR ")</f>
        <v>CVR </v>
      </c>
      <c r="M262" s="45" t="str">
        <f>IFERROR(__xludf.DUMMYFUNCTION("""COMPUTED_VALUE"""),"Femenino, Interior (Optimist)")</f>
        <v>Femenino, Interior (Optimist)</v>
      </c>
      <c r="N262" s="7" t="str">
        <f>IFERROR(__xludf.DUMMYFUNCTION("""COMPUTED_VALUE"""),"OPTIMIST TIMONELES")</f>
        <v>OPTIMIST TIMONELES</v>
      </c>
      <c r="O262" s="7">
        <f>IFERROR(__xludf.DUMMYFUNCTION("""COMPUTED_VALUE"""),169574.0)</f>
        <v>169574</v>
      </c>
      <c r="P262" s="7">
        <f>IFERROR(__xludf.DUMMYFUNCTION("""COMPUTED_VALUE"""),3938.0)</f>
        <v>3938</v>
      </c>
      <c r="Q262" s="45"/>
      <c r="R262" s="45"/>
      <c r="S262" s="45"/>
      <c r="T262" s="45"/>
      <c r="U262" s="45"/>
      <c r="V262" s="45"/>
      <c r="W262" s="45"/>
      <c r="X262" s="47" t="str">
        <f>IFERROR(__xludf.DUMMYFUNCTION("""COMPUTED_VALUE"""),"Swiss medical")</f>
        <v>Swiss medical</v>
      </c>
      <c r="Y262" s="7" t="str">
        <f>IFERROR(__xludf.DUMMYFUNCTION("""COMPUTED_VALUE"""),"Si")</f>
        <v>Si</v>
      </c>
      <c r="Z262" s="45" t="str">
        <f>IFERROR(__xludf.DUMMYFUNCTION("""COMPUTED_VALUE"""),"Acepto")</f>
        <v>Acepto</v>
      </c>
      <c r="AA262" s="45" t="str">
        <f>IFERROR(__xludf.DUMMYFUNCTION("""COMPUTED_VALUE"""),"Terminado")</f>
        <v>Terminado</v>
      </c>
      <c r="AB262" s="45">
        <f>IFERROR(__xludf.DUMMYFUNCTION("""COMPUTED_VALUE"""),60000.0)</f>
        <v>60000</v>
      </c>
      <c r="AC262" s="7">
        <f>IFERROR(__xludf.DUMMYFUNCTION("""COMPUTED_VALUE"""),205397.0)</f>
        <v>205397</v>
      </c>
      <c r="AD262" s="7" t="str">
        <f>IFERROR(__xludf.DUMMYFUNCTION("""COMPUTED_VALUE"""),"TRF 02-09")</f>
        <v>TRF 02-09</v>
      </c>
      <c r="AE262" s="7" t="str">
        <f>IFERROR(__xludf.DUMMYFUNCTION("""COMPUTED_VALUE"""),"OK")</f>
        <v>OK</v>
      </c>
      <c r="AF262" s="7"/>
    </row>
    <row r="263">
      <c r="A263" s="42">
        <f>IFERROR(__xludf.DUMMYFUNCTION("""COMPUTED_VALUE"""),45534.64539831018)</f>
        <v>45534.6454</v>
      </c>
      <c r="B263" s="43" t="str">
        <f>IFERROR(__xludf.DUMMYFUNCTION("""COMPUTED_VALUE"""),"Judesson")</f>
        <v>Judesson</v>
      </c>
      <c r="C263" s="43" t="str">
        <f>IFERROR(__xludf.DUMMYFUNCTION("""COMPUTED_VALUE"""),"Ramos")</f>
        <v>Ramos</v>
      </c>
      <c r="D263" s="43" t="str">
        <f>IFERROR(__xludf.DUMMYFUNCTION("""COMPUTED_VALUE"""),"Buenos Aires ")</f>
        <v>Buenos Aires </v>
      </c>
      <c r="E263" s="45" t="str">
        <f>IFERROR(__xludf.DUMMYFUNCTION("""COMPUTED_VALUE"""),"ARG")</f>
        <v>ARG</v>
      </c>
      <c r="F263" s="45">
        <f>IFERROR(__xludf.DUMMYFUNCTION("""COMPUTED_VALUE"""),5.1704116E7)</f>
        <v>51704116</v>
      </c>
      <c r="G263" s="44">
        <f>IFERROR(__xludf.DUMMYFUNCTION("""COMPUTED_VALUE"""),39858.0)</f>
        <v>39858</v>
      </c>
      <c r="H263" s="45">
        <f>IFERROR(__xludf.DUMMYFUNCTION("""COMPUTED_VALUE"""),1.136841241E9)</f>
        <v>1136841241</v>
      </c>
      <c r="I263" s="45">
        <f>IFERROR(__xludf.DUMMYFUNCTION("""COMPUTED_VALUE"""),1.121889991E9)</f>
        <v>1121889991</v>
      </c>
      <c r="J263" s="45" t="str">
        <f>IFERROR(__xludf.DUMMYFUNCTION("""COMPUTED_VALUE"""),"jfranciscoramos@hotmail.com")</f>
        <v>jfranciscoramos@hotmail.com</v>
      </c>
      <c r="K263" s="45" t="str">
        <f>IFERROR(__xludf.DUMMYFUNCTION("""COMPUTED_VALUE"""),"Masculino")</f>
        <v>Masculino</v>
      </c>
      <c r="L263" s="45" t="str">
        <f>IFERROR(__xludf.DUMMYFUNCTION("""COMPUTED_VALUE"""),"Yccn")</f>
        <v>Yccn</v>
      </c>
      <c r="M263" s="45"/>
      <c r="N263" s="7" t="str">
        <f>IFERROR(__xludf.DUMMYFUNCTION("""COMPUTED_VALUE"""),"OPTIMIST TIMONELES")</f>
        <v>OPTIMIST TIMONELES</v>
      </c>
      <c r="O263" s="7"/>
      <c r="P263" s="7">
        <f>IFERROR(__xludf.DUMMYFUNCTION("""COMPUTED_VALUE"""),3776.0)</f>
        <v>3776</v>
      </c>
      <c r="Q263" s="45"/>
      <c r="R263" s="45"/>
      <c r="S263" s="45"/>
      <c r="T263" s="45"/>
      <c r="U263" s="45"/>
      <c r="V263" s="45"/>
      <c r="W263" s="45"/>
      <c r="X263" s="47" t="str">
        <f>IFERROR(__xludf.DUMMYFUNCTION("""COMPUTED_VALUE"""),"Osde/61004637205")</f>
        <v>Osde/61004637205</v>
      </c>
      <c r="Y263" s="7" t="str">
        <f>IFERROR(__xludf.DUMMYFUNCTION("""COMPUTED_VALUE"""),"Si")</f>
        <v>Si</v>
      </c>
      <c r="Z263" s="45" t="str">
        <f>IFERROR(__xludf.DUMMYFUNCTION("""COMPUTED_VALUE"""),"Acepto")</f>
        <v>Acepto</v>
      </c>
      <c r="AA263" s="45" t="str">
        <f>IFERROR(__xludf.DUMMYFUNCTION("""COMPUTED_VALUE"""),"Terminado")</f>
        <v>Terminado</v>
      </c>
      <c r="AB263" s="45">
        <f>IFERROR(__xludf.DUMMYFUNCTION("""COMPUTED_VALUE"""),60000.0)</f>
        <v>60000</v>
      </c>
      <c r="AC263" s="7">
        <f>IFERROR(__xludf.DUMMYFUNCTION("""COMPUTED_VALUE"""),205099.0)</f>
        <v>205099</v>
      </c>
      <c r="AD263" s="7" t="str">
        <f>IFERROR(__xludf.DUMMYFUNCTION("""COMPUTED_VALUE"""),"TRF 30-08")</f>
        <v>TRF 30-08</v>
      </c>
      <c r="AE263" s="7" t="str">
        <f>IFERROR(__xludf.DUMMYFUNCTION("""COMPUTED_VALUE"""),"OK")</f>
        <v>OK</v>
      </c>
      <c r="AF263" s="7"/>
    </row>
    <row r="264">
      <c r="A264" s="42">
        <f>IFERROR(__xludf.DUMMYFUNCTION("""COMPUTED_VALUE"""),45540.39353609954)</f>
        <v>45540.39354</v>
      </c>
      <c r="B264" s="43" t="str">
        <f>IFERROR(__xludf.DUMMYFUNCTION("""COMPUTED_VALUE"""),"Jean Lucca")</f>
        <v>Jean Lucca</v>
      </c>
      <c r="C264" s="43" t="str">
        <f>IFERROR(__xludf.DUMMYFUNCTION("""COMPUTED_VALUE"""),"Reis Demartin")</f>
        <v>Reis Demartin</v>
      </c>
      <c r="D264" s="43" t="str">
        <f>IFERROR(__xludf.DUMMYFUNCTION("""COMPUTED_VALUE"""),"Martínez")</f>
        <v>Martínez</v>
      </c>
      <c r="E264" s="45" t="str">
        <f>IFERROR(__xludf.DUMMYFUNCTION("""COMPUTED_VALUE"""),"ARG")</f>
        <v>ARG</v>
      </c>
      <c r="F264" s="45">
        <f>IFERROR(__xludf.DUMMYFUNCTION("""COMPUTED_VALUE"""),5.0610292E7)</f>
        <v>50610292</v>
      </c>
      <c r="G264" s="44">
        <f>IFERROR(__xludf.DUMMYFUNCTION("""COMPUTED_VALUE"""),40551.0)</f>
        <v>40551</v>
      </c>
      <c r="H264" s="45">
        <f>IFERROR(__xludf.DUMMYFUNCTION("""COMPUTED_VALUE"""),1.131876969E9)</f>
        <v>1131876969</v>
      </c>
      <c r="I264" s="45">
        <f>IFERROR(__xludf.DUMMYFUNCTION("""COMPUTED_VALUE"""),1.131876969E9)</f>
        <v>1131876969</v>
      </c>
      <c r="J264" s="45" t="str">
        <f>IFERROR(__xludf.DUMMYFUNCTION("""COMPUTED_VALUE"""),"rafaeldemartin@gmail.com")</f>
        <v>rafaeldemartin@gmail.com</v>
      </c>
      <c r="K264" s="45" t="str">
        <f>IFERROR(__xludf.DUMMYFUNCTION("""COMPUTED_VALUE"""),"Masculino")</f>
        <v>Masculino</v>
      </c>
      <c r="L264" s="45" t="str">
        <f>IFERROR(__xludf.DUMMYFUNCTION("""COMPUTED_VALUE"""),"CVB")</f>
        <v>CVB</v>
      </c>
      <c r="M264" s="45"/>
      <c r="N264" s="7" t="str">
        <f>IFERROR(__xludf.DUMMYFUNCTION("""COMPUTED_VALUE"""),"OPTIMIST TIMONELES")</f>
        <v>OPTIMIST TIMONELES</v>
      </c>
      <c r="O264" s="7"/>
      <c r="P264" s="7">
        <f>IFERROR(__xludf.DUMMYFUNCTION("""COMPUTED_VALUE"""),3627.0)</f>
        <v>3627</v>
      </c>
      <c r="Q264" s="45"/>
      <c r="R264" s="45"/>
      <c r="S264" s="45"/>
      <c r="T264" s="45"/>
      <c r="U264" s="45"/>
      <c r="V264" s="45"/>
      <c r="W264" s="45"/>
      <c r="X264" s="47">
        <f>IFERROR(__xludf.DUMMYFUNCTION("""COMPUTED_VALUE"""),6.0841875604E10)</f>
        <v>60841875604</v>
      </c>
      <c r="Y264" s="7" t="str">
        <f>IFERROR(__xludf.DUMMYFUNCTION("""COMPUTED_VALUE"""),"Si")</f>
        <v>Si</v>
      </c>
      <c r="Z264" s="45" t="str">
        <f>IFERROR(__xludf.DUMMYFUNCTION("""COMPUTED_VALUE"""),"Acepto")</f>
        <v>Acepto</v>
      </c>
      <c r="AA264" s="45" t="str">
        <f>IFERROR(__xludf.DUMMYFUNCTION("""COMPUTED_VALUE"""),"Terminado")</f>
        <v>Terminado</v>
      </c>
      <c r="AB264" s="45">
        <f>IFERROR(__xludf.DUMMYFUNCTION("""COMPUTED_VALUE"""),50000.0)</f>
        <v>50000</v>
      </c>
      <c r="AC264" s="7">
        <f>IFERROR(__xludf.DUMMYFUNCTION("""COMPUTED_VALUE"""),205480.0)</f>
        <v>205480</v>
      </c>
      <c r="AD264" s="7" t="str">
        <f>IFERROR(__xludf.DUMMYFUNCTION("""COMPUTED_VALUE"""),"TRF 05-09")</f>
        <v>TRF 05-09</v>
      </c>
      <c r="AE264" s="7" t="str">
        <f>IFERROR(__xludf.DUMMYFUNCTION("""COMPUTED_VALUE"""),"OK")</f>
        <v>OK</v>
      </c>
      <c r="AF264" s="7" t="str">
        <f>IFERROR(__xludf.DUMMYFUNCTION("""COMPUTED_VALUE"""),"SI")</f>
        <v>SI</v>
      </c>
    </row>
    <row r="265">
      <c r="A265" s="42">
        <f>IFERROR(__xludf.DUMMYFUNCTION("""COMPUTED_VALUE"""),45533.3230571875)</f>
        <v>45533.32306</v>
      </c>
      <c r="B265" s="43" t="str">
        <f>IFERROR(__xludf.DUMMYFUNCTION("""COMPUTED_VALUE"""),"Eduardo ")</f>
        <v>Eduardo </v>
      </c>
      <c r="C265" s="43" t="str">
        <f>IFERROR(__xludf.DUMMYFUNCTION("""COMPUTED_VALUE"""),"Riancho ")</f>
        <v>Riancho </v>
      </c>
      <c r="D265" s="43" t="str">
        <f>IFERROR(__xludf.DUMMYFUNCTION("""COMPUTED_VALUE"""),"Caba")</f>
        <v>Caba</v>
      </c>
      <c r="E265" s="45" t="str">
        <f>IFERROR(__xludf.DUMMYFUNCTION("""COMPUTED_VALUE"""),"ARG")</f>
        <v>ARG</v>
      </c>
      <c r="F265" s="45">
        <f>IFERROR(__xludf.DUMMYFUNCTION("""COMPUTED_VALUE"""),1.7802518E7)</f>
        <v>17802518</v>
      </c>
      <c r="G265" s="44">
        <f>IFERROR(__xludf.DUMMYFUNCTION("""COMPUTED_VALUE"""),45520.0)</f>
        <v>45520</v>
      </c>
      <c r="H265" s="45">
        <f>IFERROR(__xludf.DUMMYFUNCTION("""COMPUTED_VALUE"""),1.149799352E9)</f>
        <v>1149799352</v>
      </c>
      <c r="I265" s="45"/>
      <c r="J265" s="45" t="str">
        <f>IFERROR(__xludf.DUMMYFUNCTION("""COMPUTED_VALUE"""),"eduriancho@yahoo.com.ar")</f>
        <v>eduriancho@yahoo.com.ar</v>
      </c>
      <c r="K265" s="45" t="str">
        <f>IFERROR(__xludf.DUMMYFUNCTION("""COMPUTED_VALUE"""),"Masculino")</f>
        <v>Masculino</v>
      </c>
      <c r="L265" s="45" t="str">
        <f>IFERROR(__xludf.DUMMYFUNCTION("""COMPUTED_VALUE"""),"CPNLB")</f>
        <v>CPNLB</v>
      </c>
      <c r="M265" s="45"/>
      <c r="N265" s="7" t="str">
        <f>IFERROR(__xludf.DUMMYFUNCTION("""COMPUTED_VALUE"""),"GRUMETE")</f>
        <v>GRUMETE</v>
      </c>
      <c r="O265" s="7"/>
      <c r="P265" s="7">
        <f>IFERROR(__xludf.DUMMYFUNCTION("""COMPUTED_VALUE"""),89.0)</f>
        <v>89</v>
      </c>
      <c r="Q265" s="45" t="str">
        <f>IFERROR(__xludf.DUMMYFUNCTION("""COMPUTED_VALUE"""),"Lince")</f>
        <v>Lince</v>
      </c>
      <c r="R265" s="45"/>
      <c r="S265" s="45"/>
      <c r="T265" s="45"/>
      <c r="U265" s="45"/>
      <c r="V265" s="45"/>
      <c r="W265" s="45"/>
      <c r="X265" s="47"/>
      <c r="Y265" s="7" t="str">
        <f>IFERROR(__xludf.DUMMYFUNCTION("""COMPUTED_VALUE"""),"No")</f>
        <v>No</v>
      </c>
      <c r="Z265" s="45" t="str">
        <f>IFERROR(__xludf.DUMMYFUNCTION("""COMPUTED_VALUE"""),"Acepto")</f>
        <v>Acepto</v>
      </c>
      <c r="AA265" s="45" t="str">
        <f>IFERROR(__xludf.DUMMYFUNCTION("""COMPUTED_VALUE"""),"Terminado")</f>
        <v>Terminado</v>
      </c>
      <c r="AB265" s="45">
        <f>IFERROR(__xludf.DUMMYFUNCTION("""COMPUTED_VALUE"""),50000.0)</f>
        <v>50000</v>
      </c>
      <c r="AC265" s="7">
        <f>IFERROR(__xludf.DUMMYFUNCTION("""COMPUTED_VALUE"""),205517.0)</f>
        <v>205517</v>
      </c>
      <c r="AD265" s="7" t="str">
        <f>IFERROR(__xludf.DUMMYFUNCTION("""COMPUTED_VALUE"""),"TRF 05-09")</f>
        <v>TRF 05-09</v>
      </c>
      <c r="AE265" s="7" t="str">
        <f>IFERROR(__xludf.DUMMYFUNCTION("""COMPUTED_VALUE"""),"No Corresp")</f>
        <v>No Corresp</v>
      </c>
      <c r="AF265" s="7"/>
    </row>
    <row r="266">
      <c r="A266" s="42">
        <f>IFERROR(__xludf.DUMMYFUNCTION("""COMPUTED_VALUE"""),45535.71148644676)</f>
        <v>45535.71149</v>
      </c>
      <c r="B266" s="43" t="str">
        <f>IFERROR(__xludf.DUMMYFUNCTION("""COMPUTED_VALUE"""),"Juan Cruz")</f>
        <v>Juan Cruz</v>
      </c>
      <c r="C266" s="43" t="str">
        <f>IFERROR(__xludf.DUMMYFUNCTION("""COMPUTED_VALUE"""),"Ricciardi")</f>
        <v>Ricciardi</v>
      </c>
      <c r="D266" s="43" t="str">
        <f>IFERROR(__xludf.DUMMYFUNCTION("""COMPUTED_VALUE"""),"Puerto Madryn")</f>
        <v>Puerto Madryn</v>
      </c>
      <c r="E266" s="45" t="str">
        <f>IFERROR(__xludf.DUMMYFUNCTION("""COMPUTED_VALUE"""),"ARG")</f>
        <v>ARG</v>
      </c>
      <c r="F266" s="45">
        <f>IFERROR(__xludf.DUMMYFUNCTION("""COMPUTED_VALUE"""),5.2650256E7)</f>
        <v>52650256</v>
      </c>
      <c r="G266" s="44">
        <f>IFERROR(__xludf.DUMMYFUNCTION("""COMPUTED_VALUE"""),41269.0)</f>
        <v>41269</v>
      </c>
      <c r="H266" s="45">
        <f>IFERROR(__xludf.DUMMYFUNCTION("""COMPUTED_VALUE"""),2.804669491E9)</f>
        <v>2804669491</v>
      </c>
      <c r="I266" s="45">
        <f>IFERROR(__xludf.DUMMYFUNCTION("""COMPUTED_VALUE"""),2.804602408E9)</f>
        <v>2804602408</v>
      </c>
      <c r="J266" s="45" t="str">
        <f>IFERROR(__xludf.DUMMYFUNCTION("""COMPUTED_VALUE"""),"marcosricciardi.patagonia@gmail.com")</f>
        <v>marcosricciardi.patagonia@gmail.com</v>
      </c>
      <c r="K266" s="45" t="str">
        <f>IFERROR(__xludf.DUMMYFUNCTION("""COMPUTED_VALUE"""),"Masculino")</f>
        <v>Masculino</v>
      </c>
      <c r="L266" s="45" t="str">
        <f>IFERROR(__xludf.DUMMYFUNCTION("""COMPUTED_VALUE"""),"CNAS")</f>
        <v>CNAS</v>
      </c>
      <c r="M266" s="45" t="str">
        <f>IFERROR(__xludf.DUMMYFUNCTION("""COMPUTED_VALUE"""),"Interior (Optimist)")</f>
        <v>Interior (Optimist)</v>
      </c>
      <c r="N266" s="7" t="str">
        <f>IFERROR(__xludf.DUMMYFUNCTION("""COMPUTED_VALUE"""),"OPTIMIST TIMONELES")</f>
        <v>OPTIMIST TIMONELES</v>
      </c>
      <c r="O266" s="7"/>
      <c r="P266" s="7">
        <f>IFERROR(__xludf.DUMMYFUNCTION("""COMPUTED_VALUE"""),4059.0)</f>
        <v>4059</v>
      </c>
      <c r="Q266" s="45" t="str">
        <f>IFERROR(__xludf.DUMMYFUNCTION("""COMPUTED_VALUE"""),"Poroto")</f>
        <v>Poroto</v>
      </c>
      <c r="R266" s="45"/>
      <c r="S266" s="45"/>
      <c r="T266" s="45"/>
      <c r="U266" s="45"/>
      <c r="V266" s="45"/>
      <c r="W266" s="45"/>
      <c r="X266" s="47" t="str">
        <f>IFERROR(__xludf.DUMMYFUNCTION("""COMPUTED_VALUE"""),"OSDE 61072813902")</f>
        <v>OSDE 61072813902</v>
      </c>
      <c r="Y266" s="7" t="str">
        <f>IFERROR(__xludf.DUMMYFUNCTION("""COMPUTED_VALUE"""),"Si")</f>
        <v>Si</v>
      </c>
      <c r="Z266" s="45" t="str">
        <f>IFERROR(__xludf.DUMMYFUNCTION("""COMPUTED_VALUE"""),"Acepto")</f>
        <v>Acepto</v>
      </c>
      <c r="AA266" s="45" t="str">
        <f>IFERROR(__xludf.DUMMYFUNCTION("""COMPUTED_VALUE"""),"Terminado")</f>
        <v>Terminado</v>
      </c>
      <c r="AB266" s="45">
        <f>IFERROR(__xludf.DUMMYFUNCTION("""COMPUTED_VALUE"""),42500.0)</f>
        <v>42500</v>
      </c>
      <c r="AC266" s="7">
        <f>IFERROR(__xludf.DUMMYFUNCTION("""COMPUTED_VALUE"""),205369.0)</f>
        <v>205369</v>
      </c>
      <c r="AD266" s="7" t="str">
        <f>IFERROR(__xludf.DUMMYFUNCTION("""COMPUTED_VALUE"""),"TRF 02-09")</f>
        <v>TRF 02-09</v>
      </c>
      <c r="AE266" s="7" t="str">
        <f>IFERROR(__xludf.DUMMYFUNCTION("""COMPUTED_VALUE"""),"OK")</f>
        <v>OK</v>
      </c>
      <c r="AF266" s="7"/>
    </row>
    <row r="267">
      <c r="A267" s="42">
        <f>IFERROR(__xludf.DUMMYFUNCTION("""COMPUTED_VALUE"""),45540.66595434028)</f>
        <v>45540.66595</v>
      </c>
      <c r="B267" s="43" t="str">
        <f>IFERROR(__xludf.DUMMYFUNCTION("""COMPUTED_VALUE"""),"Roberto")</f>
        <v>Roberto</v>
      </c>
      <c r="C267" s="43" t="str">
        <f>IFERROR(__xludf.DUMMYFUNCTION("""COMPUTED_VALUE"""),"Ricoveri")</f>
        <v>Ricoveri</v>
      </c>
      <c r="D267" s="43" t="str">
        <f>IFERROR(__xludf.DUMMYFUNCTION("""COMPUTED_VALUE"""),"caba")</f>
        <v>caba</v>
      </c>
      <c r="E267" s="45" t="str">
        <f>IFERROR(__xludf.DUMMYFUNCTION("""COMPUTED_VALUE"""),"ARG")</f>
        <v>ARG</v>
      </c>
      <c r="F267" s="45">
        <f>IFERROR(__xludf.DUMMYFUNCTION("""COMPUTED_VALUE"""),1.3924228E7)</f>
        <v>13924228</v>
      </c>
      <c r="G267" s="44">
        <f>IFERROR(__xludf.DUMMYFUNCTION("""COMPUTED_VALUE"""),21610.0)</f>
        <v>21610</v>
      </c>
      <c r="H267" s="45">
        <f>IFERROR(__xludf.DUMMYFUNCTION("""COMPUTED_VALUE"""),1.131247997E9)</f>
        <v>1131247997</v>
      </c>
      <c r="I267" s="45"/>
      <c r="J267" s="45" t="str">
        <f>IFERROR(__xludf.DUMMYFUNCTION("""COMPUTED_VALUE"""),"robertoricoveri@hotmail.com")</f>
        <v>robertoricoveri@hotmail.com</v>
      </c>
      <c r="K267" s="45" t="str">
        <f>IFERROR(__xludf.DUMMYFUNCTION("""COMPUTED_VALUE"""),"Masculino")</f>
        <v>Masculino</v>
      </c>
      <c r="L267" s="45" t="str">
        <f>IFERROR(__xludf.DUMMYFUNCTION("""COMPUTED_VALUE"""),"CUBA")</f>
        <v>CUBA</v>
      </c>
      <c r="M267" s="45"/>
      <c r="N267" s="7" t="str">
        <f>IFERROR(__xludf.DUMMYFUNCTION("""COMPUTED_VALUE"""),"GRUMETE")</f>
        <v>GRUMETE</v>
      </c>
      <c r="O267" s="7"/>
      <c r="P267" s="7">
        <f>IFERROR(__xludf.DUMMYFUNCTION("""COMPUTED_VALUE"""),300.0)</f>
        <v>300</v>
      </c>
      <c r="Q267" s="45" t="str">
        <f>IFERROR(__xludf.DUMMYFUNCTION("""COMPUTED_VALUE"""),"Antares")</f>
        <v>Antares</v>
      </c>
      <c r="R267" s="45" t="str">
        <f>IFERROR(__xludf.DUMMYFUNCTION("""COMPUTED_VALUE"""),"Jaime Bejarano")</f>
        <v>Jaime Bejarano</v>
      </c>
      <c r="S267" s="45" t="str">
        <f>IFERROR(__xludf.DUMMYFUNCTION("""COMPUTED_VALUE"""),"Verena Zagni")</f>
        <v>Verena Zagni</v>
      </c>
      <c r="T267" s="45"/>
      <c r="U267" s="45"/>
      <c r="V267" s="45"/>
      <c r="W267" s="45"/>
      <c r="X267" s="47" t="str">
        <f>IFERROR(__xludf.DUMMYFUNCTION("""COMPUTED_VALUE"""),"Galeno")</f>
        <v>Galeno</v>
      </c>
      <c r="Y267" s="7" t="str">
        <f>IFERROR(__xludf.DUMMYFUNCTION("""COMPUTED_VALUE"""),"No")</f>
        <v>No</v>
      </c>
      <c r="Z267" s="45" t="str">
        <f>IFERROR(__xludf.DUMMYFUNCTION("""COMPUTED_VALUE"""),"Acepto")</f>
        <v>Acepto</v>
      </c>
      <c r="AA267" s="45" t="str">
        <f>IFERROR(__xludf.DUMMYFUNCTION("""COMPUTED_VALUE"""),"Terminado")</f>
        <v>Terminado</v>
      </c>
      <c r="AB267" s="45">
        <f>IFERROR(__xludf.DUMMYFUNCTION("""COMPUTED_VALUE"""),60000.0)</f>
        <v>60000</v>
      </c>
      <c r="AC267" s="7">
        <f>IFERROR(__xludf.DUMMYFUNCTION("""COMPUTED_VALUE"""),205485.0)</f>
        <v>205485</v>
      </c>
      <c r="AD267" s="7" t="str">
        <f>IFERROR(__xludf.DUMMYFUNCTION("""COMPUTED_VALUE"""),"TRF 05-09")</f>
        <v>TRF 05-09</v>
      </c>
      <c r="AE267" s="7" t="str">
        <f>IFERROR(__xludf.DUMMYFUNCTION("""COMPUTED_VALUE"""),"No Corresp")</f>
        <v>No Corresp</v>
      </c>
      <c r="AF267" s="7"/>
    </row>
    <row r="268">
      <c r="A268" s="42">
        <f>IFERROR(__xludf.DUMMYFUNCTION("""COMPUTED_VALUE"""),45519.73089712963)</f>
        <v>45519.7309</v>
      </c>
      <c r="B268" s="43" t="str">
        <f>IFERROR(__xludf.DUMMYFUNCTION("""COMPUTED_VALUE"""),"Santiago")</f>
        <v>Santiago</v>
      </c>
      <c r="C268" s="43" t="str">
        <f>IFERROR(__xludf.DUMMYFUNCTION("""COMPUTED_VALUE"""),"Rigoni")</f>
        <v>Rigoni</v>
      </c>
      <c r="D268" s="43" t="str">
        <f>IFERROR(__xludf.DUMMYFUNCTION("""COMPUTED_VALUE"""),"Buenos aires ")</f>
        <v>Buenos aires </v>
      </c>
      <c r="E268" s="45" t="str">
        <f>IFERROR(__xludf.DUMMYFUNCTION("""COMPUTED_VALUE"""),"ARG")</f>
        <v>ARG</v>
      </c>
      <c r="F268" s="45">
        <f>IFERROR(__xludf.DUMMYFUNCTION("""COMPUTED_VALUE"""),3.6728927E7)</f>
        <v>36728927</v>
      </c>
      <c r="G268" s="44">
        <f>IFERROR(__xludf.DUMMYFUNCTION("""COMPUTED_VALUE"""),33659.0)</f>
        <v>33659</v>
      </c>
      <c r="H268" s="45">
        <f>IFERROR(__xludf.DUMMYFUNCTION("""COMPUTED_VALUE"""),1.161454936E9)</f>
        <v>1161454936</v>
      </c>
      <c r="I268" s="45"/>
      <c r="J268" s="45" t="str">
        <f>IFERROR(__xludf.DUMMYFUNCTION("""COMPUTED_VALUE"""),"santirigoni@gmail.com")</f>
        <v>santirigoni@gmail.com</v>
      </c>
      <c r="K268" s="45" t="str">
        <f>IFERROR(__xludf.DUMMYFUNCTION("""COMPUTED_VALUE"""),"Masculino")</f>
        <v>Masculino</v>
      </c>
      <c r="L268" s="45" t="str">
        <f>IFERROR(__xludf.DUMMYFUNCTION("""COMPUTED_VALUE"""),"CUBA")</f>
        <v>CUBA</v>
      </c>
      <c r="M268" s="45"/>
      <c r="N268" s="7" t="str">
        <f>IFERROR(__xludf.DUMMYFUNCTION("""COMPUTED_VALUE"""),"WING FOIL")</f>
        <v>WING FOIL</v>
      </c>
      <c r="O268" s="7"/>
      <c r="P268" s="7" t="str">
        <f>IFERROR(__xludf.DUMMYFUNCTION("""COMPUTED_VALUE"""),"03")</f>
        <v>03</v>
      </c>
      <c r="Q268" s="45"/>
      <c r="R268" s="45"/>
      <c r="S268" s="45"/>
      <c r="T268" s="45"/>
      <c r="U268" s="45"/>
      <c r="V268" s="45"/>
      <c r="W268" s="45"/>
      <c r="X268" s="47" t="str">
        <f>IFERROR(__xludf.DUMMYFUNCTION("""COMPUTED_VALUE"""),"Dosuba")</f>
        <v>Dosuba</v>
      </c>
      <c r="Y268" s="7" t="str">
        <f>IFERROR(__xludf.DUMMYFUNCTION("""COMPUTED_VALUE"""),"No")</f>
        <v>No</v>
      </c>
      <c r="Z268" s="45" t="str">
        <f>IFERROR(__xludf.DUMMYFUNCTION("""COMPUTED_VALUE"""),"Acepto")</f>
        <v>Acepto</v>
      </c>
      <c r="AA268" s="45" t="str">
        <f>IFERROR(__xludf.DUMMYFUNCTION("""COMPUTED_VALUE"""),"Pendiente")</f>
        <v>Pendiente</v>
      </c>
      <c r="AB268" s="45"/>
      <c r="AC268" s="7"/>
      <c r="AD268" s="7"/>
      <c r="AE268" s="7" t="str">
        <f>IFERROR(__xludf.DUMMYFUNCTION("""COMPUTED_VALUE"""),"No Corresp")</f>
        <v>No Corresp</v>
      </c>
      <c r="AF268" s="7"/>
    </row>
    <row r="269">
      <c r="A269" s="42">
        <f>IFERROR(__xludf.DUMMYFUNCTION("""COMPUTED_VALUE"""),45535.47457320602)</f>
        <v>45535.47457</v>
      </c>
      <c r="B269" s="43" t="str">
        <f>IFERROR(__xludf.DUMMYFUNCTION("""COMPUTED_VALUE"""),"Ignacio ")</f>
        <v>Ignacio </v>
      </c>
      <c r="C269" s="43" t="str">
        <f>IFERROR(__xludf.DUMMYFUNCTION("""COMPUTED_VALUE"""),"Rodriguez")</f>
        <v>Rodriguez</v>
      </c>
      <c r="D269" s="43" t="str">
        <f>IFERROR(__xludf.DUMMYFUNCTION("""COMPUTED_VALUE"""),"Montevideo")</f>
        <v>Montevideo</v>
      </c>
      <c r="E269" s="45" t="str">
        <f>IFERROR(__xludf.DUMMYFUNCTION("""COMPUTED_VALUE"""),"URU")</f>
        <v>URU</v>
      </c>
      <c r="F269" s="45">
        <f>IFERROR(__xludf.DUMMYFUNCTION("""COMPUTED_VALUE"""),4.9507645E7)</f>
        <v>49507645</v>
      </c>
      <c r="G269" s="44">
        <f>IFERROR(__xludf.DUMMYFUNCTION("""COMPUTED_VALUE"""),35476.0)</f>
        <v>35476</v>
      </c>
      <c r="H269" s="45" t="str">
        <f>IFERROR(__xludf.DUMMYFUNCTION("""COMPUTED_VALUE"""),"0059899127317")</f>
        <v>0059899127317</v>
      </c>
      <c r="I269" s="45" t="str">
        <f>IFERROR(__xludf.DUMMYFUNCTION("""COMPUTED_VALUE"""),"0059899668494")</f>
        <v>0059899668494</v>
      </c>
      <c r="J269" s="45" t="str">
        <f>IFERROR(__xludf.DUMMYFUNCTION("""COMPUTED_VALUE"""),"daniel@guayaqui.com.uy")</f>
        <v>daniel@guayaqui.com.uy</v>
      </c>
      <c r="K269" s="45" t="str">
        <f>IFERROR(__xludf.DUMMYFUNCTION("""COMPUTED_VALUE"""),"Masculino")</f>
        <v>Masculino</v>
      </c>
      <c r="L269" s="45" t="str">
        <f>IFERROR(__xludf.DUMMYFUNCTION("""COMPUTED_VALUE"""),"YCU")</f>
        <v>YCU</v>
      </c>
      <c r="M269" s="45" t="str">
        <f>IFERROR(__xludf.DUMMYFUNCTION("""COMPUTED_VALUE"""),"snipe mixto")</f>
        <v>snipe mixto</v>
      </c>
      <c r="N269" s="7" t="str">
        <f>IFERROR(__xludf.DUMMYFUNCTION("""COMPUTED_VALUE"""),"SNIPE")</f>
        <v>SNIPE</v>
      </c>
      <c r="O269" s="7"/>
      <c r="P269" s="7" t="str">
        <f>IFERROR(__xludf.DUMMYFUNCTION("""COMPUTED_VALUE"""),"URU 29785")</f>
        <v>URU 29785</v>
      </c>
      <c r="Q269" s="45"/>
      <c r="R269" s="45" t="str">
        <f>IFERROR(__xludf.DUMMYFUNCTION("""COMPUTED_VALUE"""),"Carolina Rodriguez")</f>
        <v>Carolina Rodriguez</v>
      </c>
      <c r="S269" s="45"/>
      <c r="T269" s="45"/>
      <c r="U269" s="45"/>
      <c r="V269" s="45"/>
      <c r="W269" s="45"/>
      <c r="X269" s="47" t="str">
        <f>IFERROR(__xludf.DUMMYFUNCTION("""COMPUTED_VALUE"""),"Medicina Personalizada Uruguay 49507645/49508417 ")</f>
        <v>Medicina Personalizada Uruguay 49507645/49508417 </v>
      </c>
      <c r="Y269" s="7" t="str">
        <f>IFERROR(__xludf.DUMMYFUNCTION("""COMPUTED_VALUE"""),"Si")</f>
        <v>Si</v>
      </c>
      <c r="Z269" s="45" t="str">
        <f>IFERROR(__xludf.DUMMYFUNCTION("""COMPUTED_VALUE"""),"Acepto")</f>
        <v>Acepto</v>
      </c>
      <c r="AA269" s="45" t="str">
        <f>IFERROR(__xludf.DUMMYFUNCTION("""COMPUTED_VALUE"""),"Pendiente")</f>
        <v>Pendiente</v>
      </c>
      <c r="AB269" s="45"/>
      <c r="AC269" s="7"/>
      <c r="AD269" s="7"/>
      <c r="AE269" s="7" t="str">
        <f>IFERROR(__xludf.DUMMYFUNCTION("""COMPUTED_VALUE"""),"No Corresp")</f>
        <v>No Corresp</v>
      </c>
      <c r="AF269" s="7"/>
    </row>
    <row r="270">
      <c r="A270" s="42">
        <f>IFERROR(__xludf.DUMMYFUNCTION("""COMPUTED_VALUE"""),45535.49352118056)</f>
        <v>45535.49352</v>
      </c>
      <c r="B270" s="43" t="str">
        <f>IFERROR(__xludf.DUMMYFUNCTION("""COMPUTED_VALUE"""),"Pedro")</f>
        <v>Pedro</v>
      </c>
      <c r="C270" s="43" t="str">
        <f>IFERROR(__xludf.DUMMYFUNCTION("""COMPUTED_VALUE"""),"Rodriguez Reynoso")</f>
        <v>Rodriguez Reynoso</v>
      </c>
      <c r="D270" s="43" t="str">
        <f>IFERROR(__xludf.DUMMYFUNCTION("""COMPUTED_VALUE"""),"Buenos aires")</f>
        <v>Buenos aires</v>
      </c>
      <c r="E270" s="45" t="str">
        <f>IFERROR(__xludf.DUMMYFUNCTION("""COMPUTED_VALUE"""),"ARG")</f>
        <v>ARG</v>
      </c>
      <c r="F270" s="45">
        <f>IFERROR(__xludf.DUMMYFUNCTION("""COMPUTED_VALUE"""),4.7436764E7)</f>
        <v>47436764</v>
      </c>
      <c r="G270" s="44">
        <f>IFERROR(__xludf.DUMMYFUNCTION("""COMPUTED_VALUE"""),38945.0)</f>
        <v>38945</v>
      </c>
      <c r="H270" s="45">
        <f>IFERROR(__xludf.DUMMYFUNCTION("""COMPUTED_VALUE"""),1.159460039E9)</f>
        <v>1159460039</v>
      </c>
      <c r="I270" s="45">
        <f>IFERROR(__xludf.DUMMYFUNCTION("""COMPUTED_VALUE"""),1.151832001E9)</f>
        <v>1151832001</v>
      </c>
      <c r="J270" s="45" t="str">
        <f>IFERROR(__xludf.DUMMYFUNCTION("""COMPUTED_VALUE"""),"pedrorodriguezreynoso54@gmail.com")</f>
        <v>pedrorodriguezreynoso54@gmail.com</v>
      </c>
      <c r="K270" s="45" t="str">
        <f>IFERROR(__xludf.DUMMYFUNCTION("""COMPUTED_VALUE"""),"Masculino")</f>
        <v>Masculino</v>
      </c>
      <c r="L270" s="45" t="str">
        <f>IFERROR(__xludf.DUMMYFUNCTION("""COMPUTED_VALUE"""),"CNO")</f>
        <v>CNO</v>
      </c>
      <c r="M270" s="45" t="str">
        <f>IFERROR(__xludf.DUMMYFUNCTION("""COMPUTED_VALUE"""),"U21")</f>
        <v>U21</v>
      </c>
      <c r="N270" s="7" t="str">
        <f>IFERROR(__xludf.DUMMYFUNCTION("""COMPUTED_VALUE"""),"ILCA 7")</f>
        <v>ILCA 7</v>
      </c>
      <c r="O270" s="7" t="str">
        <f>IFERROR(__xludf.DUMMYFUNCTION("""COMPUTED_VALUE"""),".")</f>
        <v>.</v>
      </c>
      <c r="P270" s="7">
        <f>IFERROR(__xludf.DUMMYFUNCTION("""COMPUTED_VALUE"""),219355.0)</f>
        <v>219355</v>
      </c>
      <c r="Q270" s="45" t="str">
        <f>IFERROR(__xludf.DUMMYFUNCTION("""COMPUTED_VALUE"""),"Cruz diablo")</f>
        <v>Cruz diablo</v>
      </c>
      <c r="R270" s="45"/>
      <c r="S270" s="45"/>
      <c r="T270" s="45"/>
      <c r="U270" s="45"/>
      <c r="V270" s="45"/>
      <c r="W270" s="45"/>
      <c r="X270" s="47" t="str">
        <f>IFERROR(__xludf.DUMMYFUNCTION("""COMPUTED_VALUE"""),"Swiss medical")</f>
        <v>Swiss medical</v>
      </c>
      <c r="Y270" s="7" t="str">
        <f>IFERROR(__xludf.DUMMYFUNCTION("""COMPUTED_VALUE"""),"No")</f>
        <v>No</v>
      </c>
      <c r="Z270" s="45" t="str">
        <f>IFERROR(__xludf.DUMMYFUNCTION("""COMPUTED_VALUE"""),"Acepto")</f>
        <v>Acepto</v>
      </c>
      <c r="AA270" s="45" t="str">
        <f>IFERROR(__xludf.DUMMYFUNCTION("""COMPUTED_VALUE"""),"Terminado")</f>
        <v>Terminado</v>
      </c>
      <c r="AB270" s="45">
        <f>IFERROR(__xludf.DUMMYFUNCTION("""COMPUTED_VALUE"""),45000.0)</f>
        <v>45000</v>
      </c>
      <c r="AC270" s="7">
        <f>IFERROR(__xludf.DUMMYFUNCTION("""COMPUTED_VALUE"""),205642.0)</f>
        <v>205642</v>
      </c>
      <c r="AD270" s="7" t="str">
        <f>IFERROR(__xludf.DUMMYFUNCTION("""COMPUTED_VALUE"""),"TRF 10-09")</f>
        <v>TRF 10-09</v>
      </c>
      <c r="AE270" s="7" t="str">
        <f>IFERROR(__xludf.DUMMYFUNCTION("""COMPUTED_VALUE"""),"No Corresp")</f>
        <v>No Corresp</v>
      </c>
      <c r="AF270" s="7"/>
    </row>
    <row r="271">
      <c r="A271" s="42">
        <f>IFERROR(__xludf.DUMMYFUNCTION("""COMPUTED_VALUE"""),45534.73083231482)</f>
        <v>45534.73083</v>
      </c>
      <c r="B271" s="43" t="str">
        <f>IFERROR(__xludf.DUMMYFUNCTION("""COMPUTED_VALUE"""),"Pelado ")</f>
        <v>Pelado </v>
      </c>
      <c r="C271" s="43" t="str">
        <f>IFERROR(__xludf.DUMMYFUNCTION("""COMPUTED_VALUE"""),"Roldán ")</f>
        <v>Roldán </v>
      </c>
      <c r="D271" s="43" t="str">
        <f>IFERROR(__xludf.DUMMYFUNCTION("""COMPUTED_VALUE"""),"SAN ISIDRO - SAN ISIDRO")</f>
        <v>SAN ISIDRO - SAN ISIDRO</v>
      </c>
      <c r="E271" s="45" t="str">
        <f>IFERROR(__xludf.DUMMYFUNCTION("""COMPUTED_VALUE"""),"ARG")</f>
        <v>ARG</v>
      </c>
      <c r="F271" s="45">
        <f>IFERROR(__xludf.DUMMYFUNCTION("""COMPUTED_VALUE"""),4.121373E7)</f>
        <v>41213730</v>
      </c>
      <c r="G271" s="44">
        <f>IFERROR(__xludf.DUMMYFUNCTION("""COMPUTED_VALUE"""),35993.0)</f>
        <v>35993</v>
      </c>
      <c r="H271" s="45">
        <f>IFERROR(__xludf.DUMMYFUNCTION("""COMPUTED_VALUE"""),1.153082589E9)</f>
        <v>1153082589</v>
      </c>
      <c r="I271" s="45"/>
      <c r="J271" s="45" t="str">
        <f>IFERROR(__xludf.DUMMYFUNCTION("""COMPUTED_VALUE"""),"roldanmatu@gmail.com")</f>
        <v>roldanmatu@gmail.com</v>
      </c>
      <c r="K271" s="45" t="str">
        <f>IFERROR(__xludf.DUMMYFUNCTION("""COMPUTED_VALUE"""),"Masculino")</f>
        <v>Masculino</v>
      </c>
      <c r="L271" s="45" t="str">
        <f>IFERROR(__xludf.DUMMYFUNCTION("""COMPUTED_VALUE"""),"CNSI ")</f>
        <v>CNSI </v>
      </c>
      <c r="M271" s="45"/>
      <c r="N271" s="7">
        <f>IFERROR(__xludf.DUMMYFUNCTION("""COMPUTED_VALUE"""),420.0)</f>
        <v>420</v>
      </c>
      <c r="O271" s="7">
        <f>IFERROR(__xludf.DUMMYFUNCTION("""COMPUTED_VALUE"""),89.0)</f>
        <v>89</v>
      </c>
      <c r="P271" s="7">
        <f>IFERROR(__xludf.DUMMYFUNCTION("""COMPUTED_VALUE"""),52651.0)</f>
        <v>52651</v>
      </c>
      <c r="Q271" s="45" t="str">
        <f>IFERROR(__xludf.DUMMYFUNCTION("""COMPUTED_VALUE"""),"La rata")</f>
        <v>La rata</v>
      </c>
      <c r="R271" s="45" t="str">
        <f>IFERROR(__xludf.DUMMYFUNCTION("""COMPUTED_VALUE"""),"Indigo")</f>
        <v>Indigo</v>
      </c>
      <c r="S271" s="45"/>
      <c r="T271" s="45"/>
      <c r="U271" s="45"/>
      <c r="V271" s="45"/>
      <c r="W271" s="45"/>
      <c r="X271" s="47"/>
      <c r="Y271" s="7" t="str">
        <f>IFERROR(__xludf.DUMMYFUNCTION("""COMPUTED_VALUE"""),"No")</f>
        <v>No</v>
      </c>
      <c r="Z271" s="45" t="str">
        <f>IFERROR(__xludf.DUMMYFUNCTION("""COMPUTED_VALUE"""),"Acepto")</f>
        <v>Acepto</v>
      </c>
      <c r="AA271" s="45" t="str">
        <f>IFERROR(__xludf.DUMMYFUNCTION("""COMPUTED_VALUE"""),"Terminado")</f>
        <v>Terminado</v>
      </c>
      <c r="AB271" s="45">
        <f>IFERROR(__xludf.DUMMYFUNCTION("""COMPUTED_VALUE"""),65000.0)</f>
        <v>65000</v>
      </c>
      <c r="AC271" s="7">
        <f>IFERROR(__xludf.DUMMYFUNCTION("""COMPUTED_VALUE"""),205544.0)</f>
        <v>205544</v>
      </c>
      <c r="AD271" s="7" t="str">
        <f>IFERROR(__xludf.DUMMYFUNCTION("""COMPUTED_VALUE"""),"TRF 06-09")</f>
        <v>TRF 06-09</v>
      </c>
      <c r="AE271" s="7" t="str">
        <f>IFERROR(__xludf.DUMMYFUNCTION("""COMPUTED_VALUE"""),"No Corresp")</f>
        <v>No Corresp</v>
      </c>
      <c r="AF271" s="7" t="str">
        <f>IFERROR(__xludf.DUMMYFUNCTION("""COMPUTED_VALUE"""),"SI")</f>
        <v>SI</v>
      </c>
    </row>
    <row r="272">
      <c r="A272" s="42">
        <f>IFERROR(__xludf.DUMMYFUNCTION("""COMPUTED_VALUE"""),45533.911565312505)</f>
        <v>45533.91157</v>
      </c>
      <c r="B272" s="43" t="str">
        <f>IFERROR(__xludf.DUMMYFUNCTION("""COMPUTED_VALUE"""),"Santino")</f>
        <v>Santino</v>
      </c>
      <c r="C272" s="43" t="str">
        <f>IFERROR(__xludf.DUMMYFUNCTION("""COMPUTED_VALUE"""),"Ronchi De croce")</f>
        <v>Ronchi De croce</v>
      </c>
      <c r="D272" s="43" t="str">
        <f>IFERROR(__xludf.DUMMYFUNCTION("""COMPUTED_VALUE"""),"Buenos aires")</f>
        <v>Buenos aires</v>
      </c>
      <c r="E272" s="45" t="str">
        <f>IFERROR(__xludf.DUMMYFUNCTION("""COMPUTED_VALUE"""),"ARG")</f>
        <v>ARG</v>
      </c>
      <c r="F272" s="45">
        <f>IFERROR(__xludf.DUMMYFUNCTION("""COMPUTED_VALUE"""),4.9422694E7)</f>
        <v>49422694</v>
      </c>
      <c r="G272" s="44">
        <f>IFERROR(__xludf.DUMMYFUNCTION("""COMPUTED_VALUE"""),40127.0)</f>
        <v>40127</v>
      </c>
      <c r="H272" s="45">
        <f>IFERROR(__xludf.DUMMYFUNCTION("""COMPUTED_VALUE"""),1.144293417E9)</f>
        <v>1144293417</v>
      </c>
      <c r="I272" s="45">
        <f>IFERROR(__xludf.DUMMYFUNCTION("""COMPUTED_VALUE"""),1.144293417E9)</f>
        <v>1144293417</v>
      </c>
      <c r="J272" s="45" t="str">
        <f>IFERROR(__xludf.DUMMYFUNCTION("""COMPUTED_VALUE"""),"andreafde@gmail.com")</f>
        <v>andreafde@gmail.com</v>
      </c>
      <c r="K272" s="45" t="str">
        <f>IFERROR(__xludf.DUMMYFUNCTION("""COMPUTED_VALUE"""),"Masculino")</f>
        <v>Masculino</v>
      </c>
      <c r="L272" s="45" t="str">
        <f>IFERROR(__xludf.DUMMYFUNCTION("""COMPUTED_VALUE"""),"YCA")</f>
        <v>YCA</v>
      </c>
      <c r="M272" s="45" t="str">
        <f>IFERROR(__xludf.DUMMYFUNCTION("""COMPUTED_VALUE"""),"Master (ILCA)")</f>
        <v>Master (ILCA)</v>
      </c>
      <c r="N272" s="7" t="str">
        <f>IFERROR(__xludf.DUMMYFUNCTION("""COMPUTED_VALUE"""),"ILCA 4")</f>
        <v>ILCA 4</v>
      </c>
      <c r="O272" s="7"/>
      <c r="P272" s="7">
        <f>IFERROR(__xludf.DUMMYFUNCTION("""COMPUTED_VALUE"""),224587.0)</f>
        <v>224587</v>
      </c>
      <c r="Q272" s="45"/>
      <c r="R272" s="45" t="str">
        <f>IFERROR(__xludf.DUMMYFUNCTION("""COMPUTED_VALUE"""),"Santino Ronchi De Croce ")</f>
        <v>Santino Ronchi De Croce </v>
      </c>
      <c r="S272" s="45"/>
      <c r="T272" s="45"/>
      <c r="U272" s="45"/>
      <c r="V272" s="45"/>
      <c r="W272" s="45"/>
      <c r="X272" s="47"/>
      <c r="Y272" s="7" t="str">
        <f>IFERROR(__xludf.DUMMYFUNCTION("""COMPUTED_VALUE"""),"No")</f>
        <v>No</v>
      </c>
      <c r="Z272" s="45" t="str">
        <f>IFERROR(__xludf.DUMMYFUNCTION("""COMPUTED_VALUE"""),"Acepto")</f>
        <v>Acepto</v>
      </c>
      <c r="AA272" s="45" t="str">
        <f>IFERROR(__xludf.DUMMYFUNCTION("""COMPUTED_VALUE"""),"Terminado")</f>
        <v>Terminado</v>
      </c>
      <c r="AB272" s="45">
        <f>IFERROR(__xludf.DUMMYFUNCTION("""COMPUTED_VALUE"""),45000.0)</f>
        <v>45000</v>
      </c>
      <c r="AC272" s="7">
        <f>IFERROR(__xludf.DUMMYFUNCTION("""COMPUTED_VALUE"""),205095.0)</f>
        <v>205095</v>
      </c>
      <c r="AD272" s="7" t="str">
        <f>IFERROR(__xludf.DUMMYFUNCTION("""COMPUTED_VALUE"""),"TRF 30-08")</f>
        <v>TRF 30-08</v>
      </c>
      <c r="AE272" s="7" t="str">
        <f>IFERROR(__xludf.DUMMYFUNCTION("""COMPUTED_VALUE"""),"OK")</f>
        <v>OK</v>
      </c>
      <c r="AF272" s="7"/>
    </row>
    <row r="273">
      <c r="A273" s="42">
        <f>IFERROR(__xludf.DUMMYFUNCTION("""COMPUTED_VALUE"""),45533.3957129051)</f>
        <v>45533.39571</v>
      </c>
      <c r="B273" s="43" t="str">
        <f>IFERROR(__xludf.DUMMYFUNCTION("""COMPUTED_VALUE"""),"Felicitas")</f>
        <v>Felicitas</v>
      </c>
      <c r="C273" s="43" t="str">
        <f>IFERROR(__xludf.DUMMYFUNCTION("""COMPUTED_VALUE"""),"Rooney")</f>
        <v>Rooney</v>
      </c>
      <c r="D273" s="43" t="str">
        <f>IFERROR(__xludf.DUMMYFUNCTION("""COMPUTED_VALUE"""),"Buenos Aires")</f>
        <v>Buenos Aires</v>
      </c>
      <c r="E273" s="45" t="str">
        <f>IFERROR(__xludf.DUMMYFUNCTION("""COMPUTED_VALUE"""),"ARG")</f>
        <v>ARG</v>
      </c>
      <c r="F273" s="45">
        <f>IFERROR(__xludf.DUMMYFUNCTION("""COMPUTED_VALUE"""),5.2951933E7)</f>
        <v>52951933</v>
      </c>
      <c r="G273" s="44">
        <f>IFERROR(__xludf.DUMMYFUNCTION("""COMPUTED_VALUE"""),41274.0)</f>
        <v>41274</v>
      </c>
      <c r="H273" s="45" t="str">
        <f>IFERROR(__xludf.DUMMYFUNCTION("""COMPUTED_VALUE"""),"011 5514 4722")</f>
        <v>011 5514 4722</v>
      </c>
      <c r="I273" s="45" t="str">
        <f>IFERROR(__xludf.DUMMYFUNCTION("""COMPUTED_VALUE"""),"011 5867 2903")</f>
        <v>011 5867 2903</v>
      </c>
      <c r="J273" s="45" t="str">
        <f>IFERROR(__xludf.DUMMYFUNCTION("""COMPUTED_VALUE"""),"julianrooney@yahoo.com")</f>
        <v>julianrooney@yahoo.com</v>
      </c>
      <c r="K273" s="45" t="str">
        <f>IFERROR(__xludf.DUMMYFUNCTION("""COMPUTED_VALUE"""),"Femenino")</f>
        <v>Femenino</v>
      </c>
      <c r="L273" s="45" t="str">
        <f>IFERROR(__xludf.DUMMYFUNCTION("""COMPUTED_VALUE"""),"CNSI")</f>
        <v>CNSI</v>
      </c>
      <c r="M273" s="45" t="str">
        <f>IFERROR(__xludf.DUMMYFUNCTION("""COMPUTED_VALUE"""),"Femenino")</f>
        <v>Femenino</v>
      </c>
      <c r="N273" s="7" t="str">
        <f>IFERROR(__xludf.DUMMYFUNCTION("""COMPUTED_VALUE"""),"OPTIMIST PRINCIPIANTES")</f>
        <v>OPTIMIST PRINCIPIANTES</v>
      </c>
      <c r="O273" s="7"/>
      <c r="P273" s="7" t="str">
        <f>IFERROR(__xludf.DUMMYFUNCTION("""COMPUTED_VALUE"""),"ARG 3954")</f>
        <v>ARG 3954</v>
      </c>
      <c r="Q273" s="45"/>
      <c r="R273" s="45"/>
      <c r="S273" s="45"/>
      <c r="T273" s="45"/>
      <c r="U273" s="45"/>
      <c r="V273" s="45"/>
      <c r="W273" s="45"/>
      <c r="X273" s="47" t="str">
        <f>IFERROR(__xludf.DUMMYFUNCTION("""COMPUTED_VALUE"""),"OSDE AZUL")</f>
        <v>OSDE AZUL</v>
      </c>
      <c r="Y273" s="7" t="str">
        <f>IFERROR(__xludf.DUMMYFUNCTION("""COMPUTED_VALUE"""),"Si")</f>
        <v>Si</v>
      </c>
      <c r="Z273" s="45" t="str">
        <f>IFERROR(__xludf.DUMMYFUNCTION("""COMPUTED_VALUE"""),"Acepto")</f>
        <v>Acepto</v>
      </c>
      <c r="AA273" s="45" t="str">
        <f>IFERROR(__xludf.DUMMYFUNCTION("""COMPUTED_VALUE"""),"Terminado")</f>
        <v>Terminado</v>
      </c>
      <c r="AB273" s="45">
        <f>IFERROR(__xludf.DUMMYFUNCTION("""COMPUTED_VALUE"""),50000.0)</f>
        <v>50000</v>
      </c>
      <c r="AC273" s="7">
        <f>IFERROR(__xludf.DUMMYFUNCTION("""COMPUTED_VALUE"""),205072.0)</f>
        <v>205072</v>
      </c>
      <c r="AD273" s="7" t="str">
        <f>IFERROR(__xludf.DUMMYFUNCTION("""COMPUTED_VALUE"""),"TRF 29-08")</f>
        <v>TRF 29-08</v>
      </c>
      <c r="AE273" s="7" t="str">
        <f>IFERROR(__xludf.DUMMYFUNCTION("""COMPUTED_VALUE"""),"OK")</f>
        <v>OK</v>
      </c>
      <c r="AF273" s="7"/>
    </row>
    <row r="274">
      <c r="A274" s="42">
        <f>IFERROR(__xludf.DUMMYFUNCTION("""COMPUTED_VALUE"""),45530.43321945602)</f>
        <v>45530.43322</v>
      </c>
      <c r="B274" s="43" t="str">
        <f>IFERROR(__xludf.DUMMYFUNCTION("""COMPUTED_VALUE"""),"Ignacio")</f>
        <v>Ignacio</v>
      </c>
      <c r="C274" s="43" t="str">
        <f>IFERROR(__xludf.DUMMYFUNCTION("""COMPUTED_VALUE"""),"Ruiz Moreno")</f>
        <v>Ruiz Moreno</v>
      </c>
      <c r="D274" s="43" t="str">
        <f>IFERROR(__xludf.DUMMYFUNCTION("""COMPUTED_VALUE"""),"Zarate")</f>
        <v>Zarate</v>
      </c>
      <c r="E274" s="45" t="str">
        <f>IFERROR(__xludf.DUMMYFUNCTION("""COMPUTED_VALUE"""),"ARG")</f>
        <v>ARG</v>
      </c>
      <c r="F274" s="45">
        <f>IFERROR(__xludf.DUMMYFUNCTION("""COMPUTED_VALUE"""),2.955711E7)</f>
        <v>29557110</v>
      </c>
      <c r="G274" s="44">
        <f>IFERROR(__xludf.DUMMYFUNCTION("""COMPUTED_VALUE"""),30176.0)</f>
        <v>30176</v>
      </c>
      <c r="H274" s="45">
        <f>IFERROR(__xludf.DUMMYFUNCTION("""COMPUTED_VALUE"""),3.48715618569E11)</f>
        <v>348715618569</v>
      </c>
      <c r="I274" s="45">
        <f>IFERROR(__xludf.DUMMYFUNCTION("""COMPUTED_VALUE"""),3.48715686052E11)</f>
        <v>348715686052</v>
      </c>
      <c r="J274" s="45" t="str">
        <f>IFERROR(__xludf.DUMMYFUNCTION("""COMPUTED_VALUE"""),"nachoruizmoreno@gmail.com")</f>
        <v>nachoruizmoreno@gmail.com</v>
      </c>
      <c r="K274" s="45" t="str">
        <f>IFERROR(__xludf.DUMMYFUNCTION("""COMPUTED_VALUE"""),"Masculino")</f>
        <v>Masculino</v>
      </c>
      <c r="L274" s="45" t="str">
        <f>IFERROR(__xludf.DUMMYFUNCTION("""COMPUTED_VALUE"""),"CNAs")</f>
        <v>CNAs</v>
      </c>
      <c r="M274" s="45" t="str">
        <f>IFERROR(__xludf.DUMMYFUNCTION("""COMPUTED_VALUE"""),"Corinthians")</f>
        <v>Corinthians</v>
      </c>
      <c r="N274" s="7" t="str">
        <f>IFERROR(__xludf.DUMMYFUNCTION("""COMPUTED_VALUE"""),"J 70")</f>
        <v>J 70</v>
      </c>
      <c r="O274" s="7">
        <f>IFERROR(__xludf.DUMMYFUNCTION("""COMPUTED_VALUE"""),22.0)</f>
        <v>22</v>
      </c>
      <c r="P274" s="7" t="str">
        <f>IFERROR(__xludf.DUMMYFUNCTION("""COMPUTED_VALUE"""),"ARG 1296")</f>
        <v>ARG 1296</v>
      </c>
      <c r="Q274" s="45" t="str">
        <f>IFERROR(__xludf.DUMMYFUNCTION("""COMPUTED_VALUE"""),"Zaratoka")</f>
        <v>Zaratoka</v>
      </c>
      <c r="R274" s="45" t="str">
        <f>IFERROR(__xludf.DUMMYFUNCTION("""COMPUTED_VALUE"""),"Nicolas Guille")</f>
        <v>Nicolas Guille</v>
      </c>
      <c r="S274" s="45" t="str">
        <f>IFERROR(__xludf.DUMMYFUNCTION("""COMPUTED_VALUE"""),"Alejandro Juan de Paz")</f>
        <v>Alejandro Juan de Paz</v>
      </c>
      <c r="T274" s="45" t="str">
        <f>IFERROR(__xludf.DUMMYFUNCTION("""COMPUTED_VALUE"""),"Ezequiel Navari")</f>
        <v>Ezequiel Navari</v>
      </c>
      <c r="U274" s="45"/>
      <c r="V274" s="45"/>
      <c r="W274" s="45"/>
      <c r="X274" s="47" t="str">
        <f>IFERROR(__xludf.DUMMYFUNCTION("""COMPUTED_VALUE"""),"OSDE 61816818302")</f>
        <v>OSDE 61816818302</v>
      </c>
      <c r="Y274" s="7" t="str">
        <f>IFERROR(__xludf.DUMMYFUNCTION("""COMPUTED_VALUE"""),"No")</f>
        <v>No</v>
      </c>
      <c r="Z274" s="45" t="str">
        <f>IFERROR(__xludf.DUMMYFUNCTION("""COMPUTED_VALUE"""),"Acepto")</f>
        <v>Acepto</v>
      </c>
      <c r="AA274" s="45" t="str">
        <f>IFERROR(__xludf.DUMMYFUNCTION("""COMPUTED_VALUE"""),"No corre")</f>
        <v>No corre</v>
      </c>
      <c r="AB274" s="45"/>
      <c r="AC274" s="7"/>
      <c r="AD274" s="7"/>
      <c r="AE274" s="7" t="str">
        <f>IFERROR(__xludf.DUMMYFUNCTION("""COMPUTED_VALUE"""),"No Corresp")</f>
        <v>No Corresp</v>
      </c>
      <c r="AF274" s="7"/>
    </row>
    <row r="275">
      <c r="A275" s="42">
        <f>IFERROR(__xludf.DUMMYFUNCTION("""COMPUTED_VALUE"""),45534.9621542824)</f>
        <v>45534.96215</v>
      </c>
      <c r="B275" s="43" t="str">
        <f>IFERROR(__xludf.DUMMYFUNCTION("""COMPUTED_VALUE"""),"Catalina ")</f>
        <v>Catalina </v>
      </c>
      <c r="C275" s="43" t="str">
        <f>IFERROR(__xludf.DUMMYFUNCTION("""COMPUTED_VALUE"""),"Ruiz Stepancic")</f>
        <v>Ruiz Stepancic</v>
      </c>
      <c r="D275" s="43" t="str">
        <f>IFERROR(__xludf.DUMMYFUNCTION("""COMPUTED_VALUE"""),"Hurlingham ")</f>
        <v>Hurlingham </v>
      </c>
      <c r="E275" s="45" t="str">
        <f>IFERROR(__xludf.DUMMYFUNCTION("""COMPUTED_VALUE"""),"ARG")</f>
        <v>ARG</v>
      </c>
      <c r="F275" s="45">
        <f>IFERROR(__xludf.DUMMYFUNCTION("""COMPUTED_VALUE"""),5.2954005E7)</f>
        <v>52954005</v>
      </c>
      <c r="G275" s="44">
        <f>IFERROR(__xludf.DUMMYFUNCTION("""COMPUTED_VALUE"""),41269.0)</f>
        <v>41269</v>
      </c>
      <c r="H275" s="45">
        <f>IFERROR(__xludf.DUMMYFUNCTION("""COMPUTED_VALUE"""),1.140488904E9)</f>
        <v>1140488904</v>
      </c>
      <c r="I275" s="45">
        <f>IFERROR(__xludf.DUMMYFUNCTION("""COMPUTED_VALUE"""),1.144246342E9)</f>
        <v>1144246342</v>
      </c>
      <c r="J275" s="45" t="str">
        <f>IFERROR(__xludf.DUMMYFUNCTION("""COMPUTED_VALUE"""),"Yesistepancic@hotmail.com ")</f>
        <v>Yesistepancic@hotmail.com </v>
      </c>
      <c r="K275" s="45" t="str">
        <f>IFERROR(__xludf.DUMMYFUNCTION("""COMPUTED_VALUE"""),"Femenino")</f>
        <v>Femenino</v>
      </c>
      <c r="L275" s="45" t="str">
        <f>IFERROR(__xludf.DUMMYFUNCTION("""COMPUTED_VALUE"""),"CVB ")</f>
        <v>CVB </v>
      </c>
      <c r="M275" s="45" t="str">
        <f>IFERROR(__xludf.DUMMYFUNCTION("""COMPUTED_VALUE"""),"Femenino, Sub 12")</f>
        <v>Femenino, Sub 12</v>
      </c>
      <c r="N275" s="7" t="str">
        <f>IFERROR(__xludf.DUMMYFUNCTION("""COMPUTED_VALUE"""),"OPTIMIST PRINCIPIANTES")</f>
        <v>OPTIMIST PRINCIPIANTES</v>
      </c>
      <c r="O275" s="7"/>
      <c r="P275" s="7">
        <f>IFERROR(__xludf.DUMMYFUNCTION("""COMPUTED_VALUE"""),3596.0)</f>
        <v>3596</v>
      </c>
      <c r="Q275" s="45"/>
      <c r="R275" s="45"/>
      <c r="S275" s="45"/>
      <c r="T275" s="45"/>
      <c r="U275" s="45"/>
      <c r="V275" s="45"/>
      <c r="W275" s="45"/>
      <c r="X275" s="47" t="str">
        <f>IFERROR(__xludf.DUMMYFUNCTION("""COMPUTED_VALUE"""),"Osde 60927005103")</f>
        <v>Osde 60927005103</v>
      </c>
      <c r="Y275" s="7" t="str">
        <f>IFERROR(__xludf.DUMMYFUNCTION("""COMPUTED_VALUE"""),"Si")</f>
        <v>Si</v>
      </c>
      <c r="Z275" s="45" t="str">
        <f>IFERROR(__xludf.DUMMYFUNCTION("""COMPUTED_VALUE"""),"Acepto")</f>
        <v>Acepto</v>
      </c>
      <c r="AA275" s="45" t="str">
        <f>IFERROR(__xludf.DUMMYFUNCTION("""COMPUTED_VALUE"""),"Terminado")</f>
        <v>Terminado</v>
      </c>
      <c r="AB275" s="45">
        <f>IFERROR(__xludf.DUMMYFUNCTION("""COMPUTED_VALUE"""),50000.0)</f>
        <v>50000</v>
      </c>
      <c r="AC275" s="7">
        <f>IFERROR(__xludf.DUMMYFUNCTION("""COMPUTED_VALUE"""),205119.0)</f>
        <v>205119</v>
      </c>
      <c r="AD275" s="7" t="str">
        <f>IFERROR(__xludf.DUMMYFUNCTION("""COMPUTED_VALUE"""),"TRF 30-08")</f>
        <v>TRF 30-08</v>
      </c>
      <c r="AE275" s="7" t="str">
        <f>IFERROR(__xludf.DUMMYFUNCTION("""COMPUTED_VALUE"""),"OK")</f>
        <v>OK</v>
      </c>
      <c r="AF275" s="7" t="str">
        <f>IFERROR(__xludf.DUMMYFUNCTION("""COMPUTED_VALUE"""),"SI")</f>
        <v>SI</v>
      </c>
    </row>
    <row r="276">
      <c r="A276" s="42">
        <f>IFERROR(__xludf.DUMMYFUNCTION("""COMPUTED_VALUE"""),45536.59061159722)</f>
        <v>45536.59061</v>
      </c>
      <c r="B276" s="43" t="str">
        <f>IFERROR(__xludf.DUMMYFUNCTION("""COMPUTED_VALUE"""),"VIOLETA ")</f>
        <v>VIOLETA </v>
      </c>
      <c r="C276" s="43" t="str">
        <f>IFERROR(__xludf.DUMMYFUNCTION("""COMPUTED_VALUE"""),"RUSSO LACERNA ")</f>
        <v>RUSSO LACERNA </v>
      </c>
      <c r="D276" s="43" t="str">
        <f>IFERROR(__xludf.DUMMYFUNCTION("""COMPUTED_VALUE"""),"CABA ")</f>
        <v>CABA </v>
      </c>
      <c r="E276" s="45" t="str">
        <f>IFERROR(__xludf.DUMMYFUNCTION("""COMPUTED_VALUE"""),"ARG")</f>
        <v>ARG</v>
      </c>
      <c r="F276" s="45">
        <f>IFERROR(__xludf.DUMMYFUNCTION("""COMPUTED_VALUE"""),5.0511744E7)</f>
        <v>50511744</v>
      </c>
      <c r="G276" s="44">
        <f>IFERROR(__xludf.DUMMYFUNCTION("""COMPUTED_VALUE"""),40449.0)</f>
        <v>40449</v>
      </c>
      <c r="H276" s="45">
        <f>IFERROR(__xludf.DUMMYFUNCTION("""COMPUTED_VALUE"""),1.156388263E9)</f>
        <v>1156388263</v>
      </c>
      <c r="I276" s="45">
        <f>IFERROR(__xludf.DUMMYFUNCTION("""COMPUTED_VALUE"""),1.166031922E9)</f>
        <v>1166031922</v>
      </c>
      <c r="J276" s="45" t="str">
        <f>IFERROR(__xludf.DUMMYFUNCTION("""COMPUTED_VALUE"""),"vanesaamaro@gmail.com")</f>
        <v>vanesaamaro@gmail.com</v>
      </c>
      <c r="K276" s="45" t="str">
        <f>IFERROR(__xludf.DUMMYFUNCTION("""COMPUTED_VALUE"""),"Femenino")</f>
        <v>Femenino</v>
      </c>
      <c r="L276" s="45" t="str">
        <f>IFERROR(__xludf.DUMMYFUNCTION("""COMPUTED_VALUE"""),"CNAZ")</f>
        <v>CNAZ</v>
      </c>
      <c r="M276" s="45" t="str">
        <f>IFERROR(__xludf.DUMMYFUNCTION("""COMPUTED_VALUE"""),"Interior (Optimist)")</f>
        <v>Interior (Optimist)</v>
      </c>
      <c r="N276" s="7" t="str">
        <f>IFERROR(__xludf.DUMMYFUNCTION("""COMPUTED_VALUE"""),"OPTIMIST PRINCIPIANTES")</f>
        <v>OPTIMIST PRINCIPIANTES</v>
      </c>
      <c r="O276" s="7"/>
      <c r="P276" s="7">
        <f>IFERROR(__xludf.DUMMYFUNCTION("""COMPUTED_VALUE"""),3729.0)</f>
        <v>3729</v>
      </c>
      <c r="Q276" s="45" t="str">
        <f>IFERROR(__xludf.DUMMYFUNCTION("""COMPUTED_VALUE"""),"Amore")</f>
        <v>Amore</v>
      </c>
      <c r="R276" s="45"/>
      <c r="S276" s="45"/>
      <c r="T276" s="45"/>
      <c r="U276" s="45"/>
      <c r="V276" s="45"/>
      <c r="W276" s="45"/>
      <c r="X276" s="47" t="str">
        <f>IFERROR(__xludf.DUMMYFUNCTION("""COMPUTED_VALUE"""),"OSDE")</f>
        <v>OSDE</v>
      </c>
      <c r="Y276" s="7" t="str">
        <f>IFERROR(__xludf.DUMMYFUNCTION("""COMPUTED_VALUE"""),"Si")</f>
        <v>Si</v>
      </c>
      <c r="Z276" s="45" t="str">
        <f>IFERROR(__xludf.DUMMYFUNCTION("""COMPUTED_VALUE"""),"Acepto")</f>
        <v>Acepto</v>
      </c>
      <c r="AA276" s="45" t="str">
        <f>IFERROR(__xludf.DUMMYFUNCTION("""COMPUTED_VALUE"""),"Pendiente")</f>
        <v>Pendiente</v>
      </c>
      <c r="AB276" s="45"/>
      <c r="AC276" s="7"/>
      <c r="AD276" s="7"/>
      <c r="AE276" s="7" t="str">
        <f>IFERROR(__xludf.DUMMYFUNCTION("""COMPUTED_VALUE"""),"OK")</f>
        <v>OK</v>
      </c>
      <c r="AF276" s="7"/>
    </row>
    <row r="277">
      <c r="A277" s="42">
        <f>IFERROR(__xludf.DUMMYFUNCTION("""COMPUTED_VALUE"""),45532.44288266204)</f>
        <v>45532.44288</v>
      </c>
      <c r="B277" s="43" t="str">
        <f>IFERROR(__xludf.DUMMYFUNCTION("""COMPUTED_VALUE"""),"HILARIO")</f>
        <v>HILARIO</v>
      </c>
      <c r="C277" s="43" t="str">
        <f>IFERROR(__xludf.DUMMYFUNCTION("""COMPUTED_VALUE"""),"SACCHI")</f>
        <v>SACCHI</v>
      </c>
      <c r="D277" s="43" t="str">
        <f>IFERROR(__xludf.DUMMYFUNCTION("""COMPUTED_VALUE"""),"CABA")</f>
        <v>CABA</v>
      </c>
      <c r="E277" s="45" t="str">
        <f>IFERROR(__xludf.DUMMYFUNCTION("""COMPUTED_VALUE"""),"ARG")</f>
        <v>ARG</v>
      </c>
      <c r="F277" s="45">
        <f>IFERROR(__xludf.DUMMYFUNCTION("""COMPUTED_VALUE"""),5.3084239E7)</f>
        <v>53084239</v>
      </c>
      <c r="G277" s="44">
        <f>IFERROR(__xludf.DUMMYFUNCTION("""COMPUTED_VALUE"""),41314.0)</f>
        <v>41314</v>
      </c>
      <c r="H277" s="45">
        <f>IFERROR(__xludf.DUMMYFUNCTION("""COMPUTED_VALUE"""),1.151232356E9)</f>
        <v>1151232356</v>
      </c>
      <c r="I277" s="45">
        <f>IFERROR(__xludf.DUMMYFUNCTION("""COMPUTED_VALUE"""),1.151232356E9)</f>
        <v>1151232356</v>
      </c>
      <c r="J277" s="45" t="str">
        <f>IFERROR(__xludf.DUMMYFUNCTION("""COMPUTED_VALUE"""),"msacchi@gmail.com")</f>
        <v>msacchi@gmail.com</v>
      </c>
      <c r="K277" s="45" t="str">
        <f>IFERROR(__xludf.DUMMYFUNCTION("""COMPUTED_VALUE"""),"Masculino")</f>
        <v>Masculino</v>
      </c>
      <c r="L277" s="45" t="str">
        <f>IFERROR(__xludf.DUMMYFUNCTION("""COMPUTED_VALUE"""),"YCA")</f>
        <v>YCA</v>
      </c>
      <c r="M277" s="45"/>
      <c r="N277" s="7" t="str">
        <f>IFERROR(__xludf.DUMMYFUNCTION("""COMPUTED_VALUE"""),"OPTIMIST PRINCIPIANTES")</f>
        <v>OPTIMIST PRINCIPIANTES</v>
      </c>
      <c r="O277" s="7"/>
      <c r="P277" s="7" t="str">
        <f>IFERROR(__xludf.DUMMYFUNCTION("""COMPUTED_VALUE"""),"ARG 3885")</f>
        <v>ARG 3885</v>
      </c>
      <c r="Q277" s="45" t="str">
        <f>IFERROR(__xludf.DUMMYFUNCTION("""COMPUTED_VALUE"""),"Sejlfisk")</f>
        <v>Sejlfisk</v>
      </c>
      <c r="R277" s="45"/>
      <c r="S277" s="45"/>
      <c r="T277" s="45"/>
      <c r="U277" s="45"/>
      <c r="V277" s="45"/>
      <c r="W277" s="45"/>
      <c r="X277" s="47" t="str">
        <f>IFERROR(__xludf.DUMMYFUNCTION("""COMPUTED_VALUE"""),"OSDE / 60 767640 9 04")</f>
        <v>OSDE / 60 767640 9 04</v>
      </c>
      <c r="Y277" s="7" t="str">
        <f>IFERROR(__xludf.DUMMYFUNCTION("""COMPUTED_VALUE"""),"Si")</f>
        <v>Si</v>
      </c>
      <c r="Z277" s="45" t="str">
        <f>IFERROR(__xludf.DUMMYFUNCTION("""COMPUTED_VALUE"""),"Acepto")</f>
        <v>Acepto</v>
      </c>
      <c r="AA277" s="45" t="str">
        <f>IFERROR(__xludf.DUMMYFUNCTION("""COMPUTED_VALUE"""),"Terminado")</f>
        <v>Terminado</v>
      </c>
      <c r="AB277" s="45">
        <f>IFERROR(__xludf.DUMMYFUNCTION("""COMPUTED_VALUE"""),50000.0)</f>
        <v>50000</v>
      </c>
      <c r="AC277" s="7">
        <f>IFERROR(__xludf.DUMMYFUNCTION("""COMPUTED_VALUE"""),205066.0)</f>
        <v>205066</v>
      </c>
      <c r="AD277" s="7" t="str">
        <f>IFERROR(__xludf.DUMMYFUNCTION("""COMPUTED_VALUE"""),"TRF 28-08")</f>
        <v>TRF 28-08</v>
      </c>
      <c r="AE277" s="7" t="str">
        <f>IFERROR(__xludf.DUMMYFUNCTION("""COMPUTED_VALUE"""),"OK")</f>
        <v>OK</v>
      </c>
      <c r="AF277" s="7"/>
    </row>
    <row r="278">
      <c r="A278" s="42">
        <f>IFERROR(__xludf.DUMMYFUNCTION("""COMPUTED_VALUE"""),45534.527333819446)</f>
        <v>45534.52733</v>
      </c>
      <c r="B278" s="43" t="str">
        <f>IFERROR(__xludf.DUMMYFUNCTION("""COMPUTED_VALUE"""),"Alessandro Patricio")</f>
        <v>Alessandro Patricio</v>
      </c>
      <c r="C278" s="43" t="str">
        <f>IFERROR(__xludf.DUMMYFUNCTION("""COMPUTED_VALUE"""),"Saggion")</f>
        <v>Saggion</v>
      </c>
      <c r="D278" s="43" t="str">
        <f>IFERROR(__xludf.DUMMYFUNCTION("""COMPUTED_VALUE"""),"Buenos Aires")</f>
        <v>Buenos Aires</v>
      </c>
      <c r="E278" s="45" t="str">
        <f>IFERROR(__xludf.DUMMYFUNCTION("""COMPUTED_VALUE"""),"ARG")</f>
        <v>ARG</v>
      </c>
      <c r="F278" s="45">
        <f>IFERROR(__xludf.DUMMYFUNCTION("""COMPUTED_VALUE"""),5.1267409E7)</f>
        <v>51267409</v>
      </c>
      <c r="G278" s="44">
        <f>IFERROR(__xludf.DUMMYFUNCTION("""COMPUTED_VALUE"""),40705.0)</f>
        <v>40705</v>
      </c>
      <c r="H278" s="45">
        <f>IFERROR(__xludf.DUMMYFUNCTION("""COMPUTED_VALUE"""),1.544705414E9)</f>
        <v>1544705414</v>
      </c>
      <c r="I278" s="45">
        <f>IFERROR(__xludf.DUMMYFUNCTION("""COMPUTED_VALUE"""),1.5351185E9)</f>
        <v>1535118500</v>
      </c>
      <c r="J278" s="45" t="str">
        <f>IFERROR(__xludf.DUMMYFUNCTION("""COMPUTED_VALUE"""),"nancysagg@gmail.com")</f>
        <v>nancysagg@gmail.com</v>
      </c>
      <c r="K278" s="45" t="str">
        <f>IFERROR(__xludf.DUMMYFUNCTION("""COMPUTED_VALUE"""),"Masculino")</f>
        <v>Masculino</v>
      </c>
      <c r="L278" s="45" t="str">
        <f>IFERROR(__xludf.DUMMYFUNCTION("""COMPUTED_VALUE"""),"CNO")</f>
        <v>CNO</v>
      </c>
      <c r="M278" s="45" t="str">
        <f>IFERROR(__xludf.DUMMYFUNCTION("""COMPUTED_VALUE"""),"Interior (Optimist)")</f>
        <v>Interior (Optimist)</v>
      </c>
      <c r="N278" s="7" t="str">
        <f>IFERROR(__xludf.DUMMYFUNCTION("""COMPUTED_VALUE"""),"OPTIMIST PRINCIPIANTES")</f>
        <v>OPTIMIST PRINCIPIANTES</v>
      </c>
      <c r="O278" s="7"/>
      <c r="P278" s="7">
        <f>IFERROR(__xludf.DUMMYFUNCTION("""COMPUTED_VALUE"""),3969.0)</f>
        <v>3969</v>
      </c>
      <c r="Q278" s="45" t="str">
        <f>IFERROR(__xludf.DUMMYFUNCTION("""COMPUTED_VALUE"""),"Chimichurri")</f>
        <v>Chimichurri</v>
      </c>
      <c r="R278" s="45"/>
      <c r="S278" s="45"/>
      <c r="T278" s="45"/>
      <c r="U278" s="45"/>
      <c r="V278" s="45"/>
      <c r="W278" s="45"/>
      <c r="X278" s="47" t="str">
        <f>IFERROR(__xludf.DUMMYFUNCTION("""COMPUTED_VALUE"""),"Luis Pasteur plan P")</f>
        <v>Luis Pasteur plan P</v>
      </c>
      <c r="Y278" s="7" t="str">
        <f>IFERROR(__xludf.DUMMYFUNCTION("""COMPUTED_VALUE"""),"No")</f>
        <v>No</v>
      </c>
      <c r="Z278" s="45" t="str">
        <f>IFERROR(__xludf.DUMMYFUNCTION("""COMPUTED_VALUE"""),"Acepto")</f>
        <v>Acepto</v>
      </c>
      <c r="AA278" s="45" t="str">
        <f>IFERROR(__xludf.DUMMYFUNCTION("""COMPUTED_VALUE"""),"Terminado")</f>
        <v>Terminado</v>
      </c>
      <c r="AB278" s="45">
        <f>IFERROR(__xludf.DUMMYFUNCTION("""COMPUTED_VALUE"""),50000.0)</f>
        <v>50000</v>
      </c>
      <c r="AC278" s="7">
        <f>IFERROR(__xludf.DUMMYFUNCTION("""COMPUTED_VALUE"""),205097.0)</f>
        <v>205097</v>
      </c>
      <c r="AD278" s="7" t="str">
        <f>IFERROR(__xludf.DUMMYFUNCTION("""COMPUTED_VALUE"""),"TRF 30-08")</f>
        <v>TRF 30-08</v>
      </c>
      <c r="AE278" s="7" t="str">
        <f>IFERROR(__xludf.DUMMYFUNCTION("""COMPUTED_VALUE"""),"OK")</f>
        <v>OK</v>
      </c>
      <c r="AF278" s="7" t="str">
        <f>IFERROR(__xludf.DUMMYFUNCTION("""COMPUTED_VALUE"""),"SI")</f>
        <v>SI</v>
      </c>
    </row>
    <row r="279">
      <c r="A279" s="42">
        <f>IFERROR(__xludf.DUMMYFUNCTION("""COMPUTED_VALUE"""),45532.54831810185)</f>
        <v>45532.54832</v>
      </c>
      <c r="B279" s="43" t="str">
        <f>IFERROR(__xludf.DUMMYFUNCTION("""COMPUTED_VALUE"""),"Agustín")</f>
        <v>Agustín</v>
      </c>
      <c r="C279" s="43" t="str">
        <f>IFERROR(__xludf.DUMMYFUNCTION("""COMPUTED_VALUE"""),"Saguier")</f>
        <v>Saguier</v>
      </c>
      <c r="D279" s="43" t="str">
        <f>IFERROR(__xludf.DUMMYFUNCTION("""COMPUTED_VALUE"""),"Buenos Aires")</f>
        <v>Buenos Aires</v>
      </c>
      <c r="E279" s="45" t="str">
        <f>IFERROR(__xludf.DUMMYFUNCTION("""COMPUTED_VALUE"""),"ARG")</f>
        <v>ARG</v>
      </c>
      <c r="F279" s="45">
        <f>IFERROR(__xludf.DUMMYFUNCTION("""COMPUTED_VALUE"""),4.303071E7)</f>
        <v>43030710</v>
      </c>
      <c r="G279" s="44">
        <f>IFERROR(__xludf.DUMMYFUNCTION("""COMPUTED_VALUE"""),36837.0)</f>
        <v>36837</v>
      </c>
      <c r="H279" s="45">
        <f>IFERROR(__xludf.DUMMYFUNCTION("""COMPUTED_VALUE"""),1.138700673E9)</f>
        <v>1138700673</v>
      </c>
      <c r="I279" s="45"/>
      <c r="J279" s="45" t="str">
        <f>IFERROR(__xludf.DUMMYFUNCTION("""COMPUTED_VALUE"""),"asaguier2000@gmail.com")</f>
        <v>asaguier2000@gmail.com</v>
      </c>
      <c r="K279" s="45" t="str">
        <f>IFERROR(__xludf.DUMMYFUNCTION("""COMPUTED_VALUE"""),"Masculino")</f>
        <v>Masculino</v>
      </c>
      <c r="L279" s="45" t="str">
        <f>IFERROR(__xludf.DUMMYFUNCTION("""COMPUTED_VALUE"""),"YCA")</f>
        <v>YCA</v>
      </c>
      <c r="M279" s="45"/>
      <c r="N279" s="7" t="str">
        <f>IFERROR(__xludf.DUMMYFUNCTION("""COMPUTED_VALUE"""),"ILCA 6")</f>
        <v>ILCA 6</v>
      </c>
      <c r="O279" s="7"/>
      <c r="P279" s="7">
        <f>IFERROR(__xludf.DUMMYFUNCTION("""COMPUTED_VALUE"""),178188.0)</f>
        <v>178188</v>
      </c>
      <c r="Q279" s="45"/>
      <c r="R279" s="45"/>
      <c r="S279" s="45"/>
      <c r="T279" s="45"/>
      <c r="U279" s="45"/>
      <c r="V279" s="45"/>
      <c r="W279" s="45"/>
      <c r="X279" s="47"/>
      <c r="Y279" s="7" t="str">
        <f>IFERROR(__xludf.DUMMYFUNCTION("""COMPUTED_VALUE"""),"No")</f>
        <v>No</v>
      </c>
      <c r="Z279" s="45" t="str">
        <f>IFERROR(__xludf.DUMMYFUNCTION("""COMPUTED_VALUE"""),"Acepto")</f>
        <v>Acepto</v>
      </c>
      <c r="AA279" s="45" t="str">
        <f>IFERROR(__xludf.DUMMYFUNCTION("""COMPUTED_VALUE"""),"Terminado")</f>
        <v>Terminado</v>
      </c>
      <c r="AB279" s="45">
        <f>IFERROR(__xludf.DUMMYFUNCTION("""COMPUTED_VALUE"""),45000.0)</f>
        <v>45000</v>
      </c>
      <c r="AC279" s="7">
        <f>IFERROR(__xludf.DUMMYFUNCTION("""COMPUTED_VALUE"""),205068.0)</f>
        <v>205068</v>
      </c>
      <c r="AD279" s="7" t="str">
        <f>IFERROR(__xludf.DUMMYFUNCTION("""COMPUTED_VALUE"""),"TRF 28-08")</f>
        <v>TRF 28-08</v>
      </c>
      <c r="AE279" s="7" t="str">
        <f>IFERROR(__xludf.DUMMYFUNCTION("""COMPUTED_VALUE"""),"No Corresp")</f>
        <v>No Corresp</v>
      </c>
      <c r="AF279" s="7"/>
    </row>
    <row r="280">
      <c r="A280" s="42">
        <f>IFERROR(__xludf.DUMMYFUNCTION("""COMPUTED_VALUE"""),45536.67926104167)</f>
        <v>45536.67926</v>
      </c>
      <c r="B280" s="43" t="str">
        <f>IFERROR(__xludf.DUMMYFUNCTION("""COMPUTED_VALUE"""),"Lian ")</f>
        <v>Lian </v>
      </c>
      <c r="C280" s="43" t="str">
        <f>IFERROR(__xludf.DUMMYFUNCTION("""COMPUTED_VALUE"""),"Sahlin")</f>
        <v>Sahlin</v>
      </c>
      <c r="D280" s="43" t="str">
        <f>IFERROR(__xludf.DUMMYFUNCTION("""COMPUTED_VALUE"""),"Berisso")</f>
        <v>Berisso</v>
      </c>
      <c r="E280" s="45" t="str">
        <f>IFERROR(__xludf.DUMMYFUNCTION("""COMPUTED_VALUE"""),"ARG")</f>
        <v>ARG</v>
      </c>
      <c r="F280" s="45">
        <f>IFERROR(__xludf.DUMMYFUNCTION("""COMPUTED_VALUE"""),5.0977925E7)</f>
        <v>50977925</v>
      </c>
      <c r="G280" s="44">
        <f>IFERROR(__xludf.DUMMYFUNCTION("""COMPUTED_VALUE"""),40654.0)</f>
        <v>40654</v>
      </c>
      <c r="H280" s="45">
        <f>IFERROR(__xludf.DUMMYFUNCTION("""COMPUTED_VALUE"""),2.213645199E9)</f>
        <v>2213645199</v>
      </c>
      <c r="I280" s="45">
        <f>IFERROR(__xludf.DUMMYFUNCTION("""COMPUTED_VALUE"""),2.215577978E9)</f>
        <v>2215577978</v>
      </c>
      <c r="J280" s="45" t="str">
        <f>IFERROR(__xludf.DUMMYFUNCTION("""COMPUTED_VALUE"""),"Sanchezmariaale@gmail.com")</f>
        <v>Sanchezmariaale@gmail.com</v>
      </c>
      <c r="K280" s="45" t="str">
        <f>IFERROR(__xludf.DUMMYFUNCTION("""COMPUTED_VALUE"""),"Masculino")</f>
        <v>Masculino</v>
      </c>
      <c r="L280" s="45" t="str">
        <f>IFERROR(__xludf.DUMMYFUNCTION("""COMPUTED_VALUE"""),"CRLP")</f>
        <v>CRLP</v>
      </c>
      <c r="M280" s="45" t="str">
        <f>IFERROR(__xludf.DUMMYFUNCTION("""COMPUTED_VALUE"""),"Interior (Optimist)")</f>
        <v>Interior (Optimist)</v>
      </c>
      <c r="N280" s="7" t="str">
        <f>IFERROR(__xludf.DUMMYFUNCTION("""COMPUTED_VALUE"""),"OPTIMIST PRINCIPIANTES")</f>
        <v>OPTIMIST PRINCIPIANTES</v>
      </c>
      <c r="O280" s="7"/>
      <c r="P280" s="7">
        <f>IFERROR(__xludf.DUMMYFUNCTION("""COMPUTED_VALUE"""),3121.0)</f>
        <v>3121</v>
      </c>
      <c r="Q280" s="45"/>
      <c r="R280" s="45" t="str">
        <f>IFERROR(__xludf.DUMMYFUNCTION("""COMPUTED_VALUE"""),"Lian Sahlin Joaquin Ignacio ")</f>
        <v>Lian Sahlin Joaquin Ignacio </v>
      </c>
      <c r="S280" s="45"/>
      <c r="T280" s="45"/>
      <c r="U280" s="45"/>
      <c r="V280" s="45"/>
      <c r="W280" s="45"/>
      <c r="X280" s="47"/>
      <c r="Y280" s="7" t="str">
        <f>IFERROR(__xludf.DUMMYFUNCTION("""COMPUTED_VALUE"""),"Si")</f>
        <v>Si</v>
      </c>
      <c r="Z280" s="45" t="str">
        <f>IFERROR(__xludf.DUMMYFUNCTION("""COMPUTED_VALUE"""),"Acepto")</f>
        <v>Acepto</v>
      </c>
      <c r="AA280" s="45" t="str">
        <f>IFERROR(__xludf.DUMMYFUNCTION("""COMPUTED_VALUE"""),"Terminado")</f>
        <v>Terminado</v>
      </c>
      <c r="AB280" s="45">
        <f>IFERROR(__xludf.DUMMYFUNCTION("""COMPUTED_VALUE"""),50000.0)</f>
        <v>50000</v>
      </c>
      <c r="AC280" s="7">
        <f>IFERROR(__xludf.DUMMYFUNCTION("""COMPUTED_VALUE"""),205439.0)</f>
        <v>205439</v>
      </c>
      <c r="AD280" s="7" t="str">
        <f>IFERROR(__xludf.DUMMYFUNCTION("""COMPUTED_VALUE"""),"TRF 04-09")</f>
        <v>TRF 04-09</v>
      </c>
      <c r="AE280" s="7" t="str">
        <f>IFERROR(__xludf.DUMMYFUNCTION("""COMPUTED_VALUE"""),"OK")</f>
        <v>OK</v>
      </c>
      <c r="AF280" s="7"/>
    </row>
    <row r="281">
      <c r="A281" s="42">
        <f>IFERROR(__xludf.DUMMYFUNCTION("""COMPUTED_VALUE"""),45537.90069596065)</f>
        <v>45537.9007</v>
      </c>
      <c r="B281" s="43" t="str">
        <f>IFERROR(__xludf.DUMMYFUNCTION("""COMPUTED_VALUE"""),"Florencia")</f>
        <v>Florencia</v>
      </c>
      <c r="C281" s="43" t="str">
        <f>IFERROR(__xludf.DUMMYFUNCTION("""COMPUTED_VALUE"""),"Saldaña")</f>
        <v>Saldaña</v>
      </c>
      <c r="D281" s="43" t="str">
        <f>IFERROR(__xludf.DUMMYFUNCTION("""COMPUTED_VALUE"""),"Montevideo")</f>
        <v>Montevideo</v>
      </c>
      <c r="E281" s="45" t="str">
        <f>IFERROR(__xludf.DUMMYFUNCTION("""COMPUTED_VALUE"""),"URU")</f>
        <v>URU</v>
      </c>
      <c r="F281" s="45">
        <f>IFERROR(__xludf.DUMMYFUNCTION("""COMPUTED_VALUE"""),5.8083082E7)</f>
        <v>58083082</v>
      </c>
      <c r="G281" s="44">
        <f>IFERROR(__xludf.DUMMYFUNCTION("""COMPUTED_VALUE"""),40018.0)</f>
        <v>40018</v>
      </c>
      <c r="H281" s="45" t="str">
        <f>IFERROR(__xludf.DUMMYFUNCTION("""COMPUTED_VALUE"""),"+59898847424")</f>
        <v>+59898847424</v>
      </c>
      <c r="I281" s="45" t="str">
        <f>IFERROR(__xludf.DUMMYFUNCTION("""COMPUTED_VALUE"""),"+59898847424")</f>
        <v>+59898847424</v>
      </c>
      <c r="J281" s="45" t="str">
        <f>IFERROR(__xludf.DUMMYFUNCTION("""COMPUTED_VALUE"""),"Jpsaldana@berkes.com.uy")</f>
        <v>Jpsaldana@berkes.com.uy</v>
      </c>
      <c r="K281" s="45" t="str">
        <f>IFERROR(__xludf.DUMMYFUNCTION("""COMPUTED_VALUE"""),"Femenino")</f>
        <v>Femenino</v>
      </c>
      <c r="L281" s="45" t="str">
        <f>IFERROR(__xludf.DUMMYFUNCTION("""COMPUTED_VALUE"""),"NYC")</f>
        <v>NYC</v>
      </c>
      <c r="M281" s="45" t="str">
        <f>IFERROR(__xludf.DUMMYFUNCTION("""COMPUTED_VALUE"""),"Interior (Optimist)")</f>
        <v>Interior (Optimist)</v>
      </c>
      <c r="N281" s="7" t="str">
        <f>IFERROR(__xludf.DUMMYFUNCTION("""COMPUTED_VALUE"""),"OPTIMIST TIMONELES")</f>
        <v>OPTIMIST TIMONELES</v>
      </c>
      <c r="O281" s="7"/>
      <c r="P281" s="7" t="str">
        <f>IFERROR(__xludf.DUMMYFUNCTION("""COMPUTED_VALUE"""),"NYC")</f>
        <v>NYC</v>
      </c>
      <c r="Q281" s="45"/>
      <c r="R281" s="45"/>
      <c r="S281" s="45"/>
      <c r="T281" s="45"/>
      <c r="U281" s="45"/>
      <c r="V281" s="45"/>
      <c r="W281" s="45"/>
      <c r="X281" s="47"/>
      <c r="Y281" s="7" t="str">
        <f>IFERROR(__xludf.DUMMYFUNCTION("""COMPUTED_VALUE"""),"Si")</f>
        <v>Si</v>
      </c>
      <c r="Z281" s="45" t="str">
        <f>IFERROR(__xludf.DUMMYFUNCTION("""COMPUTED_VALUE"""),"Acepto")</f>
        <v>Acepto</v>
      </c>
      <c r="AA281" s="45" t="str">
        <f>IFERROR(__xludf.DUMMYFUNCTION("""COMPUTED_VALUE"""),"Terminado")</f>
        <v>Terminado</v>
      </c>
      <c r="AB281" s="45">
        <f>IFERROR(__xludf.DUMMYFUNCTION("""COMPUTED_VALUE"""),42500.0)</f>
        <v>42500</v>
      </c>
      <c r="AC281" s="7">
        <f>IFERROR(__xludf.DUMMYFUNCTION("""COMPUTED_VALUE"""),205391.0)</f>
        <v>205391</v>
      </c>
      <c r="AD281" s="7" t="str">
        <f>IFERROR(__xludf.DUMMYFUNCTION("""COMPUTED_VALUE"""),"TRF 02-09")</f>
        <v>TRF 02-09</v>
      </c>
      <c r="AE281" s="7" t="str">
        <f>IFERROR(__xludf.DUMMYFUNCTION("""COMPUTED_VALUE"""),"Pendiente")</f>
        <v>Pendiente</v>
      </c>
      <c r="AF281" s="7" t="str">
        <f>IFERROR(__xludf.DUMMYFUNCTION("""COMPUTED_VALUE"""),"SI")</f>
        <v>SI</v>
      </c>
    </row>
    <row r="282">
      <c r="A282" s="42">
        <f>IFERROR(__xludf.DUMMYFUNCTION("""COMPUTED_VALUE"""),45533.7954466088)</f>
        <v>45533.79545</v>
      </c>
      <c r="B282" s="43" t="str">
        <f>IFERROR(__xludf.DUMMYFUNCTION("""COMPUTED_VALUE"""),"Luca")</f>
        <v>Luca</v>
      </c>
      <c r="C282" s="43" t="str">
        <f>IFERROR(__xludf.DUMMYFUNCTION("""COMPUTED_VALUE"""),"Salvatierra")</f>
        <v>Salvatierra</v>
      </c>
      <c r="D282" s="43" t="str">
        <f>IFERROR(__xludf.DUMMYFUNCTION("""COMPUTED_VALUE"""),"San Isidro")</f>
        <v>San Isidro</v>
      </c>
      <c r="E282" s="45" t="str">
        <f>IFERROR(__xludf.DUMMYFUNCTION("""COMPUTED_VALUE"""),"ARG")</f>
        <v>ARG</v>
      </c>
      <c r="F282" s="45">
        <f>IFERROR(__xludf.DUMMYFUNCTION("""COMPUTED_VALUE"""),5.3285019E7)</f>
        <v>53285019</v>
      </c>
      <c r="G282" s="44">
        <f>IFERROR(__xludf.DUMMYFUNCTION("""COMPUTED_VALUE"""),41412.0)</f>
        <v>41412</v>
      </c>
      <c r="H282" s="45">
        <f>IFERROR(__xludf.DUMMYFUNCTION("""COMPUTED_VALUE"""),1.13368816E9)</f>
        <v>1133688160</v>
      </c>
      <c r="I282" s="45">
        <f>IFERROR(__xludf.DUMMYFUNCTION("""COMPUTED_VALUE"""),1.160151345E9)</f>
        <v>1160151345</v>
      </c>
      <c r="J282" s="45" t="str">
        <f>IFERROR(__xludf.DUMMYFUNCTION("""COMPUTED_VALUE"""),"anabellasg33@gmail.com")</f>
        <v>anabellasg33@gmail.com</v>
      </c>
      <c r="K282" s="45" t="str">
        <f>IFERROR(__xludf.DUMMYFUNCTION("""COMPUTED_VALUE"""),"Masculino")</f>
        <v>Masculino</v>
      </c>
      <c r="L282" s="45" t="str">
        <f>IFERROR(__xludf.DUMMYFUNCTION("""COMPUTED_VALUE"""),"CPNLB")</f>
        <v>CPNLB</v>
      </c>
      <c r="M282" s="45" t="str">
        <f>IFERROR(__xludf.DUMMYFUNCTION("""COMPUTED_VALUE"""),"sub 12")</f>
        <v>sub 12</v>
      </c>
      <c r="N282" s="7" t="str">
        <f>IFERROR(__xludf.DUMMYFUNCTION("""COMPUTED_VALUE"""),"OPTIMIST PRINCIPIANTES")</f>
        <v>OPTIMIST PRINCIPIANTES</v>
      </c>
      <c r="O282" s="7"/>
      <c r="P282" s="7">
        <f>IFERROR(__xludf.DUMMYFUNCTION("""COMPUTED_VALUE"""),3022.0)</f>
        <v>3022</v>
      </c>
      <c r="Q282" s="45"/>
      <c r="R282" s="45"/>
      <c r="S282" s="45"/>
      <c r="T282" s="45"/>
      <c r="U282" s="45"/>
      <c r="V282" s="45"/>
      <c r="W282" s="45"/>
      <c r="X282" s="47" t="str">
        <f>IFERROR(__xludf.DUMMYFUNCTION("""COMPUTED_VALUE"""),"omint 1820230900011")</f>
        <v>omint 1820230900011</v>
      </c>
      <c r="Y282" s="7" t="str">
        <f>IFERROR(__xludf.DUMMYFUNCTION("""COMPUTED_VALUE"""),"Si")</f>
        <v>Si</v>
      </c>
      <c r="Z282" s="45" t="str">
        <f>IFERROR(__xludf.DUMMYFUNCTION("""COMPUTED_VALUE"""),"Acepto")</f>
        <v>Acepto</v>
      </c>
      <c r="AA282" s="45" t="str">
        <f>IFERROR(__xludf.DUMMYFUNCTION("""COMPUTED_VALUE"""),"Terminado")</f>
        <v>Terminado</v>
      </c>
      <c r="AB282" s="45">
        <f>IFERROR(__xludf.DUMMYFUNCTION("""COMPUTED_VALUE"""),50000.0)</f>
        <v>50000</v>
      </c>
      <c r="AC282" s="7">
        <f>IFERROR(__xludf.DUMMYFUNCTION("""COMPUTED_VALUE"""),205084.0)</f>
        <v>205084</v>
      </c>
      <c r="AD282" s="7" t="str">
        <f>IFERROR(__xludf.DUMMYFUNCTION("""COMPUTED_VALUE"""),"TRF 29-08")</f>
        <v>TRF 29-08</v>
      </c>
      <c r="AE282" s="7" t="str">
        <f>IFERROR(__xludf.DUMMYFUNCTION("""COMPUTED_VALUE"""),"OK")</f>
        <v>OK</v>
      </c>
      <c r="AF282" s="7" t="str">
        <f>IFERROR(__xludf.DUMMYFUNCTION("""COMPUTED_VALUE"""),"SI")</f>
        <v>SI</v>
      </c>
    </row>
    <row r="283">
      <c r="A283" s="42">
        <f>IFERROR(__xludf.DUMMYFUNCTION("""COMPUTED_VALUE"""),45528.44431559028)</f>
        <v>45528.44432</v>
      </c>
      <c r="B283" s="43" t="str">
        <f>IFERROR(__xludf.DUMMYFUNCTION("""COMPUTED_VALUE"""),"Federico")</f>
        <v>Federico</v>
      </c>
      <c r="C283" s="43" t="str">
        <f>IFERROR(__xludf.DUMMYFUNCTION("""COMPUTED_VALUE"""),"Sanchez")</f>
        <v>Sanchez</v>
      </c>
      <c r="D283" s="43" t="str">
        <f>IFERROR(__xludf.DUMMYFUNCTION("""COMPUTED_VALUE"""),"CABA")</f>
        <v>CABA</v>
      </c>
      <c r="E283" s="45" t="str">
        <f>IFERROR(__xludf.DUMMYFUNCTION("""COMPUTED_VALUE"""),"ARG")</f>
        <v>ARG</v>
      </c>
      <c r="F283" s="45">
        <f>IFERROR(__xludf.DUMMYFUNCTION("""COMPUTED_VALUE"""),2.2920734E7)</f>
        <v>22920734</v>
      </c>
      <c r="G283" s="44">
        <f>IFERROR(__xludf.DUMMYFUNCTION("""COMPUTED_VALUE"""),26614.0)</f>
        <v>26614</v>
      </c>
      <c r="H283" s="45">
        <f>IFERROR(__xludf.DUMMYFUNCTION("""COMPUTED_VALUE"""),2.98453948E9)</f>
        <v>2984539480</v>
      </c>
      <c r="I283" s="45">
        <f>IFERROR(__xludf.DUMMYFUNCTION("""COMPUTED_VALUE"""),2.984657777E9)</f>
        <v>2984657777</v>
      </c>
      <c r="J283" s="45" t="str">
        <f>IFERROR(__xludf.DUMMYFUNCTION("""COMPUTED_VALUE"""),"fedhugsan@gmail.com")</f>
        <v>fedhugsan@gmail.com</v>
      </c>
      <c r="K283" s="45" t="str">
        <f>IFERROR(__xludf.DUMMYFUNCTION("""COMPUTED_VALUE"""),"Masculino")</f>
        <v>Masculino</v>
      </c>
      <c r="L283" s="45" t="str">
        <f>IFERROR(__xludf.DUMMYFUNCTION("""COMPUTED_VALUE"""),"YCA")</f>
        <v>YCA</v>
      </c>
      <c r="M283" s="45" t="str">
        <f>IFERROR(__xludf.DUMMYFUNCTION("""COMPUTED_VALUE"""),"Corinthians")</f>
        <v>Corinthians</v>
      </c>
      <c r="N283" s="7" t="str">
        <f>IFERROR(__xludf.DUMMYFUNCTION("""COMPUTED_VALUE"""),"J 70")</f>
        <v>J 70</v>
      </c>
      <c r="O283" s="7">
        <f>IFERROR(__xludf.DUMMYFUNCTION("""COMPUTED_VALUE"""),29.0)</f>
        <v>29</v>
      </c>
      <c r="P283" s="7">
        <f>IFERROR(__xludf.DUMMYFUNCTION("""COMPUTED_VALUE"""),1433.0)</f>
        <v>1433</v>
      </c>
      <c r="Q283" s="45" t="str">
        <f>IFERROR(__xludf.DUMMYFUNCTION("""COMPUTED_VALUE"""),"Spinetta")</f>
        <v>Spinetta</v>
      </c>
      <c r="R283" s="45" t="str">
        <f>IFERROR(__xludf.DUMMYFUNCTION("""COMPUTED_VALUE"""),"Federico Sánchez")</f>
        <v>Federico Sánchez</v>
      </c>
      <c r="S283" s="45" t="str">
        <f>IFERROR(__xludf.DUMMYFUNCTION("""COMPUTED_VALUE"""),"Guillermo de Barrio")</f>
        <v>Guillermo de Barrio</v>
      </c>
      <c r="T283" s="45" t="str">
        <f>IFERROR(__xludf.DUMMYFUNCTION("""COMPUTED_VALUE"""),"Ignacio Bertolini")</f>
        <v>Ignacio Bertolini</v>
      </c>
      <c r="U283" s="45" t="str">
        <f>IFERROR(__xludf.DUMMYFUNCTION("""COMPUTED_VALUE"""),"Fernando Iguerategui")</f>
        <v>Fernando Iguerategui</v>
      </c>
      <c r="V283" s="45"/>
      <c r="W283" s="45"/>
      <c r="X283" s="47" t="str">
        <f>IFERROR(__xludf.DUMMYFUNCTION("""COMPUTED_VALUE"""),"Osde30208973410")</f>
        <v>Osde30208973410</v>
      </c>
      <c r="Y283" s="7" t="str">
        <f>IFERROR(__xludf.DUMMYFUNCTION("""COMPUTED_VALUE"""),"No")</f>
        <v>No</v>
      </c>
      <c r="Z283" s="45" t="str">
        <f>IFERROR(__xludf.DUMMYFUNCTION("""COMPUTED_VALUE"""),"Acepto")</f>
        <v>Acepto</v>
      </c>
      <c r="AA283" s="45" t="str">
        <f>IFERROR(__xludf.DUMMYFUNCTION("""COMPUTED_VALUE"""),"Terminado")</f>
        <v>Terminado</v>
      </c>
      <c r="AB283" s="45">
        <f>IFERROR(__xludf.DUMMYFUNCTION("""COMPUTED_VALUE"""),80000.0)</f>
        <v>80000</v>
      </c>
      <c r="AC283" s="7">
        <f>IFERROR(__xludf.DUMMYFUNCTION("""COMPUTED_VALUE"""),205050.0)</f>
        <v>205050</v>
      </c>
      <c r="AD283" s="7" t="str">
        <f>IFERROR(__xludf.DUMMYFUNCTION("""COMPUTED_VALUE"""),"TRF 23-08")</f>
        <v>TRF 23-08</v>
      </c>
      <c r="AE283" s="7" t="str">
        <f>IFERROR(__xludf.DUMMYFUNCTION("""COMPUTED_VALUE"""),"No Corresp")</f>
        <v>No Corresp</v>
      </c>
      <c r="AF283" s="7"/>
    </row>
    <row r="284">
      <c r="A284" s="42">
        <f>IFERROR(__xludf.DUMMYFUNCTION("""COMPUTED_VALUE"""),45538.752400868056)</f>
        <v>45538.7524</v>
      </c>
      <c r="B284" s="43" t="str">
        <f>IFERROR(__xludf.DUMMYFUNCTION("""COMPUTED_VALUE"""),"Eduardo")</f>
        <v>Eduardo</v>
      </c>
      <c r="C284" s="43" t="str">
        <f>IFERROR(__xludf.DUMMYFUNCTION("""COMPUTED_VALUE"""),"Santambrogio ")</f>
        <v>Santambrogio </v>
      </c>
      <c r="D284" s="43" t="str">
        <f>IFERROR(__xludf.DUMMYFUNCTION("""COMPUTED_VALUE""")," Beccar Buenos Aires")</f>
        <v> Beccar Buenos Aires</v>
      </c>
      <c r="E284" s="45" t="str">
        <f>IFERROR(__xludf.DUMMYFUNCTION("""COMPUTED_VALUE"""),"ARG")</f>
        <v>ARG</v>
      </c>
      <c r="F284" s="45">
        <f>IFERROR(__xludf.DUMMYFUNCTION("""COMPUTED_VALUE"""),1.7200545E7)</f>
        <v>17200545</v>
      </c>
      <c r="G284" s="44">
        <f>IFERROR(__xludf.DUMMYFUNCTION("""COMPUTED_VALUE"""),23516.0)</f>
        <v>23516</v>
      </c>
      <c r="H284" s="45">
        <f>IFERROR(__xludf.DUMMYFUNCTION("""COMPUTED_VALUE"""),1.13086323E9)</f>
        <v>1130863230</v>
      </c>
      <c r="I284" s="45">
        <f>IFERROR(__xludf.DUMMYFUNCTION("""COMPUTED_VALUE"""),1.145639E9)</f>
        <v>1145639000</v>
      </c>
      <c r="J284" s="45" t="str">
        <f>IFERROR(__xludf.DUMMYFUNCTION("""COMPUTED_VALUE"""),"esinex@esinex.com")</f>
        <v>esinex@esinex.com</v>
      </c>
      <c r="K284" s="45" t="str">
        <f>IFERROR(__xludf.DUMMYFUNCTION("""COMPUTED_VALUE"""),"Masculino")</f>
        <v>Masculino</v>
      </c>
      <c r="L284" s="45" t="str">
        <f>IFERROR(__xludf.DUMMYFUNCTION("""COMPUTED_VALUE"""),"YCO YCA")</f>
        <v>YCO YCA</v>
      </c>
      <c r="M284" s="45" t="str">
        <f>IFERROR(__xludf.DUMMYFUNCTION("""COMPUTED_VALUE"""),"Master (ILCA)")</f>
        <v>Master (ILCA)</v>
      </c>
      <c r="N284" s="7" t="str">
        <f>IFERROR(__xludf.DUMMYFUNCTION("""COMPUTED_VALUE"""),"ILCA 6")</f>
        <v>ILCA 6</v>
      </c>
      <c r="O284" s="7"/>
      <c r="P284" s="7">
        <f>IFERROR(__xludf.DUMMYFUNCTION("""COMPUTED_VALUE"""),220571.0)</f>
        <v>220571</v>
      </c>
      <c r="Q284" s="45" t="str">
        <f>IFERROR(__xludf.DUMMYFUNCTION("""COMPUTED_VALUE"""),"Esinex")</f>
        <v>Esinex</v>
      </c>
      <c r="R284" s="45"/>
      <c r="S284" s="45"/>
      <c r="T284" s="45"/>
      <c r="U284" s="45"/>
      <c r="V284" s="45"/>
      <c r="W284" s="45"/>
      <c r="X284" s="47" t="str">
        <f>IFERROR(__xludf.DUMMYFUNCTION("""COMPUTED_VALUE"""),"OSDE ")</f>
        <v>OSDE </v>
      </c>
      <c r="Y284" s="7" t="str">
        <f>IFERROR(__xludf.DUMMYFUNCTION("""COMPUTED_VALUE"""),"Si")</f>
        <v>Si</v>
      </c>
      <c r="Z284" s="45" t="str">
        <f>IFERROR(__xludf.DUMMYFUNCTION("""COMPUTED_VALUE"""),"Acepto")</f>
        <v>Acepto</v>
      </c>
      <c r="AA284" s="45" t="str">
        <f>IFERROR(__xludf.DUMMYFUNCTION("""COMPUTED_VALUE"""),"Terminado")</f>
        <v>Terminado</v>
      </c>
      <c r="AB284" s="45">
        <f>IFERROR(__xludf.DUMMYFUNCTION("""COMPUTED_VALUE"""),45000.0)</f>
        <v>45000</v>
      </c>
      <c r="AC284" s="7"/>
      <c r="AD284" s="7" t="str">
        <f>IFERROR(__xludf.DUMMYFUNCTION("""COMPUTED_VALUE"""),"AF")</f>
        <v>AF</v>
      </c>
      <c r="AE284" s="7" t="str">
        <f>IFERROR(__xludf.DUMMYFUNCTION("""COMPUTED_VALUE"""),"No Corresp")</f>
        <v>No Corresp</v>
      </c>
      <c r="AF284" s="7"/>
    </row>
    <row r="285">
      <c r="A285" s="42">
        <f>IFERROR(__xludf.DUMMYFUNCTION("""COMPUTED_VALUE"""),45535.61396112268)</f>
        <v>45535.61396</v>
      </c>
      <c r="B285" s="43" t="str">
        <f>IFERROR(__xludf.DUMMYFUNCTION("""COMPUTED_VALUE"""),"Lucia")</f>
        <v>Lucia</v>
      </c>
      <c r="C285" s="43" t="str">
        <f>IFERROR(__xludf.DUMMYFUNCTION("""COMPUTED_VALUE"""),"Santoro Calvi ")</f>
        <v>Santoro Calvi </v>
      </c>
      <c r="D285" s="43" t="str">
        <f>IFERROR(__xludf.DUMMYFUNCTION("""COMPUTED_VALUE"""),"Zarate ")</f>
        <v>Zarate </v>
      </c>
      <c r="E285" s="45" t="str">
        <f>IFERROR(__xludf.DUMMYFUNCTION("""COMPUTED_VALUE"""),"ARG")</f>
        <v>ARG</v>
      </c>
      <c r="F285" s="45">
        <f>IFERROR(__xludf.DUMMYFUNCTION("""COMPUTED_VALUE"""),5.0487891E7)</f>
        <v>50487891</v>
      </c>
      <c r="G285" s="44">
        <f>IFERROR(__xludf.DUMMYFUNCTION("""COMPUTED_VALUE"""),40500.0)</f>
        <v>40500</v>
      </c>
      <c r="H285" s="45">
        <f>IFERROR(__xludf.DUMMYFUNCTION("""COMPUTED_VALUE"""),3.487509311E9)</f>
        <v>3487509311</v>
      </c>
      <c r="I285" s="45">
        <f>IFERROR(__xludf.DUMMYFUNCTION("""COMPUTED_VALUE"""),3.497622019E9)</f>
        <v>3497622019</v>
      </c>
      <c r="J285" s="45" t="str">
        <f>IFERROR(__xludf.DUMMYFUNCTION("""COMPUTED_VALUE"""),"jpablosantoro@gmail.com")</f>
        <v>jpablosantoro@gmail.com</v>
      </c>
      <c r="K285" s="45" t="str">
        <f>IFERROR(__xludf.DUMMYFUNCTION("""COMPUTED_VALUE"""),"Femenino")</f>
        <v>Femenino</v>
      </c>
      <c r="L285" s="45" t="str">
        <f>IFERROR(__xludf.DUMMYFUNCTION("""COMPUTED_VALUE"""),"CNZ")</f>
        <v>CNZ</v>
      </c>
      <c r="M285" s="45" t="str">
        <f>IFERROR(__xludf.DUMMYFUNCTION("""COMPUTED_VALUE"""),"Femenino, Interior (Optimist)")</f>
        <v>Femenino, Interior (Optimist)</v>
      </c>
      <c r="N285" s="7" t="str">
        <f>IFERROR(__xludf.DUMMYFUNCTION("""COMPUTED_VALUE"""),"OPTIMIST TIMONELES")</f>
        <v>OPTIMIST TIMONELES</v>
      </c>
      <c r="O285" s="7"/>
      <c r="P285" s="7">
        <f>IFERROR(__xludf.DUMMYFUNCTION("""COMPUTED_VALUE"""),3826.0)</f>
        <v>3826</v>
      </c>
      <c r="Q285" s="45"/>
      <c r="R285" s="45"/>
      <c r="S285" s="45"/>
      <c r="T285" s="45"/>
      <c r="U285" s="45"/>
      <c r="V285" s="45"/>
      <c r="W285" s="45"/>
      <c r="X285" s="47" t="str">
        <f>IFERROR(__xludf.DUMMYFUNCTION("""COMPUTED_VALUE"""),"OSDE")</f>
        <v>OSDE</v>
      </c>
      <c r="Y285" s="7" t="str">
        <f>IFERROR(__xludf.DUMMYFUNCTION("""COMPUTED_VALUE"""),"Si")</f>
        <v>Si</v>
      </c>
      <c r="Z285" s="45" t="str">
        <f>IFERROR(__xludf.DUMMYFUNCTION("""COMPUTED_VALUE"""),"Acepto")</f>
        <v>Acepto</v>
      </c>
      <c r="AA285" s="45" t="str">
        <f>IFERROR(__xludf.DUMMYFUNCTION("""COMPUTED_VALUE"""),"Terminado")</f>
        <v>Terminado</v>
      </c>
      <c r="AB285" s="45">
        <f>IFERROR(__xludf.DUMMYFUNCTION("""COMPUTED_VALUE"""),50000.0)</f>
        <v>50000</v>
      </c>
      <c r="AC285" s="7">
        <f>IFERROR(__xludf.DUMMYFUNCTION("""COMPUTED_VALUE"""),205165.0)</f>
        <v>205165</v>
      </c>
      <c r="AD285" s="7" t="str">
        <f>IFERROR(__xludf.DUMMYFUNCTION("""COMPUTED_VALUE"""),"TRF 31-08")</f>
        <v>TRF 31-08</v>
      </c>
      <c r="AE285" s="7" t="str">
        <f>IFERROR(__xludf.DUMMYFUNCTION("""COMPUTED_VALUE"""),"OK")</f>
        <v>OK</v>
      </c>
      <c r="AF285" s="7"/>
    </row>
    <row r="286">
      <c r="A286" s="42">
        <f>IFERROR(__xludf.DUMMYFUNCTION("""COMPUTED_VALUE"""),45535.57262200231)</f>
        <v>45535.57262</v>
      </c>
      <c r="B286" s="43" t="str">
        <f>IFERROR(__xludf.DUMMYFUNCTION("""COMPUTED_VALUE"""),"Matias")</f>
        <v>Matias</v>
      </c>
      <c r="C286" s="43" t="str">
        <f>IFERROR(__xludf.DUMMYFUNCTION("""COMPUTED_VALUE"""),"Sapia")</f>
        <v>Sapia</v>
      </c>
      <c r="D286" s="43" t="str">
        <f>IFERROR(__xludf.DUMMYFUNCTION("""COMPUTED_VALUE"""),"Buenos Aires")</f>
        <v>Buenos Aires</v>
      </c>
      <c r="E286" s="45" t="str">
        <f>IFERROR(__xludf.DUMMYFUNCTION("""COMPUTED_VALUE"""),"ARG")</f>
        <v>ARG</v>
      </c>
      <c r="F286" s="45">
        <f>IFERROR(__xludf.DUMMYFUNCTION("""COMPUTED_VALUE"""),5.0032653E7)</f>
        <v>50032653</v>
      </c>
      <c r="G286" s="44">
        <f>IFERROR(__xludf.DUMMYFUNCTION("""COMPUTED_VALUE"""),40254.0)</f>
        <v>40254</v>
      </c>
      <c r="H286" s="45">
        <f>IFERROR(__xludf.DUMMYFUNCTION("""COMPUTED_VALUE"""),1.154662255E9)</f>
        <v>1154662255</v>
      </c>
      <c r="I286" s="45">
        <f>IFERROR(__xludf.DUMMYFUNCTION("""COMPUTED_VALUE"""),1.160374897E9)</f>
        <v>1160374897</v>
      </c>
      <c r="J286" s="45" t="str">
        <f>IFERROR(__xludf.DUMMYFUNCTION("""COMPUTED_VALUE"""),"Matiasimagina@gmail.com")</f>
        <v>Matiasimagina@gmail.com</v>
      </c>
      <c r="K286" s="45" t="str">
        <f>IFERROR(__xludf.DUMMYFUNCTION("""COMPUTED_VALUE"""),"Masculino")</f>
        <v>Masculino</v>
      </c>
      <c r="L286" s="45" t="str">
        <f>IFERROR(__xludf.DUMMYFUNCTION("""COMPUTED_VALUE"""),"CNGSM")</f>
        <v>CNGSM</v>
      </c>
      <c r="M286" s="45" t="str">
        <f>IFERROR(__xludf.DUMMYFUNCTION("""COMPUTED_VALUE"""),"Interior (Optimist)")</f>
        <v>Interior (Optimist)</v>
      </c>
      <c r="N286" s="7" t="str">
        <f>IFERROR(__xludf.DUMMYFUNCTION("""COMPUTED_VALUE"""),"OPTIMIST TIMONELES")</f>
        <v>OPTIMIST TIMONELES</v>
      </c>
      <c r="O286" s="7"/>
      <c r="P286" s="7">
        <f>IFERROR(__xludf.DUMMYFUNCTION("""COMPUTED_VALUE"""),3539.0)</f>
        <v>3539</v>
      </c>
      <c r="Q286" s="45" t="str">
        <f>IFERROR(__xludf.DUMMYFUNCTION("""COMPUTED_VALUE"""),"Milito 22")</f>
        <v>Milito 22</v>
      </c>
      <c r="R286" s="45" t="str">
        <f>IFERROR(__xludf.DUMMYFUNCTION("""COMPUTED_VALUE"""),"Matías Sapia")</f>
        <v>Matías Sapia</v>
      </c>
      <c r="S286" s="45"/>
      <c r="T286" s="45"/>
      <c r="U286" s="45"/>
      <c r="V286" s="45"/>
      <c r="W286" s="45"/>
      <c r="X286" s="47">
        <f>IFERROR(__xludf.DUMMYFUNCTION("""COMPUTED_VALUE"""),377448.0)</f>
        <v>377448</v>
      </c>
      <c r="Y286" s="7" t="str">
        <f>IFERROR(__xludf.DUMMYFUNCTION("""COMPUTED_VALUE"""),"No")</f>
        <v>No</v>
      </c>
      <c r="Z286" s="45" t="str">
        <f>IFERROR(__xludf.DUMMYFUNCTION("""COMPUTED_VALUE"""),"Acepto")</f>
        <v>Acepto</v>
      </c>
      <c r="AA286" s="45" t="str">
        <f>IFERROR(__xludf.DUMMYFUNCTION("""COMPUTED_VALUE"""),"Repetido")</f>
        <v>Repetido</v>
      </c>
      <c r="AB286" s="45"/>
      <c r="AC286" s="7"/>
      <c r="AD286" s="7"/>
      <c r="AE286" s="7" t="str">
        <f>IFERROR(__xludf.DUMMYFUNCTION("""COMPUTED_VALUE"""),"No Corresp")</f>
        <v>No Corresp</v>
      </c>
      <c r="AF286" s="7"/>
    </row>
    <row r="287">
      <c r="A287" s="42">
        <f>IFERROR(__xludf.DUMMYFUNCTION("""COMPUTED_VALUE"""),45535.576243460644)</f>
        <v>45535.57624</v>
      </c>
      <c r="B287" s="43" t="str">
        <f>IFERROR(__xludf.DUMMYFUNCTION("""COMPUTED_VALUE"""),"Matias")</f>
        <v>Matias</v>
      </c>
      <c r="C287" s="43" t="str">
        <f>IFERROR(__xludf.DUMMYFUNCTION("""COMPUTED_VALUE"""),"Sapia")</f>
        <v>Sapia</v>
      </c>
      <c r="D287" s="43" t="str">
        <f>IFERROR(__xludf.DUMMYFUNCTION("""COMPUTED_VALUE"""),"Buenos Aires ")</f>
        <v>Buenos Aires </v>
      </c>
      <c r="E287" s="45" t="str">
        <f>IFERROR(__xludf.DUMMYFUNCTION("""COMPUTED_VALUE"""),"ARG")</f>
        <v>ARG</v>
      </c>
      <c r="F287" s="45">
        <f>IFERROR(__xludf.DUMMYFUNCTION("""COMPUTED_VALUE"""),5.0032653E7)</f>
        <v>50032653</v>
      </c>
      <c r="G287" s="44">
        <f>IFERROR(__xludf.DUMMYFUNCTION("""COMPUTED_VALUE"""),40254.0)</f>
        <v>40254</v>
      </c>
      <c r="H287" s="45">
        <f>IFERROR(__xludf.DUMMYFUNCTION("""COMPUTED_VALUE"""),1.154662255E9)</f>
        <v>1154662255</v>
      </c>
      <c r="I287" s="45">
        <f>IFERROR(__xludf.DUMMYFUNCTION("""COMPUTED_VALUE"""),1.160374897E9)</f>
        <v>1160374897</v>
      </c>
      <c r="J287" s="45" t="str">
        <f>IFERROR(__xludf.DUMMYFUNCTION("""COMPUTED_VALUE"""),"Matiasimagina@gmail.com")</f>
        <v>Matiasimagina@gmail.com</v>
      </c>
      <c r="K287" s="45" t="str">
        <f>IFERROR(__xludf.DUMMYFUNCTION("""COMPUTED_VALUE"""),"Masculino")</f>
        <v>Masculino</v>
      </c>
      <c r="L287" s="45" t="str">
        <f>IFERROR(__xludf.DUMMYFUNCTION("""COMPUTED_VALUE"""),"CNGSM")</f>
        <v>CNGSM</v>
      </c>
      <c r="M287" s="45" t="str">
        <f>IFERROR(__xludf.DUMMYFUNCTION("""COMPUTED_VALUE"""),"Interior (Optimist)")</f>
        <v>Interior (Optimist)</v>
      </c>
      <c r="N287" s="7" t="str">
        <f>IFERROR(__xludf.DUMMYFUNCTION("""COMPUTED_VALUE"""),"OPTIMIST TIMONELES")</f>
        <v>OPTIMIST TIMONELES</v>
      </c>
      <c r="O287" s="7"/>
      <c r="P287" s="7">
        <f>IFERROR(__xludf.DUMMYFUNCTION("""COMPUTED_VALUE"""),3539.0)</f>
        <v>3539</v>
      </c>
      <c r="Q287" s="45" t="str">
        <f>IFERROR(__xludf.DUMMYFUNCTION("""COMPUTED_VALUE"""),"Milito 22")</f>
        <v>Milito 22</v>
      </c>
      <c r="R287" s="45" t="str">
        <f>IFERROR(__xludf.DUMMYFUNCTION("""COMPUTED_VALUE"""),"Matías Sapia")</f>
        <v>Matías Sapia</v>
      </c>
      <c r="S287" s="45"/>
      <c r="T287" s="45"/>
      <c r="U287" s="45"/>
      <c r="V287" s="45"/>
      <c r="W287" s="45"/>
      <c r="X287" s="47"/>
      <c r="Y287" s="7" t="str">
        <f>IFERROR(__xludf.DUMMYFUNCTION("""COMPUTED_VALUE"""),"No")</f>
        <v>No</v>
      </c>
      <c r="Z287" s="45" t="str">
        <f>IFERROR(__xludf.DUMMYFUNCTION("""COMPUTED_VALUE"""),"Acepto")</f>
        <v>Acepto</v>
      </c>
      <c r="AA287" s="45" t="str">
        <f>IFERROR(__xludf.DUMMYFUNCTION("""COMPUTED_VALUE"""),"Pendiente")</f>
        <v>Pendiente</v>
      </c>
      <c r="AB287" s="45"/>
      <c r="AC287" s="7"/>
      <c r="AD287" s="7"/>
      <c r="AE287" s="7" t="str">
        <f>IFERROR(__xludf.DUMMYFUNCTION("""COMPUTED_VALUE"""),"OK")</f>
        <v>OK</v>
      </c>
      <c r="AF287" s="7" t="str">
        <f>IFERROR(__xludf.DUMMYFUNCTION("""COMPUTED_VALUE"""),"SI")</f>
        <v>SI</v>
      </c>
    </row>
    <row r="288">
      <c r="A288" s="42">
        <f>IFERROR(__xludf.DUMMYFUNCTION("""COMPUTED_VALUE"""),45534.82650591435)</f>
        <v>45534.82651</v>
      </c>
      <c r="B288" s="43" t="str">
        <f>IFERROR(__xludf.DUMMYFUNCTION("""COMPUTED_VALUE"""),"Santiago ")</f>
        <v>Santiago </v>
      </c>
      <c r="C288" s="43" t="str">
        <f>IFERROR(__xludf.DUMMYFUNCTION("""COMPUTED_VALUE"""),"Saraví ")</f>
        <v>Saraví </v>
      </c>
      <c r="D288" s="43" t="str">
        <f>IFERROR(__xludf.DUMMYFUNCTION("""COMPUTED_VALUE"""),"La Plata ")</f>
        <v>La Plata </v>
      </c>
      <c r="E288" s="45" t="str">
        <f>IFERROR(__xludf.DUMMYFUNCTION("""COMPUTED_VALUE"""),"ARG")</f>
        <v>ARG</v>
      </c>
      <c r="F288" s="45">
        <f>IFERROR(__xludf.DUMMYFUNCTION("""COMPUTED_VALUE"""),5.0098931E7)</f>
        <v>50098931</v>
      </c>
      <c r="G288" s="44">
        <f>IFERROR(__xludf.DUMMYFUNCTION("""COMPUTED_VALUE"""),40221.0)</f>
        <v>40221</v>
      </c>
      <c r="H288" s="45">
        <f>IFERROR(__xludf.DUMMYFUNCTION("""COMPUTED_VALUE"""),2.215584734E9)</f>
        <v>2215584734</v>
      </c>
      <c r="I288" s="45">
        <f>IFERROR(__xludf.DUMMYFUNCTION("""COMPUTED_VALUE"""),2.215584734E9)</f>
        <v>2215584734</v>
      </c>
      <c r="J288" s="45" t="str">
        <f>IFERROR(__xludf.DUMMYFUNCTION("""COMPUTED_VALUE"""),"pauladargenio@hotmail.com")</f>
        <v>pauladargenio@hotmail.com</v>
      </c>
      <c r="K288" s="45" t="str">
        <f>IFERROR(__xludf.DUMMYFUNCTION("""COMPUTED_VALUE"""),"Masculino")</f>
        <v>Masculino</v>
      </c>
      <c r="L288" s="45" t="str">
        <f>IFERROR(__xludf.DUMMYFUNCTION("""COMPUTED_VALUE"""),"CRLP")</f>
        <v>CRLP</v>
      </c>
      <c r="M288" s="45" t="str">
        <f>IFERROR(__xludf.DUMMYFUNCTION("""COMPUTED_VALUE"""),"Interior (Optimist)")</f>
        <v>Interior (Optimist)</v>
      </c>
      <c r="N288" s="7" t="str">
        <f>IFERROR(__xludf.DUMMYFUNCTION("""COMPUTED_VALUE"""),"OPTIMIST TIMONELES")</f>
        <v>OPTIMIST TIMONELES</v>
      </c>
      <c r="O288" s="7"/>
      <c r="P288" s="7">
        <f>IFERROR(__xludf.DUMMYFUNCTION("""COMPUTED_VALUE"""),3591.0)</f>
        <v>3591</v>
      </c>
      <c r="Q288" s="45"/>
      <c r="R288" s="45"/>
      <c r="S288" s="45"/>
      <c r="T288" s="45"/>
      <c r="U288" s="45"/>
      <c r="V288" s="45"/>
      <c r="W288" s="45"/>
      <c r="X288" s="47" t="str">
        <f>IFERROR(__xludf.DUMMYFUNCTION("""COMPUTED_VALUE"""),"IOMA / K251906063/02")</f>
        <v>IOMA / K251906063/02</v>
      </c>
      <c r="Y288" s="7" t="str">
        <f>IFERROR(__xludf.DUMMYFUNCTION("""COMPUTED_VALUE"""),"Si")</f>
        <v>Si</v>
      </c>
      <c r="Z288" s="45" t="str">
        <f>IFERROR(__xludf.DUMMYFUNCTION("""COMPUTED_VALUE"""),"Acepto")</f>
        <v>Acepto</v>
      </c>
      <c r="AA288" s="45" t="str">
        <f>IFERROR(__xludf.DUMMYFUNCTION("""COMPUTED_VALUE"""),"Terminado")</f>
        <v>Terminado</v>
      </c>
      <c r="AB288" s="45">
        <f>IFERROR(__xludf.DUMMYFUNCTION("""COMPUTED_VALUE"""),50000.0)</f>
        <v>50000</v>
      </c>
      <c r="AC288" s="7">
        <f>IFERROR(__xludf.DUMMYFUNCTION("""COMPUTED_VALUE"""),205162.0)</f>
        <v>205162</v>
      </c>
      <c r="AD288" s="7" t="str">
        <f>IFERROR(__xludf.DUMMYFUNCTION("""COMPUTED_VALUE"""),"TRF 31/08")</f>
        <v>TRF 31/08</v>
      </c>
      <c r="AE288" s="7" t="str">
        <f>IFERROR(__xludf.DUMMYFUNCTION("""COMPUTED_VALUE"""),"OK")</f>
        <v>OK</v>
      </c>
      <c r="AF288" s="7"/>
    </row>
    <row r="289">
      <c r="A289" s="42">
        <f>IFERROR(__xludf.DUMMYFUNCTION("""COMPUTED_VALUE"""),45525.70991451389)</f>
        <v>45525.70991</v>
      </c>
      <c r="B289" s="43" t="str">
        <f>IFERROR(__xludf.DUMMYFUNCTION("""COMPUTED_VALUE"""),"Maximiliano")</f>
        <v>Maximiliano</v>
      </c>
      <c r="C289" s="43" t="str">
        <f>IFERROR(__xludf.DUMMYFUNCTION("""COMPUTED_VALUE"""),"Sastre")</f>
        <v>Sastre</v>
      </c>
      <c r="D289" s="43" t="str">
        <f>IFERROR(__xludf.DUMMYFUNCTION("""COMPUTED_VALUE"""),"Ciudad Autónoma de Buenos Aires")</f>
        <v>Ciudad Autónoma de Buenos Aires</v>
      </c>
      <c r="E289" s="45" t="str">
        <f>IFERROR(__xludf.DUMMYFUNCTION("""COMPUTED_VALUE"""),"ARG")</f>
        <v>ARG</v>
      </c>
      <c r="F289" s="45">
        <f>IFERROR(__xludf.DUMMYFUNCTION("""COMPUTED_VALUE"""),2.4914586E7)</f>
        <v>24914586</v>
      </c>
      <c r="G289" s="44">
        <f>IFERROR(__xludf.DUMMYFUNCTION("""COMPUTED_VALUE"""),27727.0)</f>
        <v>27727</v>
      </c>
      <c r="H289" s="45" t="str">
        <f>IFERROR(__xludf.DUMMYFUNCTION("""COMPUTED_VALUE"""),"11 6511-2132")</f>
        <v>11 6511-2132</v>
      </c>
      <c r="I289" s="45" t="str">
        <f>IFERROR(__xludf.DUMMYFUNCTION("""COMPUTED_VALUE"""),"11 4143-9707")</f>
        <v>11 4143-9707</v>
      </c>
      <c r="J289" s="45" t="str">
        <f>IFERROR(__xludf.DUMMYFUNCTION("""COMPUTED_VALUE"""),"masastre75@hotmail.com")</f>
        <v>masastre75@hotmail.com</v>
      </c>
      <c r="K289" s="45" t="str">
        <f>IFERROR(__xludf.DUMMYFUNCTION("""COMPUTED_VALUE"""),"Masculino")</f>
        <v>Masculino</v>
      </c>
      <c r="L289" s="45" t="str">
        <f>IFERROR(__xludf.DUMMYFUNCTION("""COMPUTED_VALUE"""),"YCCN")</f>
        <v>YCCN</v>
      </c>
      <c r="M289" s="45" t="str">
        <f>IFERROR(__xludf.DUMMYFUNCTION("""COMPUTED_VALUE"""),"Mixto")</f>
        <v>Mixto</v>
      </c>
      <c r="N289" s="7" t="str">
        <f>IFERROR(__xludf.DUMMYFUNCTION("""COMPUTED_VALUE"""),"PAMPERO")</f>
        <v>PAMPERO</v>
      </c>
      <c r="O289" s="7"/>
      <c r="P289" s="7">
        <f>IFERROR(__xludf.DUMMYFUNCTION("""COMPUTED_VALUE"""),2022.0)</f>
        <v>2022</v>
      </c>
      <c r="Q289" s="45" t="str">
        <f>IFERROR(__xludf.DUMMYFUNCTION("""COMPUTED_VALUE"""),"NÓMADE")</f>
        <v>NÓMADE</v>
      </c>
      <c r="R289" s="45" t="str">
        <f>IFERROR(__xludf.DUMMYFUNCTION("""COMPUTED_VALUE"""),"Victoria Abril Sastre")</f>
        <v>Victoria Abril Sastre</v>
      </c>
      <c r="S289" s="45"/>
      <c r="T289" s="45"/>
      <c r="U289" s="45"/>
      <c r="V289" s="45"/>
      <c r="W289" s="45"/>
      <c r="X289" s="47" t="str">
        <f>IFERROR(__xludf.DUMMYFUNCTION("""COMPUTED_VALUE"""),"IOSFA")</f>
        <v>IOSFA</v>
      </c>
      <c r="Y289" s="7" t="str">
        <f>IFERROR(__xludf.DUMMYFUNCTION("""COMPUTED_VALUE"""),"No")</f>
        <v>No</v>
      </c>
      <c r="Z289" s="45" t="str">
        <f>IFERROR(__xludf.DUMMYFUNCTION("""COMPUTED_VALUE"""),"Acepto")</f>
        <v>Acepto</v>
      </c>
      <c r="AA289" s="45" t="str">
        <f>IFERROR(__xludf.DUMMYFUNCTION("""COMPUTED_VALUE"""),"Terminado")</f>
        <v>Terminado</v>
      </c>
      <c r="AB289" s="45">
        <f>IFERROR(__xludf.DUMMYFUNCTION("""COMPUTED_VALUE"""),60000.0)</f>
        <v>60000</v>
      </c>
      <c r="AC289" s="7">
        <f>IFERROR(__xludf.DUMMYFUNCTION("""COMPUTED_VALUE"""),205024.0)</f>
        <v>205024</v>
      </c>
      <c r="AD289" s="7" t="str">
        <f>IFERROR(__xludf.DUMMYFUNCTION("""COMPUTED_VALUE"""),"TRF 21-08")</f>
        <v>TRF 21-08</v>
      </c>
      <c r="AE289" s="7" t="str">
        <f>IFERROR(__xludf.DUMMYFUNCTION("""COMPUTED_VALUE"""),"No Corresp")</f>
        <v>No Corresp</v>
      </c>
      <c r="AF289" s="7" t="str">
        <f>IFERROR(__xludf.DUMMYFUNCTION("""COMPUTED_VALUE"""),"Si")</f>
        <v>Si</v>
      </c>
    </row>
    <row r="290">
      <c r="A290" s="42">
        <f>IFERROR(__xludf.DUMMYFUNCTION("""COMPUTED_VALUE"""),45540.6187827199)</f>
        <v>45540.61878</v>
      </c>
      <c r="B290" s="43" t="str">
        <f>IFERROR(__xludf.DUMMYFUNCTION("""COMPUTED_VALUE"""),"Mariano")</f>
        <v>Mariano</v>
      </c>
      <c r="C290" s="43" t="str">
        <f>IFERROR(__xludf.DUMMYFUNCTION("""COMPUTED_VALUE"""),"Saul")</f>
        <v>Saul</v>
      </c>
      <c r="D290" s="43" t="str">
        <f>IFERROR(__xludf.DUMMYFUNCTION("""COMPUTED_VALUE"""),"Vicente Lopez")</f>
        <v>Vicente Lopez</v>
      </c>
      <c r="E290" s="45" t="str">
        <f>IFERROR(__xludf.DUMMYFUNCTION("""COMPUTED_VALUE"""),"ARG")</f>
        <v>ARG</v>
      </c>
      <c r="F290" s="45">
        <f>IFERROR(__xludf.DUMMYFUNCTION("""COMPUTED_VALUE"""),2.3374203E7)</f>
        <v>23374203</v>
      </c>
      <c r="G290" s="44">
        <f>IFERROR(__xludf.DUMMYFUNCTION("""COMPUTED_VALUE"""),26786.0)</f>
        <v>26786</v>
      </c>
      <c r="H290" s="45">
        <f>IFERROR(__xludf.DUMMYFUNCTION("""COMPUTED_VALUE"""),1.557131286E9)</f>
        <v>1557131286</v>
      </c>
      <c r="I290" s="45">
        <f>IFERROR(__xludf.DUMMYFUNCTION("""COMPUTED_VALUE"""),1.563668146E9)</f>
        <v>1563668146</v>
      </c>
      <c r="J290" s="45" t="str">
        <f>IFERROR(__xludf.DUMMYFUNCTION("""COMPUTED_VALUE"""),"mariguard02@yahoo.com.ar")</f>
        <v>mariguard02@yahoo.com.ar</v>
      </c>
      <c r="K290" s="45" t="str">
        <f>IFERROR(__xludf.DUMMYFUNCTION("""COMPUTED_VALUE"""),"Masculino")</f>
        <v>Masculino</v>
      </c>
      <c r="L290" s="45" t="str">
        <f>IFERROR(__xludf.DUMMYFUNCTION("""COMPUTED_VALUE"""),"YCO")</f>
        <v>YCO</v>
      </c>
      <c r="M290" s="45" t="str">
        <f>IFERROR(__xludf.DUMMYFUNCTION("""COMPUTED_VALUE"""),"Master (ILCA)")</f>
        <v>Master (ILCA)</v>
      </c>
      <c r="N290" s="7" t="str">
        <f>IFERROR(__xludf.DUMMYFUNCTION("""COMPUTED_VALUE"""),"ILCA 7")</f>
        <v>ILCA 7</v>
      </c>
      <c r="O290" s="7"/>
      <c r="P290" s="7">
        <f>IFERROR(__xludf.DUMMYFUNCTION("""COMPUTED_VALUE"""),211981.0)</f>
        <v>211981</v>
      </c>
      <c r="Q290" s="45"/>
      <c r="R290" s="45"/>
      <c r="S290" s="45"/>
      <c r="T290" s="45"/>
      <c r="U290" s="45"/>
      <c r="V290" s="45"/>
      <c r="W290" s="45"/>
      <c r="X290" s="47"/>
      <c r="Y290" s="7" t="str">
        <f>IFERROR(__xludf.DUMMYFUNCTION("""COMPUTED_VALUE"""),"Si")</f>
        <v>Si</v>
      </c>
      <c r="Z290" s="45" t="str">
        <f>IFERROR(__xludf.DUMMYFUNCTION("""COMPUTED_VALUE"""),"Acepto")</f>
        <v>Acepto</v>
      </c>
      <c r="AA290" s="45" t="str">
        <f>IFERROR(__xludf.DUMMYFUNCTION("""COMPUTED_VALUE"""),"Terminado")</f>
        <v>Terminado</v>
      </c>
      <c r="AB290" s="45">
        <f>IFERROR(__xludf.DUMMYFUNCTION("""COMPUTED_VALUE"""),45000.0)</f>
        <v>45000</v>
      </c>
      <c r="AC290" s="7"/>
      <c r="AD290" s="7" t="str">
        <f>IFERROR(__xludf.DUMMYFUNCTION("""COMPUTED_VALUE"""),"AF")</f>
        <v>AF</v>
      </c>
      <c r="AE290" s="7" t="str">
        <f>IFERROR(__xludf.DUMMYFUNCTION("""COMPUTED_VALUE"""),"No Corresp")</f>
        <v>No Corresp</v>
      </c>
      <c r="AF290" s="7"/>
    </row>
    <row r="291">
      <c r="A291" s="42">
        <f>IFERROR(__xludf.DUMMYFUNCTION("""COMPUTED_VALUE"""),45536.90592196759)</f>
        <v>45536.90592</v>
      </c>
      <c r="B291" s="43" t="str">
        <f>IFERROR(__xludf.DUMMYFUNCTION("""COMPUTED_VALUE"""),"FABIO")</f>
        <v>FABIO</v>
      </c>
      <c r="C291" s="43" t="str">
        <f>IFERROR(__xludf.DUMMYFUNCTION("""COMPUTED_VALUE"""),"SCARPATI")</f>
        <v>SCARPATI</v>
      </c>
      <c r="D291" s="43" t="str">
        <f>IFERROR(__xludf.DUMMYFUNCTION("""COMPUTED_VALUE"""),"Bs as")</f>
        <v>Bs as</v>
      </c>
      <c r="E291" s="45" t="str">
        <f>IFERROR(__xludf.DUMMYFUNCTION("""COMPUTED_VALUE"""),"ARG")</f>
        <v>ARG</v>
      </c>
      <c r="F291" s="45">
        <f>IFERROR(__xludf.DUMMYFUNCTION("""COMPUTED_VALUE"""),1.7962134E7)</f>
        <v>17962134</v>
      </c>
      <c r="G291" s="44">
        <f>IFERROR(__xludf.DUMMYFUNCTION("""COMPUTED_VALUE"""),24104.0)</f>
        <v>24104</v>
      </c>
      <c r="H291" s="45">
        <f>IFERROR(__xludf.DUMMYFUNCTION("""COMPUTED_VALUE"""),1.135720818E9)</f>
        <v>1135720818</v>
      </c>
      <c r="I291" s="45">
        <f>IFERROR(__xludf.DUMMYFUNCTION("""COMPUTED_VALUE"""),1.150041298E9)</f>
        <v>1150041298</v>
      </c>
      <c r="J291" s="45" t="str">
        <f>IFERROR(__xludf.DUMMYFUNCTION("""COMPUTED_VALUE"""),"scarpatifabio@hotmail.com")</f>
        <v>scarpatifabio@hotmail.com</v>
      </c>
      <c r="K291" s="45" t="str">
        <f>IFERROR(__xludf.DUMMYFUNCTION("""COMPUTED_VALUE"""),"Masculino")</f>
        <v>Masculino</v>
      </c>
      <c r="L291" s="45" t="str">
        <f>IFERROR(__xludf.DUMMYFUNCTION("""COMPUTED_VALUE"""),"CNO/CNGSM")</f>
        <v>CNO/CNGSM</v>
      </c>
      <c r="M291" s="45" t="str">
        <f>IFERROR(__xludf.DUMMYFUNCTION("""COMPUTED_VALUE"""),"Mixto")</f>
        <v>Mixto</v>
      </c>
      <c r="N291" s="7" t="str">
        <f>IFERROR(__xludf.DUMMYFUNCTION("""COMPUTED_VALUE"""),"STAR")</f>
        <v>STAR</v>
      </c>
      <c r="O291" s="7"/>
      <c r="P291" s="7" t="str">
        <f>IFERROR(__xludf.DUMMYFUNCTION("""COMPUTED_VALUE"""),"ARG 8061")</f>
        <v>ARG 8061</v>
      </c>
      <c r="Q291" s="45" t="str">
        <f>IFERROR(__xludf.DUMMYFUNCTION("""COMPUTED_VALUE"""),"ES DE ELLA")</f>
        <v>ES DE ELLA</v>
      </c>
      <c r="R291" s="45" t="str">
        <f>IFERROR(__xludf.DUMMYFUNCTION("""COMPUTED_VALUE"""),"SILVINA OTADO")</f>
        <v>SILVINA OTADO</v>
      </c>
      <c r="S291" s="45"/>
      <c r="T291" s="45"/>
      <c r="U291" s="45"/>
      <c r="V291" s="45"/>
      <c r="W291" s="45"/>
      <c r="X291" s="47"/>
      <c r="Y291" s="7" t="str">
        <f>IFERROR(__xludf.DUMMYFUNCTION("""COMPUTED_VALUE"""),"No")</f>
        <v>No</v>
      </c>
      <c r="Z291" s="45" t="str">
        <f>IFERROR(__xludf.DUMMYFUNCTION("""COMPUTED_VALUE"""),"Acepto")</f>
        <v>Acepto</v>
      </c>
      <c r="AA291" s="45" t="str">
        <f>IFERROR(__xludf.DUMMYFUNCTION("""COMPUTED_VALUE"""),"Terminado")</f>
        <v>Terminado</v>
      </c>
      <c r="AB291" s="45">
        <f>IFERROR(__xludf.DUMMYFUNCTION("""COMPUTED_VALUE"""),60000.0)</f>
        <v>60000</v>
      </c>
      <c r="AC291" s="7">
        <f>IFERROR(__xludf.DUMMYFUNCTION("""COMPUTED_VALUE"""),205392.0)</f>
        <v>205392</v>
      </c>
      <c r="AD291" s="7" t="str">
        <f>IFERROR(__xludf.DUMMYFUNCTION("""COMPUTED_VALUE"""),"TRF 02-09")</f>
        <v>TRF 02-09</v>
      </c>
      <c r="AE291" s="7" t="str">
        <f>IFERROR(__xludf.DUMMYFUNCTION("""COMPUTED_VALUE"""),"No Corresp")</f>
        <v>No Corresp</v>
      </c>
      <c r="AF291" s="7"/>
    </row>
    <row r="292">
      <c r="A292" s="42">
        <f>IFERROR(__xludf.DUMMYFUNCTION("""COMPUTED_VALUE"""),45534.74651648148)</f>
        <v>45534.74652</v>
      </c>
      <c r="B292" s="43" t="str">
        <f>IFERROR(__xludf.DUMMYFUNCTION("""COMPUTED_VALUE"""),"Gabriel ")</f>
        <v>Gabriel </v>
      </c>
      <c r="C292" s="43" t="str">
        <f>IFERROR(__xludf.DUMMYFUNCTION("""COMPUTED_VALUE"""),"Schebor ")</f>
        <v>Schebor </v>
      </c>
      <c r="D292" s="43" t="str">
        <f>IFERROR(__xludf.DUMMYFUNCTION("""COMPUTED_VALUE"""),"Beccar, san Isidro ")</f>
        <v>Beccar, san Isidro </v>
      </c>
      <c r="E292" s="45" t="str">
        <f>IFERROR(__xludf.DUMMYFUNCTION("""COMPUTED_VALUE"""),"ARG")</f>
        <v>ARG</v>
      </c>
      <c r="F292" s="45">
        <f>IFERROR(__xludf.DUMMYFUNCTION("""COMPUTED_VALUE"""),1.7543579E7)</f>
        <v>17543579</v>
      </c>
      <c r="G292" s="44">
        <f>IFERROR(__xludf.DUMMYFUNCTION("""COMPUTED_VALUE"""),23995.0)</f>
        <v>23995</v>
      </c>
      <c r="H292" s="45">
        <f>IFERROR(__xludf.DUMMYFUNCTION("""COMPUTED_VALUE"""),1.150615721E9)</f>
        <v>1150615721</v>
      </c>
      <c r="I292" s="45">
        <f>IFERROR(__xludf.DUMMYFUNCTION("""COMPUTED_VALUE"""),1.163606183E9)</f>
        <v>1163606183</v>
      </c>
      <c r="J292" s="45" t="str">
        <f>IFERROR(__xludf.DUMMYFUNCTION("""COMPUTED_VALUE"""),"Gabrielschebor@gmail.com")</f>
        <v>Gabrielschebor@gmail.com</v>
      </c>
      <c r="K292" s="45" t="str">
        <f>IFERROR(__xludf.DUMMYFUNCTION("""COMPUTED_VALUE"""),"Masculino")</f>
        <v>Masculino</v>
      </c>
      <c r="L292" s="45" t="str">
        <f>IFERROR(__xludf.DUMMYFUNCTION("""COMPUTED_VALUE"""),"Azopardo ")</f>
        <v>Azopardo </v>
      </c>
      <c r="M292" s="45" t="str">
        <f>IFERROR(__xludf.DUMMYFUNCTION("""COMPUTED_VALUE"""),"Senior mixto")</f>
        <v>Senior mixto</v>
      </c>
      <c r="N292" s="7" t="str">
        <f>IFERROR(__xludf.DUMMYFUNCTION("""COMPUTED_VALUE"""),"SNIPE")</f>
        <v>SNIPE</v>
      </c>
      <c r="O292" s="7"/>
      <c r="P292" s="7">
        <f>IFERROR(__xludf.DUMMYFUNCTION("""COMPUTED_VALUE"""),30635.0)</f>
        <v>30635</v>
      </c>
      <c r="Q292" s="45" t="str">
        <f>IFERROR(__xludf.DUMMYFUNCTION("""COMPUTED_VALUE"""),"Pour ung plaisir ")</f>
        <v>Pour ung plaisir </v>
      </c>
      <c r="R292" s="45" t="str">
        <f>IFERROR(__xludf.DUMMYFUNCTION("""COMPUTED_VALUE"""),"Josefina Casella")</f>
        <v>Josefina Casella</v>
      </c>
      <c r="S292" s="45"/>
      <c r="T292" s="45"/>
      <c r="U292" s="45"/>
      <c r="V292" s="45"/>
      <c r="W292" s="45"/>
      <c r="X292" s="47" t="str">
        <f>IFERROR(__xludf.DUMMYFUNCTION("""COMPUTED_VALUE"""),"IOMA 117543579200")</f>
        <v>IOMA 117543579200</v>
      </c>
      <c r="Y292" s="7" t="str">
        <f>IFERROR(__xludf.DUMMYFUNCTION("""COMPUTED_VALUE"""),"No")</f>
        <v>No</v>
      </c>
      <c r="Z292" s="45" t="str">
        <f>IFERROR(__xludf.DUMMYFUNCTION("""COMPUTED_VALUE"""),"Acepto")</f>
        <v>Acepto</v>
      </c>
      <c r="AA292" s="45" t="str">
        <f>IFERROR(__xludf.DUMMYFUNCTION("""COMPUTED_VALUE"""),"Terminado")</f>
        <v>Terminado</v>
      </c>
      <c r="AB292" s="45">
        <f>IFERROR(__xludf.DUMMYFUNCTION("""COMPUTED_VALUE"""),60000.0)</f>
        <v>60000</v>
      </c>
      <c r="AC292" s="7">
        <f>IFERROR(__xludf.DUMMYFUNCTION("""COMPUTED_VALUE"""),205127.0)</f>
        <v>205127</v>
      </c>
      <c r="AD292" s="7" t="str">
        <f>IFERROR(__xludf.DUMMYFUNCTION("""COMPUTED_VALUE"""),"TRF 30-08")</f>
        <v>TRF 30-08</v>
      </c>
      <c r="AE292" s="7" t="str">
        <f>IFERROR(__xludf.DUMMYFUNCTION("""COMPUTED_VALUE"""),"No Corresp")</f>
        <v>No Corresp</v>
      </c>
      <c r="AF292" s="7"/>
    </row>
    <row r="293">
      <c r="A293" s="42">
        <f>IFERROR(__xludf.DUMMYFUNCTION("""COMPUTED_VALUE"""),45534.56100173611)</f>
        <v>45534.561</v>
      </c>
      <c r="B293" s="43" t="str">
        <f>IFERROR(__xludf.DUMMYFUNCTION("""COMPUTED_VALUE"""),"Agustina")</f>
        <v>Agustina</v>
      </c>
      <c r="C293" s="43" t="str">
        <f>IFERROR(__xludf.DUMMYFUNCTION("""COMPUTED_VALUE"""),"Schere Pena")</f>
        <v>Schere Pena</v>
      </c>
      <c r="D293" s="43" t="str">
        <f>IFERROR(__xludf.DUMMYFUNCTION("""COMPUTED_VALUE"""),"CABA")</f>
        <v>CABA</v>
      </c>
      <c r="E293" s="45" t="str">
        <f>IFERROR(__xludf.DUMMYFUNCTION("""COMPUTED_VALUE"""),"ARG")</f>
        <v>ARG</v>
      </c>
      <c r="F293" s="45">
        <f>IFERROR(__xludf.DUMMYFUNCTION("""COMPUTED_VALUE"""),5.3087006E7)</f>
        <v>53087006</v>
      </c>
      <c r="G293" s="44">
        <f>IFERROR(__xludf.DUMMYFUNCTION("""COMPUTED_VALUE"""),41308.0)</f>
        <v>41308</v>
      </c>
      <c r="H293" s="45">
        <f>IFERROR(__xludf.DUMMYFUNCTION("""COMPUTED_VALUE"""),1.144915661E9)</f>
        <v>1144915661</v>
      </c>
      <c r="I293" s="45">
        <f>IFERROR(__xludf.DUMMYFUNCTION("""COMPUTED_VALUE"""),1.144915661E9)</f>
        <v>1144915661</v>
      </c>
      <c r="J293" s="45" t="str">
        <f>IFERROR(__xludf.DUMMYFUNCTION("""COMPUTED_VALUE"""),"luciano.schere@gmail.com")</f>
        <v>luciano.schere@gmail.com</v>
      </c>
      <c r="K293" s="45" t="str">
        <f>IFERROR(__xludf.DUMMYFUNCTION("""COMPUTED_VALUE"""),"Femenino")</f>
        <v>Femenino</v>
      </c>
      <c r="L293" s="45" t="str">
        <f>IFERROR(__xludf.DUMMYFUNCTION("""COMPUTED_VALUE"""),"YCA")</f>
        <v>YCA</v>
      </c>
      <c r="M293" s="45" t="str">
        <f>IFERROR(__xludf.DUMMYFUNCTION("""COMPUTED_VALUE"""),"Femenino")</f>
        <v>Femenino</v>
      </c>
      <c r="N293" s="7" t="str">
        <f>IFERROR(__xludf.DUMMYFUNCTION("""COMPUTED_VALUE"""),"OPTIMIST PRINCIPIANTES")</f>
        <v>OPTIMIST PRINCIPIANTES</v>
      </c>
      <c r="O293" s="7"/>
      <c r="P293" s="7">
        <f>IFERROR(__xludf.DUMMYFUNCTION("""COMPUTED_VALUE"""),3681.0)</f>
        <v>3681</v>
      </c>
      <c r="Q293" s="45" t="str">
        <f>IFERROR(__xludf.DUMMYFUNCTION("""COMPUTED_VALUE"""),"Aguamarina")</f>
        <v>Aguamarina</v>
      </c>
      <c r="R293" s="45" t="str">
        <f>IFERROR(__xludf.DUMMYFUNCTION("""COMPUTED_VALUE"""),"Agustina Schere Pena")</f>
        <v>Agustina Schere Pena</v>
      </c>
      <c r="S293" s="45"/>
      <c r="T293" s="45"/>
      <c r="U293" s="45"/>
      <c r="V293" s="45"/>
      <c r="W293" s="45"/>
      <c r="X293" s="47" t="str">
        <f>IFERROR(__xludf.DUMMYFUNCTION("""COMPUTED_VALUE"""),"OSDE / 60 950760 4 03")</f>
        <v>OSDE / 60 950760 4 03</v>
      </c>
      <c r="Y293" s="7" t="str">
        <f>IFERROR(__xludf.DUMMYFUNCTION("""COMPUTED_VALUE"""),"Si")</f>
        <v>Si</v>
      </c>
      <c r="Z293" s="45" t="str">
        <f>IFERROR(__xludf.DUMMYFUNCTION("""COMPUTED_VALUE"""),"Acepto")</f>
        <v>Acepto</v>
      </c>
      <c r="AA293" s="45" t="str">
        <f>IFERROR(__xludf.DUMMYFUNCTION("""COMPUTED_VALUE"""),"Terminado")</f>
        <v>Terminado</v>
      </c>
      <c r="AB293" s="45">
        <f>IFERROR(__xludf.DUMMYFUNCTION("""COMPUTED_VALUE"""),50000.0)</f>
        <v>50000</v>
      </c>
      <c r="AC293" s="7">
        <f>IFERROR(__xludf.DUMMYFUNCTION("""COMPUTED_VALUE"""),205102.0)</f>
        <v>205102</v>
      </c>
      <c r="AD293" s="7" t="str">
        <f>IFERROR(__xludf.DUMMYFUNCTION("""COMPUTED_VALUE"""),"TRF 30-08")</f>
        <v>TRF 30-08</v>
      </c>
      <c r="AE293" s="7" t="str">
        <f>IFERROR(__xludf.DUMMYFUNCTION("""COMPUTED_VALUE"""),"Pendiente")</f>
        <v>Pendiente</v>
      </c>
      <c r="AF293" s="7"/>
    </row>
    <row r="294">
      <c r="A294" s="42">
        <f>IFERROR(__xludf.DUMMYFUNCTION("""COMPUTED_VALUE"""),45538.49136554398)</f>
        <v>45538.49137</v>
      </c>
      <c r="B294" s="43" t="str">
        <f>IFERROR(__xludf.DUMMYFUNCTION("""COMPUTED_VALUE"""),"Leo ")</f>
        <v>Leo </v>
      </c>
      <c r="C294" s="43" t="str">
        <f>IFERROR(__xludf.DUMMYFUNCTION("""COMPUTED_VALUE"""),"Semenzato ")</f>
        <v>Semenzato </v>
      </c>
      <c r="D294" s="43" t="str">
        <f>IFERROR(__xludf.DUMMYFUNCTION("""COMPUTED_VALUE"""),"Buenos Aires ")</f>
        <v>Buenos Aires </v>
      </c>
      <c r="E294" s="45" t="str">
        <f>IFERROR(__xludf.DUMMYFUNCTION("""COMPUTED_VALUE"""),"ARG")</f>
        <v>ARG</v>
      </c>
      <c r="F294" s="45">
        <f>IFERROR(__xludf.DUMMYFUNCTION("""COMPUTED_VALUE"""),1.4755163E7)</f>
        <v>14755163</v>
      </c>
      <c r="G294" s="44">
        <f>IFERROR(__xludf.DUMMYFUNCTION("""COMPUTED_VALUE"""),22677.0)</f>
        <v>22677</v>
      </c>
      <c r="H294" s="45" t="str">
        <f>IFERROR(__xludf.DUMMYFUNCTION("""COMPUTED_VALUE"""),"116 760 7651 ")</f>
        <v>116 760 7651 </v>
      </c>
      <c r="I294" s="45" t="str">
        <f>IFERROR(__xludf.DUMMYFUNCTION("""COMPUTED_VALUE"""),"113 660 5576 ")</f>
        <v>113 660 5576 </v>
      </c>
      <c r="J294" s="45" t="str">
        <f>IFERROR(__xludf.DUMMYFUNCTION("""COMPUTED_VALUE"""),"Leosemenzato@gmail.com")</f>
        <v>Leosemenzato@gmail.com</v>
      </c>
      <c r="K294" s="45" t="str">
        <f>IFERROR(__xludf.DUMMYFUNCTION("""COMPUTED_VALUE"""),"Masculino")</f>
        <v>Masculino</v>
      </c>
      <c r="L294" s="45" t="str">
        <f>IFERROR(__xludf.DUMMYFUNCTION("""COMPUTED_VALUE"""),"CNAZ ")</f>
        <v>CNAZ </v>
      </c>
      <c r="M294" s="45"/>
      <c r="N294" s="7" t="str">
        <f>IFERROR(__xludf.DUMMYFUNCTION("""COMPUTED_VALUE"""),"PAMPERO")</f>
        <v>PAMPERO</v>
      </c>
      <c r="O294" s="7"/>
      <c r="P294" s="7" t="str">
        <f>IFERROR(__xludf.DUMMYFUNCTION("""COMPUTED_VALUE"""),"No lo sé ")</f>
        <v>No lo sé </v>
      </c>
      <c r="Q294" s="45" t="str">
        <f>IFERROR(__xludf.DUMMYFUNCTION("""COMPUTED_VALUE"""),"ALKA ")</f>
        <v>ALKA </v>
      </c>
      <c r="R294" s="45" t="str">
        <f>IFERROR(__xludf.DUMMYFUNCTION("""COMPUTED_VALUE"""),"Ricardo Diego Claverie")</f>
        <v>Ricardo Diego Claverie</v>
      </c>
      <c r="S294" s="45"/>
      <c r="T294" s="45"/>
      <c r="U294" s="45"/>
      <c r="V294" s="45"/>
      <c r="W294" s="45"/>
      <c r="X294" s="47"/>
      <c r="Y294" s="7" t="str">
        <f>IFERROR(__xludf.DUMMYFUNCTION("""COMPUTED_VALUE"""),"Si")</f>
        <v>Si</v>
      </c>
      <c r="Z294" s="45" t="str">
        <f>IFERROR(__xludf.DUMMYFUNCTION("""COMPUTED_VALUE"""),"Acepto")</f>
        <v>Acepto</v>
      </c>
      <c r="AA294" s="45" t="str">
        <f>IFERROR(__xludf.DUMMYFUNCTION("""COMPUTED_VALUE"""),"Terminado")</f>
        <v>Terminado</v>
      </c>
      <c r="AB294" s="45">
        <f>IFERROR(__xludf.DUMMYFUNCTION("""COMPUTED_VALUE"""),70000.0)</f>
        <v>70000</v>
      </c>
      <c r="AC294" s="7">
        <f>IFERROR(__xludf.DUMMYFUNCTION("""COMPUTED_VALUE"""),205415.0)</f>
        <v>205415</v>
      </c>
      <c r="AD294" s="7" t="str">
        <f>IFERROR(__xludf.DUMMYFUNCTION("""COMPUTED_VALUE"""),"TRF 03-09")</f>
        <v>TRF 03-09</v>
      </c>
      <c r="AE294" s="7" t="str">
        <f>IFERROR(__xludf.DUMMYFUNCTION("""COMPUTED_VALUE"""),"No Corresp")</f>
        <v>No Corresp</v>
      </c>
      <c r="AF294" s="7" t="str">
        <f>IFERROR(__xludf.DUMMYFUNCTION("""COMPUTED_VALUE"""),"Si")</f>
        <v>Si</v>
      </c>
    </row>
    <row r="295">
      <c r="A295" s="42">
        <f>IFERROR(__xludf.DUMMYFUNCTION("""COMPUTED_VALUE"""),45535.39056447917)</f>
        <v>45535.39056</v>
      </c>
      <c r="B295" s="43" t="str">
        <f>IFERROR(__xludf.DUMMYFUNCTION("""COMPUTED_VALUE"""),"Felipe ")</f>
        <v>Felipe </v>
      </c>
      <c r="C295" s="43" t="str">
        <f>IFERROR(__xludf.DUMMYFUNCTION("""COMPUTED_VALUE"""),"Serrano")</f>
        <v>Serrano</v>
      </c>
      <c r="D295" s="43" t="str">
        <f>IFERROR(__xludf.DUMMYFUNCTION("""COMPUTED_VALUE"""),"Rosario")</f>
        <v>Rosario</v>
      </c>
      <c r="E295" s="45" t="str">
        <f>IFERROR(__xludf.DUMMYFUNCTION("""COMPUTED_VALUE"""),"ARG")</f>
        <v>ARG</v>
      </c>
      <c r="F295" s="45">
        <f>IFERROR(__xludf.DUMMYFUNCTION("""COMPUTED_VALUE"""),4.963581E7)</f>
        <v>49635810</v>
      </c>
      <c r="G295" s="44">
        <f>IFERROR(__xludf.DUMMYFUNCTION("""COMPUTED_VALUE"""),39983.0)</f>
        <v>39983</v>
      </c>
      <c r="H295" s="45">
        <f>IFERROR(__xludf.DUMMYFUNCTION("""COMPUTED_VALUE"""),3.415894151E9)</f>
        <v>3415894151</v>
      </c>
      <c r="I295" s="45">
        <f>IFERROR(__xludf.DUMMYFUNCTION("""COMPUTED_VALUE"""),3.41585148E9)</f>
        <v>3415851480</v>
      </c>
      <c r="J295" s="45" t="str">
        <f>IFERROR(__xludf.DUMMYFUNCTION("""COMPUTED_VALUE"""),"danielapeccia@hotmail.com")</f>
        <v>danielapeccia@hotmail.com</v>
      </c>
      <c r="K295" s="45" t="str">
        <f>IFERROR(__xludf.DUMMYFUNCTION("""COMPUTED_VALUE"""),"Masculino")</f>
        <v>Masculino</v>
      </c>
      <c r="L295" s="45" t="str">
        <f>IFERROR(__xludf.DUMMYFUNCTION("""COMPUTED_VALUE"""),"YCO")</f>
        <v>YCO</v>
      </c>
      <c r="M295" s="45" t="str">
        <f>IFERROR(__xludf.DUMMYFUNCTION("""COMPUTED_VALUE"""),"Interior (Optimist)")</f>
        <v>Interior (Optimist)</v>
      </c>
      <c r="N295" s="7" t="str">
        <f>IFERROR(__xludf.DUMMYFUNCTION("""COMPUTED_VALUE"""),"OPTIMIST TIMONELES")</f>
        <v>OPTIMIST TIMONELES</v>
      </c>
      <c r="O295" s="7"/>
      <c r="P295" s="7">
        <f>IFERROR(__xludf.DUMMYFUNCTION("""COMPUTED_VALUE"""),3987.0)</f>
        <v>3987</v>
      </c>
      <c r="Q295" s="45"/>
      <c r="R295" s="45"/>
      <c r="S295" s="45"/>
      <c r="T295" s="45"/>
      <c r="U295" s="45"/>
      <c r="V295" s="45"/>
      <c r="W295" s="45"/>
      <c r="X295" s="47" t="str">
        <f>IFERROR(__xludf.DUMMYFUNCTION("""COMPUTED_VALUE"""),"AVALIAN Nº 27022625")</f>
        <v>AVALIAN Nº 27022625</v>
      </c>
      <c r="Y295" s="7" t="str">
        <f>IFERROR(__xludf.DUMMYFUNCTION("""COMPUTED_VALUE"""),"Si")</f>
        <v>Si</v>
      </c>
      <c r="Z295" s="45" t="str">
        <f>IFERROR(__xludf.DUMMYFUNCTION("""COMPUTED_VALUE"""),"Acepto")</f>
        <v>Acepto</v>
      </c>
      <c r="AA295" s="45" t="str">
        <f>IFERROR(__xludf.DUMMYFUNCTION("""COMPUTED_VALUE"""),"Terminado")</f>
        <v>Terminado</v>
      </c>
      <c r="AB295" s="45">
        <f>IFERROR(__xludf.DUMMYFUNCTION("""COMPUTED_VALUE"""),50000.0)</f>
        <v>50000</v>
      </c>
      <c r="AC295" s="7">
        <f>IFERROR(__xludf.DUMMYFUNCTION("""COMPUTED_VALUE"""),205108.0)</f>
        <v>205108</v>
      </c>
      <c r="AD295" s="7" t="str">
        <f>IFERROR(__xludf.DUMMYFUNCTION("""COMPUTED_VALUE"""),"Tarj 31-08")</f>
        <v>Tarj 31-08</v>
      </c>
      <c r="AE295" s="7" t="str">
        <f>IFERROR(__xludf.DUMMYFUNCTION("""COMPUTED_VALUE"""),"OK")</f>
        <v>OK</v>
      </c>
      <c r="AF295" s="7"/>
    </row>
    <row r="296">
      <c r="A296" s="42">
        <f>IFERROR(__xludf.DUMMYFUNCTION("""COMPUTED_VALUE"""),45532.9697056713)</f>
        <v>45532.96971</v>
      </c>
      <c r="B296" s="43" t="str">
        <f>IFERROR(__xludf.DUMMYFUNCTION("""COMPUTED_VALUE"""),"Alejandro")</f>
        <v>Alejandro</v>
      </c>
      <c r="C296" s="43" t="str">
        <f>IFERROR(__xludf.DUMMYFUNCTION("""COMPUTED_VALUE"""),"Sessarego")</f>
        <v>Sessarego</v>
      </c>
      <c r="D296" s="43" t="str">
        <f>IFERROR(__xludf.DUMMYFUNCTION("""COMPUTED_VALUE"""),"Buenos Aires")</f>
        <v>Buenos Aires</v>
      </c>
      <c r="E296" s="45" t="str">
        <f>IFERROR(__xludf.DUMMYFUNCTION("""COMPUTED_VALUE"""),"ARG")</f>
        <v>ARG</v>
      </c>
      <c r="F296" s="45">
        <f>IFERROR(__xludf.DUMMYFUNCTION("""COMPUTED_VALUE"""),1.6124872E7)</f>
        <v>16124872</v>
      </c>
      <c r="G296" s="44">
        <f>IFERROR(__xludf.DUMMYFUNCTION("""COMPUTED_VALUE"""),22855.0)</f>
        <v>22855</v>
      </c>
      <c r="H296" s="45">
        <f>IFERROR(__xludf.DUMMYFUNCTION("""COMPUTED_VALUE"""),1.141714032E9)</f>
        <v>1141714032</v>
      </c>
      <c r="I296" s="45">
        <f>IFERROR(__xludf.DUMMYFUNCTION("""COMPUTED_VALUE"""),1.167598764E9)</f>
        <v>1167598764</v>
      </c>
      <c r="J296" s="45" t="str">
        <f>IFERROR(__xludf.DUMMYFUNCTION("""COMPUTED_VALUE"""),"asessarego@remax.com.ar")</f>
        <v>asessarego@remax.com.ar</v>
      </c>
      <c r="K296" s="45" t="str">
        <f>IFERROR(__xludf.DUMMYFUNCTION("""COMPUTED_VALUE"""),"Masculino")</f>
        <v>Masculino</v>
      </c>
      <c r="L296" s="45" t="str">
        <f>IFERROR(__xludf.DUMMYFUNCTION("""COMPUTED_VALUE"""),"CVSI CNSE")</f>
        <v>CVSI CNSE</v>
      </c>
      <c r="M296" s="45" t="str">
        <f>IFERROR(__xludf.DUMMYFUNCTION("""COMPUTED_VALUE"""),"J70 open")</f>
        <v>J70 open</v>
      </c>
      <c r="N296" s="7" t="str">
        <f>IFERROR(__xludf.DUMMYFUNCTION("""COMPUTED_VALUE"""),"J 70")</f>
        <v>J 70</v>
      </c>
      <c r="O296" s="7">
        <f>IFERROR(__xludf.DUMMYFUNCTION("""COMPUTED_VALUE"""),23.0)</f>
        <v>23</v>
      </c>
      <c r="P296" s="7">
        <f>IFERROR(__xludf.DUMMYFUNCTION("""COMPUTED_VALUE"""),1738.0)</f>
        <v>1738</v>
      </c>
      <c r="Q296" s="45" t="str">
        <f>IFERROR(__xludf.DUMMYFUNCTION("""COMPUTED_VALUE"""),"Macarena")</f>
        <v>Macarena</v>
      </c>
      <c r="R296" s="45" t="str">
        <f>IFERROR(__xludf.DUMMYFUNCTION("""COMPUTED_VALUE"""),"Alejandro Sessarego")</f>
        <v>Alejandro Sessarego</v>
      </c>
      <c r="S296" s="45" t="str">
        <f>IFERROR(__xludf.DUMMYFUNCTION("""COMPUTED_VALUE"""),"Ezequiel Vescio")</f>
        <v>Ezequiel Vescio</v>
      </c>
      <c r="T296" s="45" t="str">
        <f>IFERROR(__xludf.DUMMYFUNCTION("""COMPUTED_VALUE"""),"Carlos Barone")</f>
        <v>Carlos Barone</v>
      </c>
      <c r="U296" s="45" t="str">
        <f>IFERROR(__xludf.DUMMYFUNCTION("""COMPUTED_VALUE"""),"Esteban Afonso")</f>
        <v>Esteban Afonso</v>
      </c>
      <c r="V296" s="45"/>
      <c r="W296" s="45"/>
      <c r="X296" s="47" t="str">
        <f>IFERROR(__xludf.DUMMYFUNCTION("""COMPUTED_VALUE"""),"Swiss Medical 8000060239590 01")</f>
        <v>Swiss Medical 8000060239590 01</v>
      </c>
      <c r="Y296" s="7" t="str">
        <f>IFERROR(__xludf.DUMMYFUNCTION("""COMPUTED_VALUE"""),"No")</f>
        <v>No</v>
      </c>
      <c r="Z296" s="45" t="str">
        <f>IFERROR(__xludf.DUMMYFUNCTION("""COMPUTED_VALUE"""),"Acepto")</f>
        <v>Acepto</v>
      </c>
      <c r="AA296" s="45" t="str">
        <f>IFERROR(__xludf.DUMMYFUNCTION("""COMPUTED_VALUE"""),"Terminado")</f>
        <v>Terminado</v>
      </c>
      <c r="AB296" s="45">
        <f>IFERROR(__xludf.DUMMYFUNCTION("""COMPUTED_VALUE"""),90000.0)</f>
        <v>90000</v>
      </c>
      <c r="AC296" s="7">
        <f>IFERROR(__xludf.DUMMYFUNCTION("""COMPUTED_VALUE"""),205456.0)</f>
        <v>205456</v>
      </c>
      <c r="AD296" s="7" t="str">
        <f>IFERROR(__xludf.DUMMYFUNCTION("""COMPUTED_VALUE"""),"TRF 04-09")</f>
        <v>TRF 04-09</v>
      </c>
      <c r="AE296" s="7" t="str">
        <f>IFERROR(__xludf.DUMMYFUNCTION("""COMPUTED_VALUE"""),"No Corresp")</f>
        <v>No Corresp</v>
      </c>
      <c r="AF296" s="7"/>
    </row>
    <row r="297">
      <c r="A297" s="42">
        <f>IFERROR(__xludf.DUMMYFUNCTION("""COMPUTED_VALUE"""),45531.36482726852)</f>
        <v>45531.36483</v>
      </c>
      <c r="B297" s="43" t="str">
        <f>IFERROR(__xludf.DUMMYFUNCTION("""COMPUTED_VALUE"""),"Agustín ")</f>
        <v>Agustín </v>
      </c>
      <c r="C297" s="43" t="str">
        <f>IFERROR(__xludf.DUMMYFUNCTION("""COMPUTED_VALUE"""),"Solano ")</f>
        <v>Solano </v>
      </c>
      <c r="D297" s="43" t="str">
        <f>IFERROR(__xludf.DUMMYFUNCTION("""COMPUTED_VALUE"""),"ensenada")</f>
        <v>ensenada</v>
      </c>
      <c r="E297" s="45" t="str">
        <f>IFERROR(__xludf.DUMMYFUNCTION("""COMPUTED_VALUE"""),"ARG")</f>
        <v>ARG</v>
      </c>
      <c r="F297" s="45">
        <f>IFERROR(__xludf.DUMMYFUNCTION("""COMPUTED_VALUE"""),3.7802812E7)</f>
        <v>37802812</v>
      </c>
      <c r="G297" s="44">
        <f>IFERROR(__xludf.DUMMYFUNCTION("""COMPUTED_VALUE"""),34184.0)</f>
        <v>34184</v>
      </c>
      <c r="H297" s="45">
        <f>IFERROR(__xludf.DUMMYFUNCTION("""COMPUTED_VALUE"""),2.213141286E9)</f>
        <v>2213141286</v>
      </c>
      <c r="I297" s="45">
        <f>IFERROR(__xludf.DUMMYFUNCTION("""COMPUTED_VALUE"""),2.216164356E9)</f>
        <v>2216164356</v>
      </c>
      <c r="J297" s="45" t="str">
        <f>IFERROR(__xludf.DUMMYFUNCTION("""COMPUTED_VALUE"""),"agus.maiden@hotmail.com")</f>
        <v>agus.maiden@hotmail.com</v>
      </c>
      <c r="K297" s="45" t="str">
        <f>IFERROR(__xludf.DUMMYFUNCTION("""COMPUTED_VALUE"""),"Masculino")</f>
        <v>Masculino</v>
      </c>
      <c r="L297" s="45" t="str">
        <f>IFERROR(__xludf.DUMMYFUNCTION("""COMPUTED_VALUE"""),"GASAV")</f>
        <v>GASAV</v>
      </c>
      <c r="M297" s="45" t="str">
        <f>IFERROR(__xludf.DUMMYFUNCTION("""COMPUTED_VALUE"""),"Master (ILCA)")</f>
        <v>Master (ILCA)</v>
      </c>
      <c r="N297" s="7" t="str">
        <f>IFERROR(__xludf.DUMMYFUNCTION("""COMPUTED_VALUE"""),"ILCA 6")</f>
        <v>ILCA 6</v>
      </c>
      <c r="O297" s="7"/>
      <c r="P297" s="7">
        <f>IFERROR(__xludf.DUMMYFUNCTION("""COMPUTED_VALUE"""),13.0)</f>
        <v>13</v>
      </c>
      <c r="Q297" s="45"/>
      <c r="R297" s="45"/>
      <c r="S297" s="45"/>
      <c r="T297" s="45"/>
      <c r="U297" s="45"/>
      <c r="V297" s="45"/>
      <c r="W297" s="45"/>
      <c r="X297" s="47"/>
      <c r="Y297" s="7" t="str">
        <f>IFERROR(__xludf.DUMMYFUNCTION("""COMPUTED_VALUE"""),"Si")</f>
        <v>Si</v>
      </c>
      <c r="Z297" s="45" t="str">
        <f>IFERROR(__xludf.DUMMYFUNCTION("""COMPUTED_VALUE"""),"Acepto")</f>
        <v>Acepto</v>
      </c>
      <c r="AA297" s="45" t="str">
        <f>IFERROR(__xludf.DUMMYFUNCTION("""COMPUTED_VALUE"""),"Pendiente")</f>
        <v>Pendiente</v>
      </c>
      <c r="AB297" s="45"/>
      <c r="AC297" s="7"/>
      <c r="AD297" s="7"/>
      <c r="AE297" s="7" t="str">
        <f>IFERROR(__xludf.DUMMYFUNCTION("""COMPUTED_VALUE"""),"No Corresp")</f>
        <v>No Corresp</v>
      </c>
      <c r="AF297" s="7"/>
    </row>
    <row r="298">
      <c r="A298" s="42">
        <f>IFERROR(__xludf.DUMMYFUNCTION("""COMPUTED_VALUE"""),45537.43801982639)</f>
        <v>45537.43802</v>
      </c>
      <c r="B298" s="43" t="str">
        <f>IFERROR(__xludf.DUMMYFUNCTION("""COMPUTED_VALUE"""),"Juana")</f>
        <v>Juana</v>
      </c>
      <c r="C298" s="43" t="str">
        <f>IFERROR(__xludf.DUMMYFUNCTION("""COMPUTED_VALUE"""),"Stella")</f>
        <v>Stella</v>
      </c>
      <c r="D298" s="43" t="str">
        <f>IFERROR(__xludf.DUMMYFUNCTION("""COMPUTED_VALUE"""),"Caba")</f>
        <v>Caba</v>
      </c>
      <c r="E298" s="45" t="str">
        <f>IFERROR(__xludf.DUMMYFUNCTION("""COMPUTED_VALUE"""),"ARG")</f>
        <v>ARG</v>
      </c>
      <c r="F298" s="45">
        <f>IFERROR(__xludf.DUMMYFUNCTION("""COMPUTED_VALUE"""),5.3856601E7)</f>
        <v>53856601</v>
      </c>
      <c r="G298" s="44">
        <f>IFERROR(__xludf.DUMMYFUNCTION("""COMPUTED_VALUE"""),41714.0)</f>
        <v>41714</v>
      </c>
      <c r="H298" s="45">
        <f>IFERROR(__xludf.DUMMYFUNCTION("""COMPUTED_VALUE"""),1.144006748E9)</f>
        <v>1144006748</v>
      </c>
      <c r="I298" s="45" t="str">
        <f>IFERROR(__xludf.DUMMYFUNCTION("""COMPUTED_VALUE"""),"1144734415 / 1144006748")</f>
        <v>1144734415 / 1144006748</v>
      </c>
      <c r="J298" s="45" t="str">
        <f>IFERROR(__xludf.DUMMYFUNCTION("""COMPUTED_VALUE"""),"Macarenafe@hotmail.com")</f>
        <v>Macarenafe@hotmail.com</v>
      </c>
      <c r="K298" s="45" t="str">
        <f>IFERROR(__xludf.DUMMYFUNCTION("""COMPUTED_VALUE"""),"Femenino")</f>
        <v>Femenino</v>
      </c>
      <c r="L298" s="45" t="str">
        <f>IFERROR(__xludf.DUMMYFUNCTION("""COMPUTED_VALUE"""),"CVB")</f>
        <v>CVB</v>
      </c>
      <c r="M298" s="45" t="str">
        <f>IFERROR(__xludf.DUMMYFUNCTION("""COMPUTED_VALUE"""),"Optimist principiante")</f>
        <v>Optimist principiante</v>
      </c>
      <c r="N298" s="7" t="str">
        <f>IFERROR(__xludf.DUMMYFUNCTION("""COMPUTED_VALUE"""),"OPTIMIST PRINCIPIANTES")</f>
        <v>OPTIMIST PRINCIPIANTES</v>
      </c>
      <c r="O298" s="7"/>
      <c r="P298" s="7">
        <f>IFERROR(__xludf.DUMMYFUNCTION("""COMPUTED_VALUE"""),3633.0)</f>
        <v>3633</v>
      </c>
      <c r="Q298" s="45" t="str">
        <f>IFERROR(__xludf.DUMMYFUNCTION("""COMPUTED_VALUE"""),"Tsunami")</f>
        <v>Tsunami</v>
      </c>
      <c r="R298" s="45"/>
      <c r="S298" s="45"/>
      <c r="T298" s="45"/>
      <c r="U298" s="45"/>
      <c r="V298" s="45"/>
      <c r="W298" s="45"/>
      <c r="X298" s="47" t="str">
        <f>IFERROR(__xludf.DUMMYFUNCTION("""COMPUTED_VALUE"""),"Swiss Medical ")</f>
        <v>Swiss Medical </v>
      </c>
      <c r="Y298" s="7" t="str">
        <f>IFERROR(__xludf.DUMMYFUNCTION("""COMPUTED_VALUE"""),"Si")</f>
        <v>Si</v>
      </c>
      <c r="Z298" s="45" t="str">
        <f>IFERROR(__xludf.DUMMYFUNCTION("""COMPUTED_VALUE"""),"Acepto")</f>
        <v>Acepto</v>
      </c>
      <c r="AA298" s="45" t="str">
        <f>IFERROR(__xludf.DUMMYFUNCTION("""COMPUTED_VALUE"""),"Terminado")</f>
        <v>Terminado</v>
      </c>
      <c r="AB298" s="45">
        <f>IFERROR(__xludf.DUMMYFUNCTION("""COMPUTED_VALUE"""),50000.0)</f>
        <v>50000</v>
      </c>
      <c r="AC298" s="7">
        <f>IFERROR(__xludf.DUMMYFUNCTION("""COMPUTED_VALUE"""),205604.0)</f>
        <v>205604</v>
      </c>
      <c r="AD298" s="7" t="str">
        <f>IFERROR(__xludf.DUMMYFUNCTION("""COMPUTED_VALUE"""),"TRF 09-09")</f>
        <v>TRF 09-09</v>
      </c>
      <c r="AE298" s="7" t="str">
        <f>IFERROR(__xludf.DUMMYFUNCTION("""COMPUTED_VALUE"""),"OK")</f>
        <v>OK</v>
      </c>
      <c r="AF298" s="7" t="str">
        <f>IFERROR(__xludf.DUMMYFUNCTION("""COMPUTED_VALUE"""),"SI")</f>
        <v>SI</v>
      </c>
    </row>
    <row r="299">
      <c r="A299" s="42">
        <f>IFERROR(__xludf.DUMMYFUNCTION("""COMPUTED_VALUE"""),45534.72008841435)</f>
        <v>45534.72009</v>
      </c>
      <c r="B299" s="43" t="str">
        <f>IFERROR(__xludf.DUMMYFUNCTION("""COMPUTED_VALUE"""),"ramiro")</f>
        <v>ramiro</v>
      </c>
      <c r="C299" s="43" t="str">
        <f>IFERROR(__xludf.DUMMYFUNCTION("""COMPUTED_VALUE"""),"Suarez Fabbro")</f>
        <v>Suarez Fabbro</v>
      </c>
      <c r="D299" s="43" t="str">
        <f>IFERROR(__xludf.DUMMYFUNCTION("""COMPUTED_VALUE"""),"cordoba")</f>
        <v>cordoba</v>
      </c>
      <c r="E299" s="45" t="str">
        <f>IFERROR(__xludf.DUMMYFUNCTION("""COMPUTED_VALUE"""),"ARG")</f>
        <v>ARG</v>
      </c>
      <c r="F299" s="45">
        <f>IFERROR(__xludf.DUMMYFUNCTION("""COMPUTED_VALUE"""),4.3142102E7)</f>
        <v>43142102</v>
      </c>
      <c r="G299" s="44">
        <f>IFERROR(__xludf.DUMMYFUNCTION("""COMPUTED_VALUE"""),36864.0)</f>
        <v>36864</v>
      </c>
      <c r="H299" s="45">
        <f>IFERROR(__xludf.DUMMYFUNCTION("""COMPUTED_VALUE"""),3.512025971E9)</f>
        <v>3512025971</v>
      </c>
      <c r="I299" s="45">
        <f>IFERROR(__xludf.DUMMYFUNCTION("""COMPUTED_VALUE"""),3.512025968E9)</f>
        <v>3512025968</v>
      </c>
      <c r="J299" s="45" t="str">
        <f>IFERROR(__xludf.DUMMYFUNCTION("""COMPUTED_VALUE"""),"Rsuarezfabbro@gmail.com")</f>
        <v>Rsuarezfabbro@gmail.com</v>
      </c>
      <c r="K299" s="45" t="str">
        <f>IFERROR(__xludf.DUMMYFUNCTION("""COMPUTED_VALUE"""),"Masculino")</f>
        <v>Masculino</v>
      </c>
      <c r="L299" s="45" t="str">
        <f>IFERROR(__xludf.DUMMYFUNCTION("""COMPUTED_VALUE"""),"CNC")</f>
        <v>CNC</v>
      </c>
      <c r="M299" s="45" t="str">
        <f>IFERROR(__xludf.DUMMYFUNCTION("""COMPUTED_VALUE"""),"senior")</f>
        <v>senior</v>
      </c>
      <c r="N299" s="7" t="str">
        <f>IFERROR(__xludf.DUMMYFUNCTION("""COMPUTED_VALUE"""),"ILCA 7")</f>
        <v>ILCA 7</v>
      </c>
      <c r="O299" s="7"/>
      <c r="P299" s="7">
        <f>IFERROR(__xludf.DUMMYFUNCTION("""COMPUTED_VALUE"""),203212.0)</f>
        <v>203212</v>
      </c>
      <c r="Q299" s="45"/>
      <c r="R299" s="45"/>
      <c r="S299" s="45"/>
      <c r="T299" s="45"/>
      <c r="U299" s="45"/>
      <c r="V299" s="45"/>
      <c r="W299" s="45"/>
      <c r="X299" s="47" t="str">
        <f>IFERROR(__xludf.DUMMYFUNCTION("""COMPUTED_VALUE"""),"DASPU")</f>
        <v>DASPU</v>
      </c>
      <c r="Y299" s="7" t="str">
        <f>IFERROR(__xludf.DUMMYFUNCTION("""COMPUTED_VALUE"""),"No")</f>
        <v>No</v>
      </c>
      <c r="Z299" s="45" t="str">
        <f>IFERROR(__xludf.DUMMYFUNCTION("""COMPUTED_VALUE"""),"Acepto")</f>
        <v>Acepto</v>
      </c>
      <c r="AA299" s="45" t="str">
        <f>IFERROR(__xludf.DUMMYFUNCTION("""COMPUTED_VALUE"""),"Repetido")</f>
        <v>Repetido</v>
      </c>
      <c r="AB299" s="45"/>
      <c r="AC299" s="7"/>
      <c r="AD299" s="7"/>
      <c r="AE299" s="7" t="str">
        <f>IFERROR(__xludf.DUMMYFUNCTION("""COMPUTED_VALUE"""),"No Corresp")</f>
        <v>No Corresp</v>
      </c>
      <c r="AF299" s="7"/>
    </row>
    <row r="300">
      <c r="A300" s="42">
        <f>IFERROR(__xludf.DUMMYFUNCTION("""COMPUTED_VALUE"""),45534.726353148144)</f>
        <v>45534.72635</v>
      </c>
      <c r="B300" s="43" t="str">
        <f>IFERROR(__xludf.DUMMYFUNCTION("""COMPUTED_VALUE"""),"Ramiro")</f>
        <v>Ramiro</v>
      </c>
      <c r="C300" s="43" t="str">
        <f>IFERROR(__xludf.DUMMYFUNCTION("""COMPUTED_VALUE"""),"Suarez Fabbro")</f>
        <v>Suarez Fabbro</v>
      </c>
      <c r="D300" s="43" t="str">
        <f>IFERROR(__xludf.DUMMYFUNCTION("""COMPUTED_VALUE"""),"Córdoba")</f>
        <v>Córdoba</v>
      </c>
      <c r="E300" s="45" t="str">
        <f>IFERROR(__xludf.DUMMYFUNCTION("""COMPUTED_VALUE"""),"ARG")</f>
        <v>ARG</v>
      </c>
      <c r="F300" s="45">
        <f>IFERROR(__xludf.DUMMYFUNCTION("""COMPUTED_VALUE"""),4.3142102E7)</f>
        <v>43142102</v>
      </c>
      <c r="G300" s="44">
        <f>IFERROR(__xludf.DUMMYFUNCTION("""COMPUTED_VALUE"""),36864.0)</f>
        <v>36864</v>
      </c>
      <c r="H300" s="45">
        <f>IFERROR(__xludf.DUMMYFUNCTION("""COMPUTED_VALUE"""),3.512025971E9)</f>
        <v>3512025971</v>
      </c>
      <c r="I300" s="45">
        <f>IFERROR(__xludf.DUMMYFUNCTION("""COMPUTED_VALUE"""),3.512025968E9)</f>
        <v>3512025968</v>
      </c>
      <c r="J300" s="45" t="str">
        <f>IFERROR(__xludf.DUMMYFUNCTION("""COMPUTED_VALUE"""),"rsuarezfabbro@gmail.com")</f>
        <v>rsuarezfabbro@gmail.com</v>
      </c>
      <c r="K300" s="45" t="str">
        <f>IFERROR(__xludf.DUMMYFUNCTION("""COMPUTED_VALUE"""),"Masculino")</f>
        <v>Masculino</v>
      </c>
      <c r="L300" s="45" t="str">
        <f>IFERROR(__xludf.DUMMYFUNCTION("""COMPUTED_VALUE"""),"CNC")</f>
        <v>CNC</v>
      </c>
      <c r="M300" s="45" t="str">
        <f>IFERROR(__xludf.DUMMYFUNCTION("""COMPUTED_VALUE"""),"SENIOR")</f>
        <v>SENIOR</v>
      </c>
      <c r="N300" s="7" t="str">
        <f>IFERROR(__xludf.DUMMYFUNCTION("""COMPUTED_VALUE"""),"ILCA 7")</f>
        <v>ILCA 7</v>
      </c>
      <c r="O300" s="7"/>
      <c r="P300" s="7">
        <f>IFERROR(__xludf.DUMMYFUNCTION("""COMPUTED_VALUE"""),203212.0)</f>
        <v>203212</v>
      </c>
      <c r="Q300" s="45"/>
      <c r="R300" s="45"/>
      <c r="S300" s="45"/>
      <c r="T300" s="45"/>
      <c r="U300" s="45"/>
      <c r="V300" s="45"/>
      <c r="W300" s="45"/>
      <c r="X300" s="47" t="str">
        <f>IFERROR(__xludf.DUMMYFUNCTION("""COMPUTED_VALUE"""),"DASPU")</f>
        <v>DASPU</v>
      </c>
      <c r="Y300" s="7" t="str">
        <f>IFERROR(__xludf.DUMMYFUNCTION("""COMPUTED_VALUE"""),"No")</f>
        <v>No</v>
      </c>
      <c r="Z300" s="45" t="str">
        <f>IFERROR(__xludf.DUMMYFUNCTION("""COMPUTED_VALUE"""),"Acepto")</f>
        <v>Acepto</v>
      </c>
      <c r="AA300" s="45" t="str">
        <f>IFERROR(__xludf.DUMMYFUNCTION("""COMPUTED_VALUE"""),"Terminado")</f>
        <v>Terminado</v>
      </c>
      <c r="AB300" s="45">
        <f>IFERROR(__xludf.DUMMYFUNCTION("""COMPUTED_VALUE"""),38250.0)</f>
        <v>38250</v>
      </c>
      <c r="AC300" s="7">
        <f>IFERROR(__xludf.DUMMYFUNCTION("""COMPUTED_VALUE"""),205137.0)</f>
        <v>205137</v>
      </c>
      <c r="AD300" s="7" t="str">
        <f>IFERROR(__xludf.DUMMYFUNCTION("""COMPUTED_VALUE"""),"TRF 30-08")</f>
        <v>TRF 30-08</v>
      </c>
      <c r="AE300" s="7" t="str">
        <f>IFERROR(__xludf.DUMMYFUNCTION("""COMPUTED_VALUE"""),"No Corresp")</f>
        <v>No Corresp</v>
      </c>
      <c r="AF300" s="7"/>
    </row>
    <row r="301">
      <c r="A301" s="42">
        <f>IFERROR(__xludf.DUMMYFUNCTION("""COMPUTED_VALUE"""),45535.749397708336)</f>
        <v>45535.7494</v>
      </c>
      <c r="B301" s="43" t="str">
        <f>IFERROR(__xludf.DUMMYFUNCTION("""COMPUTED_VALUE"""),"Pilar")</f>
        <v>Pilar</v>
      </c>
      <c r="C301" s="43" t="str">
        <f>IFERROR(__xludf.DUMMYFUNCTION("""COMPUTED_VALUE"""),"Taborda")</f>
        <v>Taborda</v>
      </c>
      <c r="D301" s="43" t="str">
        <f>IFERROR(__xludf.DUMMYFUNCTION("""COMPUTED_VALUE"""),"Quilmes")</f>
        <v>Quilmes</v>
      </c>
      <c r="E301" s="45" t="str">
        <f>IFERROR(__xludf.DUMMYFUNCTION("""COMPUTED_VALUE"""),"ARG")</f>
        <v>ARG</v>
      </c>
      <c r="F301" s="45">
        <f>IFERROR(__xludf.DUMMYFUNCTION("""COMPUTED_VALUE"""),5.1124069E7)</f>
        <v>51124069</v>
      </c>
      <c r="G301" s="44">
        <f>IFERROR(__xludf.DUMMYFUNCTION("""COMPUTED_VALUE"""),40669.0)</f>
        <v>40669</v>
      </c>
      <c r="H301" s="45">
        <f>IFERROR(__xludf.DUMMYFUNCTION("""COMPUTED_VALUE"""),1.161239522E9)</f>
        <v>1161239522</v>
      </c>
      <c r="I301" s="45">
        <f>IFERROR(__xludf.DUMMYFUNCTION("""COMPUTED_VALUE"""),1.161239522E9)</f>
        <v>1161239522</v>
      </c>
      <c r="J301" s="45" t="str">
        <f>IFERROR(__xludf.DUMMYFUNCTION("""COMPUTED_VALUE"""),"marielavmendiburu@hotmail.com")</f>
        <v>marielavmendiburu@hotmail.com</v>
      </c>
      <c r="K301" s="45" t="str">
        <f>IFERROR(__xludf.DUMMYFUNCTION("""COMPUTED_VALUE"""),"Femenino")</f>
        <v>Femenino</v>
      </c>
      <c r="L301" s="45" t="str">
        <f>IFERROR(__xludf.DUMMYFUNCTION("""COMPUTED_VALUE"""),"CNQ")</f>
        <v>CNQ</v>
      </c>
      <c r="M301" s="45" t="str">
        <f>IFERROR(__xludf.DUMMYFUNCTION("""COMPUTED_VALUE"""),"Interior (Optimist)")</f>
        <v>Interior (Optimist)</v>
      </c>
      <c r="N301" s="7" t="str">
        <f>IFERROR(__xludf.DUMMYFUNCTION("""COMPUTED_VALUE"""),"OPTIMIST PRINCIPIANTES")</f>
        <v>OPTIMIST PRINCIPIANTES</v>
      </c>
      <c r="O301" s="7"/>
      <c r="P301" s="7">
        <f>IFERROR(__xludf.DUMMYFUNCTION("""COMPUTED_VALUE"""),3983.0)</f>
        <v>3983</v>
      </c>
      <c r="Q301" s="45"/>
      <c r="R301" s="45"/>
      <c r="S301" s="45"/>
      <c r="T301" s="45"/>
      <c r="U301" s="45"/>
      <c r="V301" s="45"/>
      <c r="W301" s="45"/>
      <c r="X301" s="47" t="str">
        <f>IFERROR(__xludf.DUMMYFUNCTION("""COMPUTED_VALUE"""),"Osde")</f>
        <v>Osde</v>
      </c>
      <c r="Y301" s="7" t="str">
        <f>IFERROR(__xludf.DUMMYFUNCTION("""COMPUTED_VALUE"""),"Si")</f>
        <v>Si</v>
      </c>
      <c r="Z301" s="45" t="str">
        <f>IFERROR(__xludf.DUMMYFUNCTION("""COMPUTED_VALUE"""),"Acepto")</f>
        <v>Acepto</v>
      </c>
      <c r="AA301" s="45" t="str">
        <f>IFERROR(__xludf.DUMMYFUNCTION("""COMPUTED_VALUE"""),"Terminado")</f>
        <v>Terminado</v>
      </c>
      <c r="AB301" s="45">
        <f>IFERROR(__xludf.DUMMYFUNCTION("""COMPUTED_VALUE"""),50000.0)</f>
        <v>50000</v>
      </c>
      <c r="AC301" s="7">
        <f>IFERROR(__xludf.DUMMYFUNCTION("""COMPUTED_VALUE"""),205351.0)</f>
        <v>205351</v>
      </c>
      <c r="AD301" s="7" t="str">
        <f>IFERROR(__xludf.DUMMYFUNCTION("""COMPUTED_VALUE"""),"TRF 31-08")</f>
        <v>TRF 31-08</v>
      </c>
      <c r="AE301" s="7" t="str">
        <f>IFERROR(__xludf.DUMMYFUNCTION("""COMPUTED_VALUE"""),"OK")</f>
        <v>OK</v>
      </c>
      <c r="AF301" s="7" t="str">
        <f>IFERROR(__xludf.DUMMYFUNCTION("""COMPUTED_VALUE"""),"SI")</f>
        <v>SI</v>
      </c>
    </row>
    <row r="302">
      <c r="A302" s="42">
        <f>IFERROR(__xludf.DUMMYFUNCTION("""COMPUTED_VALUE"""),45538.49335796296)</f>
        <v>45538.49336</v>
      </c>
      <c r="B302" s="43" t="str">
        <f>IFERROR(__xludf.DUMMYFUNCTION("""COMPUTED_VALUE"""),"Mariano")</f>
        <v>Mariano</v>
      </c>
      <c r="C302" s="43" t="str">
        <f>IFERROR(__xludf.DUMMYFUNCTION("""COMPUTED_VALUE"""),"Tavelli")</f>
        <v>Tavelli</v>
      </c>
      <c r="D302" s="43" t="str">
        <f>IFERROR(__xludf.DUMMYFUNCTION("""COMPUTED_VALUE"""),"C.A.B.A")</f>
        <v>C.A.B.A</v>
      </c>
      <c r="E302" s="45" t="str">
        <f>IFERROR(__xludf.DUMMYFUNCTION("""COMPUTED_VALUE"""),"ARG")</f>
        <v>ARG</v>
      </c>
      <c r="F302" s="45">
        <f>IFERROR(__xludf.DUMMYFUNCTION("""COMPUTED_VALUE"""),1.8370425E7)</f>
        <v>18370425</v>
      </c>
      <c r="G302" s="44">
        <f>IFERROR(__xludf.DUMMYFUNCTION("""COMPUTED_VALUE"""),24737.0)</f>
        <v>24737</v>
      </c>
      <c r="H302" s="45" t="str">
        <f>IFERROR(__xludf.DUMMYFUNCTION("""COMPUTED_VALUE"""),"15-6704-1779")</f>
        <v>15-6704-1779</v>
      </c>
      <c r="I302" s="45"/>
      <c r="J302" s="45" t="str">
        <f>IFERROR(__xludf.DUMMYFUNCTION("""COMPUTED_VALUE"""),"mariano.tavelli@tavelli.com.ar")</f>
        <v>mariano.tavelli@tavelli.com.ar</v>
      </c>
      <c r="K302" s="45" t="str">
        <f>IFERROR(__xludf.DUMMYFUNCTION("""COMPUTED_VALUE"""),"Masculino")</f>
        <v>Masculino</v>
      </c>
      <c r="L302" s="45" t="str">
        <f>IFERROR(__xludf.DUMMYFUNCTION("""COMPUTED_VALUE"""),"YCA")</f>
        <v>YCA</v>
      </c>
      <c r="M302" s="45" t="str">
        <f>IFERROR(__xludf.DUMMYFUNCTION("""COMPUTED_VALUE"""),"Corinthians")</f>
        <v>Corinthians</v>
      </c>
      <c r="N302" s="7" t="str">
        <f>IFERROR(__xludf.DUMMYFUNCTION("""COMPUTED_VALUE"""),"J 70")</f>
        <v>J 70</v>
      </c>
      <c r="O302" s="7">
        <f>IFERROR(__xludf.DUMMYFUNCTION("""COMPUTED_VALUE"""),31.0)</f>
        <v>31</v>
      </c>
      <c r="P302" s="7" t="str">
        <f>IFERROR(__xludf.DUMMYFUNCTION("""COMPUTED_VALUE"""),"ARG 1436")</f>
        <v>ARG 1436</v>
      </c>
      <c r="Q302" s="45" t="str">
        <f>IFERROR(__xludf.DUMMYFUNCTION("""COMPUTED_VALUE"""),"DAI !")</f>
        <v>DAI !</v>
      </c>
      <c r="R302" s="45" t="str">
        <f>IFERROR(__xludf.DUMMYFUNCTION("""COMPUTED_VALUE"""),"Carlos Agnoletti")</f>
        <v>Carlos Agnoletti</v>
      </c>
      <c r="S302" s="45" t="str">
        <f>IFERROR(__xludf.DUMMYFUNCTION("""COMPUTED_VALUE"""),"Andrés Fox")</f>
        <v>Andrés Fox</v>
      </c>
      <c r="T302" s="45" t="str">
        <f>IFERROR(__xludf.DUMMYFUNCTION("""COMPUTED_VALUE"""),"KIKE Wiedeman")</f>
        <v>KIKE Wiedeman</v>
      </c>
      <c r="U302" s="45"/>
      <c r="V302" s="45"/>
      <c r="W302" s="45"/>
      <c r="X302" s="47" t="str">
        <f>IFERROR(__xludf.DUMMYFUNCTION("""COMPUTED_VALUE"""),"OSDE")</f>
        <v>OSDE</v>
      </c>
      <c r="Y302" s="7" t="str">
        <f>IFERROR(__xludf.DUMMYFUNCTION("""COMPUTED_VALUE"""),"No")</f>
        <v>No</v>
      </c>
      <c r="Z302" s="45" t="str">
        <f>IFERROR(__xludf.DUMMYFUNCTION("""COMPUTED_VALUE"""),"Acepto")</f>
        <v>Acepto</v>
      </c>
      <c r="AA302" s="45" t="str">
        <f>IFERROR(__xludf.DUMMYFUNCTION("""COMPUTED_VALUE"""),"Terminado")</f>
        <v>Terminado</v>
      </c>
      <c r="AB302" s="45">
        <f>IFERROR(__xludf.DUMMYFUNCTION("""COMPUTED_VALUE"""),90000.0)</f>
        <v>90000</v>
      </c>
      <c r="AC302" s="7">
        <f>IFERROR(__xludf.DUMMYFUNCTION("""COMPUTED_VALUE"""),205413.0)</f>
        <v>205413</v>
      </c>
      <c r="AD302" s="7" t="str">
        <f>IFERROR(__xludf.DUMMYFUNCTION("""COMPUTED_VALUE"""),"TRF 03-09")</f>
        <v>TRF 03-09</v>
      </c>
      <c r="AE302" s="7" t="str">
        <f>IFERROR(__xludf.DUMMYFUNCTION("""COMPUTED_VALUE"""),"No Corresp")</f>
        <v>No Corresp</v>
      </c>
      <c r="AF302" s="7" t="str">
        <f>IFERROR(__xludf.DUMMYFUNCTION("""COMPUTED_VALUE"""),"SI")</f>
        <v>SI</v>
      </c>
    </row>
    <row r="303">
      <c r="A303" s="42">
        <f>IFERROR(__xludf.DUMMYFUNCTION("""COMPUTED_VALUE"""),45535.718480462965)</f>
        <v>45535.71848</v>
      </c>
      <c r="B303" s="43" t="str">
        <f>IFERROR(__xludf.DUMMYFUNCTION("""COMPUTED_VALUE"""),"Martín Sebastian")</f>
        <v>Martín Sebastian</v>
      </c>
      <c r="C303" s="43" t="str">
        <f>IFERROR(__xludf.DUMMYFUNCTION("""COMPUTED_VALUE"""),"Tejada Ibañez")</f>
        <v>Tejada Ibañez</v>
      </c>
      <c r="D303" s="43" t="str">
        <f>IFERROR(__xludf.DUMMYFUNCTION("""COMPUTED_VALUE"""),"Buenos Aires")</f>
        <v>Buenos Aires</v>
      </c>
      <c r="E303" s="45" t="str">
        <f>IFERROR(__xludf.DUMMYFUNCTION("""COMPUTED_VALUE"""),"ARG")</f>
        <v>ARG</v>
      </c>
      <c r="F303" s="45">
        <f>IFERROR(__xludf.DUMMYFUNCTION("""COMPUTED_VALUE"""),4.893815E7)</f>
        <v>48938150</v>
      </c>
      <c r="G303" s="44">
        <f>IFERROR(__xludf.DUMMYFUNCTION("""COMPUTED_VALUE"""),39632.0)</f>
        <v>39632</v>
      </c>
      <c r="H303" s="45" t="str">
        <f>IFERROR(__xludf.DUMMYFUNCTION("""COMPUTED_VALUE"""),"+5492213553303")</f>
        <v>+5492213553303</v>
      </c>
      <c r="I303" s="45" t="str">
        <f>IFERROR(__xludf.DUMMYFUNCTION("""COMPUTED_VALUE"""),"+5492215036037")</f>
        <v>+5492215036037</v>
      </c>
      <c r="J303" s="45" t="str">
        <f>IFERROR(__xludf.DUMMYFUNCTION("""COMPUTED_VALUE"""),"martintejadaibanez@gmail.com")</f>
        <v>martintejadaibanez@gmail.com</v>
      </c>
      <c r="K303" s="45" t="str">
        <f>IFERROR(__xludf.DUMMYFUNCTION("""COMPUTED_VALUE"""),"Masculino")</f>
        <v>Masculino</v>
      </c>
      <c r="L303" s="45" t="str">
        <f>IFERROR(__xludf.DUMMYFUNCTION("""COMPUTED_VALUE"""),"CNAs")</f>
        <v>CNAs</v>
      </c>
      <c r="M303" s="45"/>
      <c r="N303" s="7" t="str">
        <f>IFERROR(__xludf.DUMMYFUNCTION("""COMPUTED_VALUE"""),"ILCA 4")</f>
        <v>ILCA 4</v>
      </c>
      <c r="O303" s="7"/>
      <c r="P303" s="7">
        <f>IFERROR(__xludf.DUMMYFUNCTION("""COMPUTED_VALUE"""),224809.0)</f>
        <v>224809</v>
      </c>
      <c r="Q303" s="45" t="str">
        <f>IFERROR(__xludf.DUMMYFUNCTION("""COMPUTED_VALUE"""),"PROMETEO")</f>
        <v>PROMETEO</v>
      </c>
      <c r="R303" s="45"/>
      <c r="S303" s="45"/>
      <c r="T303" s="45"/>
      <c r="U303" s="45"/>
      <c r="V303" s="45"/>
      <c r="W303" s="45"/>
      <c r="X303" s="47" t="str">
        <f>IFERROR(__xludf.DUMMYFUNCTION("""COMPUTED_VALUE"""),"Osde")</f>
        <v>Osde</v>
      </c>
      <c r="Y303" s="7" t="str">
        <f>IFERROR(__xludf.DUMMYFUNCTION("""COMPUTED_VALUE"""),"Si")</f>
        <v>Si</v>
      </c>
      <c r="Z303" s="45" t="str">
        <f>IFERROR(__xludf.DUMMYFUNCTION("""COMPUTED_VALUE"""),"Acepto")</f>
        <v>Acepto</v>
      </c>
      <c r="AA303" s="45" t="str">
        <f>IFERROR(__xludf.DUMMYFUNCTION("""COMPUTED_VALUE"""),"Terminado")</f>
        <v>Terminado</v>
      </c>
      <c r="AB303" s="45">
        <f>IFERROR(__xludf.DUMMYFUNCTION("""COMPUTED_VALUE"""),45000.0)</f>
        <v>45000</v>
      </c>
      <c r="AC303" s="7">
        <f>IFERROR(__xludf.DUMMYFUNCTION("""COMPUTED_VALUE"""),205643.0)</f>
        <v>205643</v>
      </c>
      <c r="AD303" s="7" t="str">
        <f>IFERROR(__xludf.DUMMYFUNCTION("""COMPUTED_VALUE"""),"TRF 10-09")</f>
        <v>TRF 10-09</v>
      </c>
      <c r="AE303" s="7" t="str">
        <f>IFERROR(__xludf.DUMMYFUNCTION("""COMPUTED_VALUE"""),"Pendiente")</f>
        <v>Pendiente</v>
      </c>
      <c r="AF303" s="7"/>
    </row>
    <row r="304">
      <c r="A304" s="42">
        <f>IFERROR(__xludf.DUMMYFUNCTION("""COMPUTED_VALUE"""),45535.74753954861)</f>
        <v>45535.74754</v>
      </c>
      <c r="B304" s="43" t="str">
        <f>IFERROR(__xludf.DUMMYFUNCTION("""COMPUTED_VALUE"""),"Manuel")</f>
        <v>Manuel</v>
      </c>
      <c r="C304" s="43" t="str">
        <f>IFERROR(__xludf.DUMMYFUNCTION("""COMPUTED_VALUE"""),"Tejada ibañez")</f>
        <v>Tejada ibañez</v>
      </c>
      <c r="D304" s="43" t="str">
        <f>IFERROR(__xludf.DUMMYFUNCTION("""COMPUTED_VALUE"""),"La Plata")</f>
        <v>La Plata</v>
      </c>
      <c r="E304" s="45" t="str">
        <f>IFERROR(__xludf.DUMMYFUNCTION("""COMPUTED_VALUE"""),"ARG")</f>
        <v>ARG</v>
      </c>
      <c r="F304" s="45">
        <f>IFERROR(__xludf.DUMMYFUNCTION("""COMPUTED_VALUE"""),4.721582E7)</f>
        <v>47215820</v>
      </c>
      <c r="G304" s="44">
        <f>IFERROR(__xludf.DUMMYFUNCTION("""COMPUTED_VALUE"""),38802.0)</f>
        <v>38802</v>
      </c>
      <c r="H304" s="45" t="str">
        <f>IFERROR(__xludf.DUMMYFUNCTION("""COMPUTED_VALUE"""),"+54 9 221 623 9500")</f>
        <v>+54 9 221 623 9500</v>
      </c>
      <c r="I304" s="45" t="str">
        <f>IFERROR(__xludf.DUMMYFUNCTION("""COMPUTED_VALUE"""),"+54 9 221 503 6037")</f>
        <v>+54 9 221 503 6037</v>
      </c>
      <c r="J304" s="45" t="str">
        <f>IFERROR(__xludf.DUMMYFUNCTION("""COMPUTED_VALUE"""),"manutejada0@gmail.com")</f>
        <v>manutejada0@gmail.com</v>
      </c>
      <c r="K304" s="45" t="str">
        <f>IFERROR(__xludf.DUMMYFUNCTION("""COMPUTED_VALUE"""),"Masculino")</f>
        <v>Masculino</v>
      </c>
      <c r="L304" s="45" t="str">
        <f>IFERROR(__xludf.DUMMYFUNCTION("""COMPUTED_VALUE"""),"CNAs")</f>
        <v>CNAs</v>
      </c>
      <c r="M304" s="45" t="str">
        <f>IFERROR(__xludf.DUMMYFUNCTION("""COMPUTED_VALUE"""),"Master (ILCA)")</f>
        <v>Master (ILCA)</v>
      </c>
      <c r="N304" s="7" t="str">
        <f>IFERROR(__xludf.DUMMYFUNCTION("""COMPUTED_VALUE"""),"ILCA 6")</f>
        <v>ILCA 6</v>
      </c>
      <c r="O304" s="7"/>
      <c r="P304" s="7">
        <f>IFERROR(__xludf.DUMMYFUNCTION("""COMPUTED_VALUE"""),223650.0)</f>
        <v>223650</v>
      </c>
      <c r="Q304" s="45" t="str">
        <f>IFERROR(__xludf.DUMMYFUNCTION("""COMPUTED_VALUE"""),"Deucalion")</f>
        <v>Deucalion</v>
      </c>
      <c r="R304" s="45"/>
      <c r="S304" s="45"/>
      <c r="T304" s="45"/>
      <c r="U304" s="45"/>
      <c r="V304" s="45"/>
      <c r="W304" s="45"/>
      <c r="X304" s="47" t="str">
        <f>IFERROR(__xludf.DUMMYFUNCTION("""COMPUTED_VALUE"""),"OSDE")</f>
        <v>OSDE</v>
      </c>
      <c r="Y304" s="7" t="str">
        <f>IFERROR(__xludf.DUMMYFUNCTION("""COMPUTED_VALUE"""),"Si")</f>
        <v>Si</v>
      </c>
      <c r="Z304" s="45" t="str">
        <f>IFERROR(__xludf.DUMMYFUNCTION("""COMPUTED_VALUE"""),"Acepto")</f>
        <v>Acepto</v>
      </c>
      <c r="AA304" s="45" t="str">
        <f>IFERROR(__xludf.DUMMYFUNCTION("""COMPUTED_VALUE"""),"Terminado")</f>
        <v>Terminado</v>
      </c>
      <c r="AB304" s="45">
        <f>IFERROR(__xludf.DUMMYFUNCTION("""COMPUTED_VALUE"""),45000.0)</f>
        <v>45000</v>
      </c>
      <c r="AC304" s="7">
        <f>IFERROR(__xludf.DUMMYFUNCTION("""COMPUTED_VALUE"""),205643.0)</f>
        <v>205643</v>
      </c>
      <c r="AD304" s="7" t="str">
        <f>IFERROR(__xludf.DUMMYFUNCTION("""COMPUTED_VALUE"""),"TRF 10-09")</f>
        <v>TRF 10-09</v>
      </c>
      <c r="AE304" s="7" t="str">
        <f>IFERROR(__xludf.DUMMYFUNCTION("""COMPUTED_VALUE"""),"Ok")</f>
        <v>Ok</v>
      </c>
      <c r="AF304" s="7"/>
    </row>
    <row r="305">
      <c r="A305" s="42">
        <f>IFERROR(__xludf.DUMMYFUNCTION("""COMPUTED_VALUE"""),45531.45164452546)</f>
        <v>45531.45164</v>
      </c>
      <c r="B305" s="43" t="str">
        <f>IFERROR(__xludf.DUMMYFUNCTION("""COMPUTED_VALUE"""),"MÁXIMO SEBASTIÁN ")</f>
        <v>MÁXIMO SEBASTIÁN </v>
      </c>
      <c r="C305" s="43" t="str">
        <f>IFERROR(__xludf.DUMMYFUNCTION("""COMPUTED_VALUE"""),"TEJADA IBAÑEZ ")</f>
        <v>TEJADA IBAÑEZ </v>
      </c>
      <c r="D305" s="43" t="str">
        <f>IFERROR(__xludf.DUMMYFUNCTION("""COMPUTED_VALUE"""),"Berazategui ")</f>
        <v>Berazategui </v>
      </c>
      <c r="E305" s="45" t="str">
        <f>IFERROR(__xludf.DUMMYFUNCTION("""COMPUTED_VALUE"""),"ARG")</f>
        <v>ARG</v>
      </c>
      <c r="F305" s="45">
        <f>IFERROR(__xludf.DUMMYFUNCTION("""COMPUTED_VALUE"""),5.0740287E7)</f>
        <v>50740287</v>
      </c>
      <c r="G305" s="44">
        <f>IFERROR(__xludf.DUMMYFUNCTION("""COMPUTED_VALUE"""),40487.0)</f>
        <v>40487</v>
      </c>
      <c r="H305" s="45">
        <f>IFERROR(__xludf.DUMMYFUNCTION("""COMPUTED_VALUE"""),2.215036037E9)</f>
        <v>2215036037</v>
      </c>
      <c r="I305" s="45" t="str">
        <f>IFERROR(__xludf.DUMMYFUNCTION("""COMPUTED_VALUE"""),"2215036037/ 2215700125")</f>
        <v>2215036037/ 2215700125</v>
      </c>
      <c r="J305" s="45" t="str">
        <f>IFERROR(__xludf.DUMMYFUNCTION("""COMPUTED_VALUE"""),"tifamilia@gmail.com")</f>
        <v>tifamilia@gmail.com</v>
      </c>
      <c r="K305" s="45" t="str">
        <f>IFERROR(__xludf.DUMMYFUNCTION("""COMPUTED_VALUE"""),"Masculino")</f>
        <v>Masculino</v>
      </c>
      <c r="L305" s="45" t="str">
        <f>IFERROR(__xludf.DUMMYFUNCTION("""COMPUTED_VALUE"""),"CNAs")</f>
        <v>CNAs</v>
      </c>
      <c r="M305" s="45" t="str">
        <f>IFERROR(__xludf.DUMMYFUNCTION("""COMPUTED_VALUE"""),"Interior (Optimist)")</f>
        <v>Interior (Optimist)</v>
      </c>
      <c r="N305" s="7" t="str">
        <f>IFERROR(__xludf.DUMMYFUNCTION("""COMPUTED_VALUE"""),"OPTIMIST TIMONELES")</f>
        <v>OPTIMIST TIMONELES</v>
      </c>
      <c r="O305" s="7"/>
      <c r="P305" s="7">
        <f>IFERROR(__xludf.DUMMYFUNCTION("""COMPUTED_VALUE"""),4109.0)</f>
        <v>4109</v>
      </c>
      <c r="Q305" s="45" t="str">
        <f>IFERROR(__xludf.DUMMYFUNCTION("""COMPUTED_VALUE"""),"OMIX")</f>
        <v>OMIX</v>
      </c>
      <c r="R305" s="45"/>
      <c r="S305" s="45"/>
      <c r="T305" s="45"/>
      <c r="U305" s="45"/>
      <c r="V305" s="45"/>
      <c r="W305" s="45"/>
      <c r="X305" s="47" t="str">
        <f>IFERROR(__xludf.DUMMYFUNCTION("""COMPUTED_VALUE"""),"OSDE Plan 310 N° 25210998106")</f>
        <v>OSDE Plan 310 N° 25210998106</v>
      </c>
      <c r="Y305" s="7" t="str">
        <f>IFERROR(__xludf.DUMMYFUNCTION("""COMPUTED_VALUE"""),"Si")</f>
        <v>Si</v>
      </c>
      <c r="Z305" s="45" t="str">
        <f>IFERROR(__xludf.DUMMYFUNCTION("""COMPUTED_VALUE"""),"Acepto")</f>
        <v>Acepto</v>
      </c>
      <c r="AA305" s="45" t="str">
        <f>IFERROR(__xludf.DUMMYFUNCTION("""COMPUTED_VALUE"""),"Terminado")</f>
        <v>Terminado</v>
      </c>
      <c r="AB305" s="45">
        <f>IFERROR(__xludf.DUMMYFUNCTION("""COMPUTED_VALUE"""),50000.0)</f>
        <v>50000</v>
      </c>
      <c r="AC305" s="7">
        <f>IFERROR(__xludf.DUMMYFUNCTION("""COMPUTED_VALUE"""),205644.0)</f>
        <v>205644</v>
      </c>
      <c r="AD305" s="7" t="str">
        <f>IFERROR(__xludf.DUMMYFUNCTION("""COMPUTED_VALUE"""),"TRF 10-09")</f>
        <v>TRF 10-09</v>
      </c>
      <c r="AE305" s="7" t="str">
        <f>IFERROR(__xludf.DUMMYFUNCTION("""COMPUTED_VALUE"""),"OK")</f>
        <v>OK</v>
      </c>
      <c r="AF305" s="7"/>
    </row>
    <row r="306">
      <c r="A306" s="42">
        <f>IFERROR(__xludf.DUMMYFUNCTION("""COMPUTED_VALUE"""),45532.76182190972)</f>
        <v>45532.76182</v>
      </c>
      <c r="B306" s="43" t="str">
        <f>IFERROR(__xludf.DUMMYFUNCTION("""COMPUTED_VALUE"""),"MARCOS SEBASTIÁN ")</f>
        <v>MARCOS SEBASTIÁN </v>
      </c>
      <c r="C306" s="43" t="str">
        <f>IFERROR(__xludf.DUMMYFUNCTION("""COMPUTED_VALUE"""),"TEJADA IBAÑEZ ")</f>
        <v>TEJADA IBAÑEZ </v>
      </c>
      <c r="D306" s="43" t="str">
        <f>IFERROR(__xludf.DUMMYFUNCTION("""COMPUTED_VALUE"""),"Berazategui ")</f>
        <v>Berazategui </v>
      </c>
      <c r="E306" s="45" t="str">
        <f>IFERROR(__xludf.DUMMYFUNCTION("""COMPUTED_VALUE"""),"ARG")</f>
        <v>ARG</v>
      </c>
      <c r="F306" s="45">
        <f>IFERROR(__xludf.DUMMYFUNCTION("""COMPUTED_VALUE"""),5.3690319E7)</f>
        <v>53690319</v>
      </c>
      <c r="G306" s="44">
        <f>IFERROR(__xludf.DUMMYFUNCTION("""COMPUTED_VALUE"""),41434.0)</f>
        <v>41434</v>
      </c>
      <c r="H306" s="45">
        <f>IFERROR(__xludf.DUMMYFUNCTION("""COMPUTED_VALUE"""),2.215036037E9)</f>
        <v>2215036037</v>
      </c>
      <c r="I306" s="45" t="str">
        <f>IFERROR(__xludf.DUMMYFUNCTION("""COMPUTED_VALUE"""),"2215036037 / 2215700125")</f>
        <v>2215036037 / 2215700125</v>
      </c>
      <c r="J306" s="45" t="str">
        <f>IFERROR(__xludf.DUMMYFUNCTION("""COMPUTED_VALUE"""),"tifamilia@gmail.com")</f>
        <v>tifamilia@gmail.com</v>
      </c>
      <c r="K306" s="45" t="str">
        <f>IFERROR(__xludf.DUMMYFUNCTION("""COMPUTED_VALUE"""),"Masculino")</f>
        <v>Masculino</v>
      </c>
      <c r="L306" s="45" t="str">
        <f>IFERROR(__xludf.DUMMYFUNCTION("""COMPUTED_VALUE"""),"CNAs")</f>
        <v>CNAs</v>
      </c>
      <c r="M306" s="45" t="str">
        <f>IFERROR(__xludf.DUMMYFUNCTION("""COMPUTED_VALUE"""),"Interior (Optimist)")</f>
        <v>Interior (Optimist)</v>
      </c>
      <c r="N306" s="7" t="str">
        <f>IFERROR(__xludf.DUMMYFUNCTION("""COMPUTED_VALUE"""),"OPTIMIST PRINCIPIANTES")</f>
        <v>OPTIMIST PRINCIPIANTES</v>
      </c>
      <c r="O306" s="7"/>
      <c r="P306" s="7">
        <f>IFERROR(__xludf.DUMMYFUNCTION("""COMPUTED_VALUE"""),4110.0)</f>
        <v>4110</v>
      </c>
      <c r="Q306" s="45" t="str">
        <f>IFERROR(__xludf.DUMMYFUNCTION("""COMPUTED_VALUE"""),"MARK")</f>
        <v>MARK</v>
      </c>
      <c r="R306" s="45"/>
      <c r="S306" s="45"/>
      <c r="T306" s="45"/>
      <c r="U306" s="45"/>
      <c r="V306" s="45"/>
      <c r="W306" s="45"/>
      <c r="X306" s="47"/>
      <c r="Y306" s="7" t="str">
        <f>IFERROR(__xludf.DUMMYFUNCTION("""COMPUTED_VALUE"""),"Si")</f>
        <v>Si</v>
      </c>
      <c r="Z306" s="45" t="str">
        <f>IFERROR(__xludf.DUMMYFUNCTION("""COMPUTED_VALUE"""),"Acepto")</f>
        <v>Acepto</v>
      </c>
      <c r="AA306" s="45" t="str">
        <f>IFERROR(__xludf.DUMMYFUNCTION("""COMPUTED_VALUE"""),"Terminado")</f>
        <v>Terminado</v>
      </c>
      <c r="AB306" s="45">
        <f>IFERROR(__xludf.DUMMYFUNCTION("""COMPUTED_VALUE"""),50000.0)</f>
        <v>50000</v>
      </c>
      <c r="AC306" s="7">
        <f>IFERROR(__xludf.DUMMYFUNCTION("""COMPUTED_VALUE"""),205644.0)</f>
        <v>205644</v>
      </c>
      <c r="AD306" s="7" t="str">
        <f>IFERROR(__xludf.DUMMYFUNCTION("""COMPUTED_VALUE"""),"TRF 10-09")</f>
        <v>TRF 10-09</v>
      </c>
      <c r="AE306" s="7" t="str">
        <f>IFERROR(__xludf.DUMMYFUNCTION("""COMPUTED_VALUE"""),"OK")</f>
        <v>OK</v>
      </c>
      <c r="AF306" s="7"/>
    </row>
    <row r="307">
      <c r="A307" s="42">
        <f>IFERROR(__xludf.DUMMYFUNCTION("""COMPUTED_VALUE"""),45537.49986033565)</f>
        <v>45537.49986</v>
      </c>
      <c r="B307" s="43" t="str">
        <f>IFERROR(__xludf.DUMMYFUNCTION("""COMPUTED_VALUE"""),"Delfina")</f>
        <v>Delfina</v>
      </c>
      <c r="C307" s="43" t="str">
        <f>IFERROR(__xludf.DUMMYFUNCTION("""COMPUTED_VALUE"""),"Tesone")</f>
        <v>Tesone</v>
      </c>
      <c r="D307" s="43" t="str">
        <f>IFERROR(__xludf.DUMMYFUNCTION("""COMPUTED_VALUE"""),"Buenos Aires")</f>
        <v>Buenos Aires</v>
      </c>
      <c r="E307" s="45" t="str">
        <f>IFERROR(__xludf.DUMMYFUNCTION("""COMPUTED_VALUE"""),"ARG")</f>
        <v>ARG</v>
      </c>
      <c r="F307" s="45">
        <f>IFERROR(__xludf.DUMMYFUNCTION("""COMPUTED_VALUE"""),5.1125913E7)</f>
        <v>51125913</v>
      </c>
      <c r="G307" s="44">
        <f>IFERROR(__xludf.DUMMYFUNCTION("""COMPUTED_VALUE"""),40680.0)</f>
        <v>40680</v>
      </c>
      <c r="H307" s="45">
        <f>IFERROR(__xludf.DUMMYFUNCTION("""COMPUTED_VALUE"""),1.164486728E9)</f>
        <v>1164486728</v>
      </c>
      <c r="I307" s="45">
        <f>IFERROR(__xludf.DUMMYFUNCTION("""COMPUTED_VALUE"""),1.164486728E9)</f>
        <v>1164486728</v>
      </c>
      <c r="J307" s="45" t="str">
        <f>IFERROR(__xludf.DUMMYFUNCTION("""COMPUTED_VALUE"""),"altesone@hotmail.com")</f>
        <v>altesone@hotmail.com</v>
      </c>
      <c r="K307" s="45" t="str">
        <f>IFERROR(__xludf.DUMMYFUNCTION("""COMPUTED_VALUE"""),"Femenino")</f>
        <v>Femenino</v>
      </c>
      <c r="L307" s="45" t="str">
        <f>IFERROR(__xludf.DUMMYFUNCTION("""COMPUTED_VALUE"""),"CUBA")</f>
        <v>CUBA</v>
      </c>
      <c r="M307" s="45" t="str">
        <f>IFERROR(__xludf.DUMMYFUNCTION("""COMPUTED_VALUE"""),"Femenino, Interior (Optimist)")</f>
        <v>Femenino, Interior (Optimist)</v>
      </c>
      <c r="N307" s="7" t="str">
        <f>IFERROR(__xludf.DUMMYFUNCTION("""COMPUTED_VALUE"""),"OPTIMIST TIMONELES")</f>
        <v>OPTIMIST TIMONELES</v>
      </c>
      <c r="O307" s="7"/>
      <c r="P307" s="7">
        <f>IFERROR(__xludf.DUMMYFUNCTION("""COMPUTED_VALUE"""),3796.0)</f>
        <v>3796</v>
      </c>
      <c r="Q307" s="45"/>
      <c r="R307" s="45" t="str">
        <f>IFERROR(__xludf.DUMMYFUNCTION("""COMPUTED_VALUE"""),"Delfina Tesone")</f>
        <v>Delfina Tesone</v>
      </c>
      <c r="S307" s="45"/>
      <c r="T307" s="45"/>
      <c r="U307" s="45"/>
      <c r="V307" s="45"/>
      <c r="W307" s="45"/>
      <c r="X307" s="47" t="str">
        <f>IFERROR(__xludf.DUMMYFUNCTION("""COMPUTED_VALUE"""),"osde 61164745002")</f>
        <v>osde 61164745002</v>
      </c>
      <c r="Y307" s="7" t="str">
        <f>IFERROR(__xludf.DUMMYFUNCTION("""COMPUTED_VALUE"""),"No")</f>
        <v>No</v>
      </c>
      <c r="Z307" s="45" t="str">
        <f>IFERROR(__xludf.DUMMYFUNCTION("""COMPUTED_VALUE"""),"Acepto")</f>
        <v>Acepto</v>
      </c>
      <c r="AA307" s="45" t="str">
        <f>IFERROR(__xludf.DUMMYFUNCTION("""COMPUTED_VALUE"""),"Terminado")</f>
        <v>Terminado</v>
      </c>
      <c r="AB307" s="45">
        <f>IFERROR(__xludf.DUMMYFUNCTION("""COMPUTED_VALUE"""),50000.0)</f>
        <v>50000</v>
      </c>
      <c r="AC307" s="7">
        <f>IFERROR(__xludf.DUMMYFUNCTION("""COMPUTED_VALUE"""),205404.0)</f>
        <v>205404</v>
      </c>
      <c r="AD307" s="7" t="str">
        <f>IFERROR(__xludf.DUMMYFUNCTION("""COMPUTED_VALUE"""),"TRF 02-09")</f>
        <v>TRF 02-09</v>
      </c>
      <c r="AE307" s="7" t="str">
        <f>IFERROR(__xludf.DUMMYFUNCTION("""COMPUTED_VALUE"""),"OK")</f>
        <v>OK</v>
      </c>
      <c r="AF307" s="7"/>
    </row>
    <row r="308">
      <c r="A308" s="42">
        <f>IFERROR(__xludf.DUMMYFUNCTION("""COMPUTED_VALUE"""),45537.83661827546)</f>
        <v>45537.83662</v>
      </c>
      <c r="B308" s="43" t="str">
        <f>IFERROR(__xludf.DUMMYFUNCTION("""COMPUTED_VALUE"""),"Joaquin ")</f>
        <v>Joaquin </v>
      </c>
      <c r="C308" s="43" t="str">
        <f>IFERROR(__xludf.DUMMYFUNCTION("""COMPUTED_VALUE"""),"Tommasi")</f>
        <v>Tommasi</v>
      </c>
      <c r="D308" s="43" t="str">
        <f>IFERROR(__xludf.DUMMYFUNCTION("""COMPUTED_VALUE"""),"Buenos Aires ")</f>
        <v>Buenos Aires </v>
      </c>
      <c r="E308" s="45" t="str">
        <f>IFERROR(__xludf.DUMMYFUNCTION("""COMPUTED_VALUE"""),"ARG")</f>
        <v>ARG</v>
      </c>
      <c r="F308" s="45">
        <f>IFERROR(__xludf.DUMMYFUNCTION("""COMPUTED_VALUE"""),5.2763901E7)</f>
        <v>52763901</v>
      </c>
      <c r="G308" s="44">
        <f>IFERROR(__xludf.DUMMYFUNCTION("""COMPUTED_VALUE"""),41194.0)</f>
        <v>41194</v>
      </c>
      <c r="H308" s="45">
        <f>IFERROR(__xludf.DUMMYFUNCTION("""COMPUTED_VALUE"""),4.0485362E7)</f>
        <v>40485362</v>
      </c>
      <c r="I308" s="45">
        <f>IFERROR(__xludf.DUMMYFUNCTION("""COMPUTED_VALUE"""),4.9485362E7)</f>
        <v>49485362</v>
      </c>
      <c r="J308" s="45" t="str">
        <f>IFERROR(__xludf.DUMMYFUNCTION("""COMPUTED_VALUE"""),"Rftommasi@hotmail.com")</f>
        <v>Rftommasi@hotmail.com</v>
      </c>
      <c r="K308" s="45" t="str">
        <f>IFERROR(__xludf.DUMMYFUNCTION("""COMPUTED_VALUE"""),"Masculino")</f>
        <v>Masculino</v>
      </c>
      <c r="L308" s="45" t="str">
        <f>IFERROR(__xludf.DUMMYFUNCTION("""COMPUTED_VALUE"""),"CNSI")</f>
        <v>CNSI</v>
      </c>
      <c r="M308" s="45"/>
      <c r="N308" s="7" t="str">
        <f>IFERROR(__xludf.DUMMYFUNCTION("""COMPUTED_VALUE"""),"OPTIMIST PRINCIPIANTES")</f>
        <v>OPTIMIST PRINCIPIANTES</v>
      </c>
      <c r="O308" s="7"/>
      <c r="P308" s="7">
        <f>IFERROR(__xludf.DUMMYFUNCTION("""COMPUTED_VALUE"""),3924.0)</f>
        <v>3924</v>
      </c>
      <c r="Q308" s="45" t="str">
        <f>IFERROR(__xludf.DUMMYFUNCTION("""COMPUTED_VALUE"""),"Solana ")</f>
        <v>Solana </v>
      </c>
      <c r="R308" s="45"/>
      <c r="S308" s="45"/>
      <c r="T308" s="45"/>
      <c r="U308" s="45"/>
      <c r="V308" s="45"/>
      <c r="W308" s="45"/>
      <c r="X308" s="47" t="str">
        <f>IFERROR(__xludf.DUMMYFUNCTION("""COMPUTED_VALUE"""),"Osde ")</f>
        <v>Osde </v>
      </c>
      <c r="Y308" s="7" t="str">
        <f>IFERROR(__xludf.DUMMYFUNCTION("""COMPUTED_VALUE"""),"No")</f>
        <v>No</v>
      </c>
      <c r="Z308" s="45" t="str">
        <f>IFERROR(__xludf.DUMMYFUNCTION("""COMPUTED_VALUE"""),"Acepto")</f>
        <v>Acepto</v>
      </c>
      <c r="AA308" s="45" t="str">
        <f>IFERROR(__xludf.DUMMYFUNCTION("""COMPUTED_VALUE"""),"Terminado")</f>
        <v>Terminado</v>
      </c>
      <c r="AB308" s="45">
        <f>IFERROR(__xludf.DUMMYFUNCTION("""COMPUTED_VALUE"""),50000.0)</f>
        <v>50000</v>
      </c>
      <c r="AC308" s="7">
        <f>IFERROR(__xludf.DUMMYFUNCTION("""COMPUTED_VALUE"""),205512.0)</f>
        <v>205512</v>
      </c>
      <c r="AD308" s="7" t="str">
        <f>IFERROR(__xludf.DUMMYFUNCTION("""COMPUTED_VALUE"""),"TRF 05-09")</f>
        <v>TRF 05-09</v>
      </c>
      <c r="AE308" s="7" t="str">
        <f>IFERROR(__xludf.DUMMYFUNCTION("""COMPUTED_VALUE"""),"OK")</f>
        <v>OK</v>
      </c>
      <c r="AF308" s="7"/>
    </row>
    <row r="309">
      <c r="A309" s="42">
        <f>IFERROR(__xludf.DUMMYFUNCTION("""COMPUTED_VALUE"""),45536.70724701389)</f>
        <v>45536.70725</v>
      </c>
      <c r="B309" s="43" t="str">
        <f>IFERROR(__xludf.DUMMYFUNCTION("""COMPUTED_VALUE"""),"Gaspar")</f>
        <v>Gaspar</v>
      </c>
      <c r="C309" s="43" t="str">
        <f>IFERROR(__xludf.DUMMYFUNCTION("""COMPUTED_VALUE"""),"Toro")</f>
        <v>Toro</v>
      </c>
      <c r="D309" s="43" t="str">
        <f>IFERROR(__xludf.DUMMYFUNCTION("""COMPUTED_VALUE"""),"Buenos aires")</f>
        <v>Buenos aires</v>
      </c>
      <c r="E309" s="45" t="str">
        <f>IFERROR(__xludf.DUMMYFUNCTION("""COMPUTED_VALUE"""),"ARG")</f>
        <v>ARG</v>
      </c>
      <c r="F309" s="45">
        <f>IFERROR(__xludf.DUMMYFUNCTION("""COMPUTED_VALUE"""),4.886017E7)</f>
        <v>48860170</v>
      </c>
      <c r="G309" s="44">
        <f>IFERROR(__xludf.DUMMYFUNCTION("""COMPUTED_VALUE"""),39686.0)</f>
        <v>39686</v>
      </c>
      <c r="H309" s="45">
        <f>IFERROR(__xludf.DUMMYFUNCTION("""COMPUTED_VALUE"""),1.136401434E9)</f>
        <v>1136401434</v>
      </c>
      <c r="I309" s="45">
        <f>IFERROR(__xludf.DUMMYFUNCTION("""COMPUTED_VALUE"""),1.559387963E9)</f>
        <v>1559387963</v>
      </c>
      <c r="J309" s="45" t="str">
        <f>IFERROR(__xludf.DUMMYFUNCTION("""COMPUTED_VALUE"""),"gasparleotoro@gmail.com")</f>
        <v>gasparleotoro@gmail.com</v>
      </c>
      <c r="K309" s="45" t="str">
        <f>IFERROR(__xludf.DUMMYFUNCTION("""COMPUTED_VALUE"""),"Masculino")</f>
        <v>Masculino</v>
      </c>
      <c r="L309" s="45" t="str">
        <f>IFERROR(__xludf.DUMMYFUNCTION("""COMPUTED_VALUE"""),"YCO")</f>
        <v>YCO</v>
      </c>
      <c r="M309" s="45" t="str">
        <f>IFERROR(__xludf.DUMMYFUNCTION("""COMPUTED_VALUE"""),"Sub 16")</f>
        <v>Sub 16</v>
      </c>
      <c r="N309" s="7" t="str">
        <f>IFERROR(__xludf.DUMMYFUNCTION("""COMPUTED_VALUE"""),"ILCA 6")</f>
        <v>ILCA 6</v>
      </c>
      <c r="O309" s="7"/>
      <c r="P309" s="7">
        <f>IFERROR(__xludf.DUMMYFUNCTION("""COMPUTED_VALUE"""),223625.0)</f>
        <v>223625</v>
      </c>
      <c r="Q309" s="45"/>
      <c r="R309" s="45"/>
      <c r="S309" s="45"/>
      <c r="T309" s="45"/>
      <c r="U309" s="45"/>
      <c r="V309" s="45"/>
      <c r="W309" s="45"/>
      <c r="X309" s="47"/>
      <c r="Y309" s="7" t="str">
        <f>IFERROR(__xludf.DUMMYFUNCTION("""COMPUTED_VALUE"""),"No")</f>
        <v>No</v>
      </c>
      <c r="Z309" s="45" t="str">
        <f>IFERROR(__xludf.DUMMYFUNCTION("""COMPUTED_VALUE"""),"Acepto")</f>
        <v>Acepto</v>
      </c>
      <c r="AA309" s="45" t="str">
        <f>IFERROR(__xludf.DUMMYFUNCTION("""COMPUTED_VALUE"""),"Terminado")</f>
        <v>Terminado</v>
      </c>
      <c r="AB309" s="45">
        <f>IFERROR(__xludf.DUMMYFUNCTION("""COMPUTED_VALUE"""),45000.0)</f>
        <v>45000</v>
      </c>
      <c r="AC309" s="7">
        <f>IFERROR(__xludf.DUMMYFUNCTION("""COMPUTED_VALUE"""),205535.0)</f>
        <v>205535</v>
      </c>
      <c r="AD309" s="7" t="str">
        <f>IFERROR(__xludf.DUMMYFUNCTION("""COMPUTED_VALUE"""),"TRF 06-09")</f>
        <v>TRF 06-09</v>
      </c>
      <c r="AE309" s="7" t="str">
        <f>IFERROR(__xludf.DUMMYFUNCTION("""COMPUTED_VALUE"""),"OK")</f>
        <v>OK</v>
      </c>
      <c r="AF309" s="7"/>
    </row>
    <row r="310">
      <c r="A310" s="42">
        <f>IFERROR(__xludf.DUMMYFUNCTION("""COMPUTED_VALUE"""),45535.60374158565)</f>
        <v>45535.60374</v>
      </c>
      <c r="B310" s="43" t="str">
        <f>IFERROR(__xludf.DUMMYFUNCTION("""COMPUTED_VALUE"""),"Gabriel")</f>
        <v>Gabriel</v>
      </c>
      <c r="C310" s="43" t="str">
        <f>IFERROR(__xludf.DUMMYFUNCTION("""COMPUTED_VALUE"""),"Torre")</f>
        <v>Torre</v>
      </c>
      <c r="D310" s="43" t="str">
        <f>IFERROR(__xludf.DUMMYFUNCTION("""COMPUTED_VALUE"""),"CABA")</f>
        <v>CABA</v>
      </c>
      <c r="E310" s="45" t="str">
        <f>IFERROR(__xludf.DUMMYFUNCTION("""COMPUTED_VALUE"""),"ARG")</f>
        <v>ARG</v>
      </c>
      <c r="F310" s="45">
        <f>IFERROR(__xludf.DUMMYFUNCTION("""COMPUTED_VALUE"""),3.964423E7)</f>
        <v>39644230</v>
      </c>
      <c r="G310" s="44">
        <f>IFERROR(__xludf.DUMMYFUNCTION("""COMPUTED_VALUE"""),35213.0)</f>
        <v>35213</v>
      </c>
      <c r="H310" s="45">
        <f>IFERROR(__xludf.DUMMYFUNCTION("""COMPUTED_VALUE"""),1.153191497E9)</f>
        <v>1153191497</v>
      </c>
      <c r="I310" s="45">
        <f>IFERROR(__xludf.DUMMYFUNCTION("""COMPUTED_VALUE"""),1.15327974E9)</f>
        <v>1153279740</v>
      </c>
      <c r="J310" s="45" t="str">
        <f>IFERROR(__xludf.DUMMYFUNCTION("""COMPUTED_VALUE"""),"gabriel0torre@gmail.com")</f>
        <v>gabriel0torre@gmail.com</v>
      </c>
      <c r="K310" s="45" t="str">
        <f>IFERROR(__xludf.DUMMYFUNCTION("""COMPUTED_VALUE"""),"Masculino")</f>
        <v>Masculino</v>
      </c>
      <c r="L310" s="45" t="str">
        <f>IFERROR(__xludf.DUMMYFUNCTION("""COMPUTED_VALUE"""),"CUBA")</f>
        <v>CUBA</v>
      </c>
      <c r="M310" s="45"/>
      <c r="N310" s="7" t="str">
        <f>IFERROR(__xludf.DUMMYFUNCTION("""COMPUTED_VALUE"""),"ILCA 6")</f>
        <v>ILCA 6</v>
      </c>
      <c r="O310" s="7"/>
      <c r="P310" s="7">
        <f>IFERROR(__xludf.DUMMYFUNCTION("""COMPUTED_VALUE"""),222114.0)</f>
        <v>222114</v>
      </c>
      <c r="Q310" s="45"/>
      <c r="R310" s="45"/>
      <c r="S310" s="45"/>
      <c r="T310" s="45"/>
      <c r="U310" s="45"/>
      <c r="V310" s="45"/>
      <c r="W310" s="45"/>
      <c r="X310" s="47" t="str">
        <f>IFERROR(__xludf.DUMMYFUNCTION("""COMPUTED_VALUE"""),"SwisMedical8000061387043010007")</f>
        <v>SwisMedical8000061387043010007</v>
      </c>
      <c r="Y310" s="7" t="str">
        <f>IFERROR(__xludf.DUMMYFUNCTION("""COMPUTED_VALUE"""),"No")</f>
        <v>No</v>
      </c>
      <c r="Z310" s="45" t="str">
        <f>IFERROR(__xludf.DUMMYFUNCTION("""COMPUTED_VALUE"""),"Acepto")</f>
        <v>Acepto</v>
      </c>
      <c r="AA310" s="45" t="str">
        <f>IFERROR(__xludf.DUMMYFUNCTION("""COMPUTED_VALUE"""),"Parcial")</f>
        <v>Parcial</v>
      </c>
      <c r="AB310" s="45">
        <f>IFERROR(__xludf.DUMMYFUNCTION("""COMPUTED_VALUE"""),40000.0)</f>
        <v>40000</v>
      </c>
      <c r="AC310" s="7">
        <f>IFERROR(__xludf.DUMMYFUNCTION("""COMPUTED_VALUE"""),205138.0)</f>
        <v>205138</v>
      </c>
      <c r="AD310" s="7" t="str">
        <f>IFERROR(__xludf.DUMMYFUNCTION("""COMPUTED_VALUE"""),"TRF 31-08")</f>
        <v>TRF 31-08</v>
      </c>
      <c r="AE310" s="7" t="str">
        <f>IFERROR(__xludf.DUMMYFUNCTION("""COMPUTED_VALUE"""),"No Corresp")</f>
        <v>No Corresp</v>
      </c>
      <c r="AF310" s="7" t="str">
        <f>IFERROR(__xludf.DUMMYFUNCTION("""COMPUTED_VALUE"""),"Debe saldo")</f>
        <v>Debe saldo</v>
      </c>
    </row>
    <row r="311">
      <c r="A311" s="42">
        <f>IFERROR(__xludf.DUMMYFUNCTION("""COMPUTED_VALUE"""),45535.64504017361)</f>
        <v>45535.64504</v>
      </c>
      <c r="B311" s="43" t="str">
        <f>IFERROR(__xludf.DUMMYFUNCTION("""COMPUTED_VALUE"""),"Isabel")</f>
        <v>Isabel</v>
      </c>
      <c r="C311" s="43" t="str">
        <f>IFERROR(__xludf.DUMMYFUNCTION("""COMPUTED_VALUE"""),"Travería ")</f>
        <v>Travería </v>
      </c>
      <c r="D311" s="43" t="str">
        <f>IFERROR(__xludf.DUMMYFUNCTION("""COMPUTED_VALUE"""),"La Plata")</f>
        <v>La Plata</v>
      </c>
      <c r="E311" s="45" t="str">
        <f>IFERROR(__xludf.DUMMYFUNCTION("""COMPUTED_VALUE"""),"ARG")</f>
        <v>ARG</v>
      </c>
      <c r="F311" s="45">
        <f>IFERROR(__xludf.DUMMYFUNCTION("""COMPUTED_VALUE"""),5.0901006E7)</f>
        <v>50901006</v>
      </c>
      <c r="G311" s="44">
        <f>IFERROR(__xludf.DUMMYFUNCTION("""COMPUTED_VALUE"""),40588.0)</f>
        <v>40588</v>
      </c>
      <c r="H311" s="45">
        <f>IFERROR(__xludf.DUMMYFUNCTION("""COMPUTED_VALUE"""),2.215638412E9)</f>
        <v>2215638412</v>
      </c>
      <c r="I311" s="45">
        <f>IFERROR(__xludf.DUMMYFUNCTION("""COMPUTED_VALUE"""),2.215906619E9)</f>
        <v>2215906619</v>
      </c>
      <c r="J311" s="45" t="str">
        <f>IFERROR(__xludf.DUMMYFUNCTION("""COMPUTED_VALUE"""),"lauramadueno@gmail.com")</f>
        <v>lauramadueno@gmail.com</v>
      </c>
      <c r="K311" s="45" t="str">
        <f>IFERROR(__xludf.DUMMYFUNCTION("""COMPUTED_VALUE"""),"Femenino")</f>
        <v>Femenino</v>
      </c>
      <c r="L311" s="45" t="str">
        <f>IFERROR(__xludf.DUMMYFUNCTION("""COMPUTED_VALUE"""),"CRLP")</f>
        <v>CRLP</v>
      </c>
      <c r="M311" s="45" t="str">
        <f>IFERROR(__xludf.DUMMYFUNCTION("""COMPUTED_VALUE"""),"Femenino")</f>
        <v>Femenino</v>
      </c>
      <c r="N311" s="7" t="str">
        <f>IFERROR(__xludf.DUMMYFUNCTION("""COMPUTED_VALUE"""),"OPTIMIST TIMONELES")</f>
        <v>OPTIMIST TIMONELES</v>
      </c>
      <c r="O311" s="7"/>
      <c r="P311" s="7">
        <f>IFERROR(__xludf.DUMMYFUNCTION("""COMPUTED_VALUE"""),2991.0)</f>
        <v>2991</v>
      </c>
      <c r="Q311" s="45"/>
      <c r="R311" s="45" t="str">
        <f>IFERROR(__xludf.DUMMYFUNCTION("""COMPUTED_VALUE"""),"Isabel Travería ")</f>
        <v>Isabel Travería </v>
      </c>
      <c r="S311" s="45"/>
      <c r="T311" s="45"/>
      <c r="U311" s="45"/>
      <c r="V311" s="45"/>
      <c r="W311" s="45"/>
      <c r="X311" s="47"/>
      <c r="Y311" s="7" t="str">
        <f>IFERROR(__xludf.DUMMYFUNCTION("""COMPUTED_VALUE"""),"Si")</f>
        <v>Si</v>
      </c>
      <c r="Z311" s="45" t="str">
        <f>IFERROR(__xludf.DUMMYFUNCTION("""COMPUTED_VALUE"""),"Acepto")</f>
        <v>Acepto</v>
      </c>
      <c r="AA311" s="45" t="str">
        <f>IFERROR(__xludf.DUMMYFUNCTION("""COMPUTED_VALUE"""),"Terminado")</f>
        <v>Terminado</v>
      </c>
      <c r="AB311" s="45">
        <f>IFERROR(__xludf.DUMMYFUNCTION("""COMPUTED_VALUE"""),50000.0)</f>
        <v>50000</v>
      </c>
      <c r="AC311" s="7">
        <f>IFERROR(__xludf.DUMMYFUNCTION("""COMPUTED_VALUE"""),205359.0)</f>
        <v>205359</v>
      </c>
      <c r="AD311" s="7" t="str">
        <f>IFERROR(__xludf.DUMMYFUNCTION("""COMPUTED_VALUE"""),"TRF 31-08")</f>
        <v>TRF 31-08</v>
      </c>
      <c r="AE311" s="7" t="str">
        <f>IFERROR(__xludf.DUMMYFUNCTION("""COMPUTED_VALUE"""),"OK")</f>
        <v>OK</v>
      </c>
      <c r="AF311" s="7"/>
    </row>
    <row r="312">
      <c r="A312" s="42">
        <f>IFERROR(__xludf.DUMMYFUNCTION("""COMPUTED_VALUE"""),45536.765659282406)</f>
        <v>45536.76566</v>
      </c>
      <c r="B312" s="43" t="str">
        <f>IFERROR(__xludf.DUMMYFUNCTION("""COMPUTED_VALUE"""),"Alejandro")</f>
        <v>Alejandro</v>
      </c>
      <c r="C312" s="43" t="str">
        <f>IFERROR(__xludf.DUMMYFUNCTION("""COMPUTED_VALUE"""),"Triggiano")</f>
        <v>Triggiano</v>
      </c>
      <c r="D312" s="43" t="str">
        <f>IFERROR(__xludf.DUMMYFUNCTION("""COMPUTED_VALUE"""),"Salta")</f>
        <v>Salta</v>
      </c>
      <c r="E312" s="45" t="str">
        <f>IFERROR(__xludf.DUMMYFUNCTION("""COMPUTED_VALUE"""),"ARG")</f>
        <v>ARG</v>
      </c>
      <c r="F312" s="45">
        <f>IFERROR(__xludf.DUMMYFUNCTION("""COMPUTED_VALUE"""),2.3079394E7)</f>
        <v>23079394</v>
      </c>
      <c r="G312" s="44">
        <f>IFERROR(__xludf.DUMMYFUNCTION("""COMPUTED_VALUE"""),26704.0)</f>
        <v>26704</v>
      </c>
      <c r="H312" s="45">
        <f>IFERROR(__xludf.DUMMYFUNCTION("""COMPUTED_VALUE"""),3.8752209E9)</f>
        <v>3875220900</v>
      </c>
      <c r="I312" s="45">
        <f>IFERROR(__xludf.DUMMYFUNCTION("""COMPUTED_VALUE"""),3.874121431E9)</f>
        <v>3874121431</v>
      </c>
      <c r="J312" s="45" t="str">
        <f>IFERROR(__xludf.DUMMYFUNCTION("""COMPUTED_VALUE"""),"aletriggiano@icloud.com")</f>
        <v>aletriggiano@icloud.com</v>
      </c>
      <c r="K312" s="45" t="str">
        <f>IFERROR(__xludf.DUMMYFUNCTION("""COMPUTED_VALUE"""),"Masculino")</f>
        <v>Masculino</v>
      </c>
      <c r="L312" s="45" t="str">
        <f>IFERROR(__xludf.DUMMYFUNCTION("""COMPUTED_VALUE"""),"CRG")</f>
        <v>CRG</v>
      </c>
      <c r="M312" s="45" t="str">
        <f>IFERROR(__xludf.DUMMYFUNCTION("""COMPUTED_VALUE"""),"Master (ILCA)")</f>
        <v>Master (ILCA)</v>
      </c>
      <c r="N312" s="7" t="str">
        <f>IFERROR(__xludf.DUMMYFUNCTION("""COMPUTED_VALUE"""),"SNIPE")</f>
        <v>SNIPE</v>
      </c>
      <c r="O312" s="7"/>
      <c r="P312" s="7">
        <f>IFERROR(__xludf.DUMMYFUNCTION("""COMPUTED_VALUE"""),31710.0)</f>
        <v>31710</v>
      </c>
      <c r="Q312" s="45" t="str">
        <f>IFERROR(__xludf.DUMMYFUNCTION("""COMPUTED_VALUE"""),"Scirocco")</f>
        <v>Scirocco</v>
      </c>
      <c r="R312" s="45" t="str">
        <f>IFERROR(__xludf.DUMMYFUNCTION("""COMPUTED_VALUE"""),"Safar Exeni Mariana")</f>
        <v>Safar Exeni Mariana</v>
      </c>
      <c r="S312" s="45"/>
      <c r="T312" s="45"/>
      <c r="U312" s="45"/>
      <c r="V312" s="45"/>
      <c r="W312" s="45"/>
      <c r="X312" s="47"/>
      <c r="Y312" s="7" t="str">
        <f>IFERROR(__xludf.DUMMYFUNCTION("""COMPUTED_VALUE"""),"Si")</f>
        <v>Si</v>
      </c>
      <c r="Z312" s="45" t="str">
        <f>IFERROR(__xludf.DUMMYFUNCTION("""COMPUTED_VALUE"""),"Acepto")</f>
        <v>Acepto</v>
      </c>
      <c r="AA312" s="45" t="str">
        <f>IFERROR(__xludf.DUMMYFUNCTION("""COMPUTED_VALUE"""),"Terminado")</f>
        <v>Terminado</v>
      </c>
      <c r="AB312" s="45">
        <f>IFERROR(__xludf.DUMMYFUNCTION("""COMPUTED_VALUE"""),60000.0)</f>
        <v>60000</v>
      </c>
      <c r="AC312" s="7">
        <f>IFERROR(__xludf.DUMMYFUNCTION("""COMPUTED_VALUE"""),205387.0)</f>
        <v>205387</v>
      </c>
      <c r="AD312" s="7" t="str">
        <f>IFERROR(__xludf.DUMMYFUNCTION("""COMPUTED_VALUE"""),"TRF 02-09")</f>
        <v>TRF 02-09</v>
      </c>
      <c r="AE312" s="7" t="str">
        <f>IFERROR(__xludf.DUMMYFUNCTION("""COMPUTED_VALUE"""),"No Corresp")</f>
        <v>No Corresp</v>
      </c>
      <c r="AF312" s="7"/>
    </row>
    <row r="313">
      <c r="A313" s="42">
        <f>IFERROR(__xludf.DUMMYFUNCTION("""COMPUTED_VALUE"""),45537.41260751158)</f>
        <v>45537.41261</v>
      </c>
      <c r="B313" s="43" t="str">
        <f>IFERROR(__xludf.DUMMYFUNCTION("""COMPUTED_VALUE"""),"Tiago")</f>
        <v>Tiago</v>
      </c>
      <c r="C313" s="43" t="str">
        <f>IFERROR(__xludf.DUMMYFUNCTION("""COMPUTED_VALUE"""),"Troilo")</f>
        <v>Troilo</v>
      </c>
      <c r="D313" s="43" t="str">
        <f>IFERROR(__xludf.DUMMYFUNCTION("""COMPUTED_VALUE"""),"Tigre ")</f>
        <v>Tigre </v>
      </c>
      <c r="E313" s="45" t="str">
        <f>IFERROR(__xludf.DUMMYFUNCTION("""COMPUTED_VALUE"""),"ARG")</f>
        <v>ARG</v>
      </c>
      <c r="F313" s="45">
        <f>IFERROR(__xludf.DUMMYFUNCTION("""COMPUTED_VALUE"""),4.8231861E7)</f>
        <v>48231861</v>
      </c>
      <c r="G313" s="44">
        <f>IFERROR(__xludf.DUMMYFUNCTION("""COMPUTED_VALUE"""),39455.0)</f>
        <v>39455</v>
      </c>
      <c r="H313" s="45" t="str">
        <f>IFERROR(__xludf.DUMMYFUNCTION("""COMPUTED_VALUE"""),"11 49749551")</f>
        <v>11 49749551</v>
      </c>
      <c r="I313" s="45" t="str">
        <f>IFERROR(__xludf.DUMMYFUNCTION("""COMPUTED_VALUE"""),"11 65452744")</f>
        <v>11 65452744</v>
      </c>
      <c r="J313" s="45" t="str">
        <f>IFERROR(__xludf.DUMMYFUNCTION("""COMPUTED_VALUE"""),"Tiagofedetf08@gmail.com")</f>
        <v>Tiagofedetf08@gmail.com</v>
      </c>
      <c r="K313" s="45" t="str">
        <f>IFERROR(__xludf.DUMMYFUNCTION("""COMPUTED_VALUE"""),"Masculino")</f>
        <v>Masculino</v>
      </c>
      <c r="L313" s="45" t="str">
        <f>IFERROR(__xludf.DUMMYFUNCTION("""COMPUTED_VALUE"""),"CPNLB")</f>
        <v>CPNLB</v>
      </c>
      <c r="M313" s="45"/>
      <c r="N313" s="7">
        <f>IFERROR(__xludf.DUMMYFUNCTION("""COMPUTED_VALUE"""),420.0)</f>
        <v>420</v>
      </c>
      <c r="O313" s="7">
        <f>IFERROR(__xludf.DUMMYFUNCTION("""COMPUTED_VALUE"""),73.0)</f>
        <v>73</v>
      </c>
      <c r="P313" s="7">
        <f>IFERROR(__xludf.DUMMYFUNCTION("""COMPUTED_VALUE"""),55348.0)</f>
        <v>55348</v>
      </c>
      <c r="Q313" s="45"/>
      <c r="R313" s="45" t="str">
        <f>IFERROR(__xludf.DUMMYFUNCTION("""COMPUTED_VALUE"""),"Tomas lopez")</f>
        <v>Tomas lopez</v>
      </c>
      <c r="S313" s="45"/>
      <c r="T313" s="45"/>
      <c r="U313" s="45"/>
      <c r="V313" s="45"/>
      <c r="W313" s="45"/>
      <c r="X313" s="47"/>
      <c r="Y313" s="7" t="str">
        <f>IFERROR(__xludf.DUMMYFUNCTION("""COMPUTED_VALUE"""),"No")</f>
        <v>No</v>
      </c>
      <c r="Z313" s="45" t="str">
        <f>IFERROR(__xludf.DUMMYFUNCTION("""COMPUTED_VALUE"""),"Acepto")</f>
        <v>Acepto</v>
      </c>
      <c r="AA313" s="45" t="str">
        <f>IFERROR(__xludf.DUMMYFUNCTION("""COMPUTED_VALUE"""),"Pendiente")</f>
        <v>Pendiente</v>
      </c>
      <c r="AB313" s="45"/>
      <c r="AC313" s="7"/>
      <c r="AD313" s="7"/>
      <c r="AE313" s="7" t="str">
        <f>IFERROR(__xludf.DUMMYFUNCTION("""COMPUTED_VALUE"""),"OK")</f>
        <v>OK</v>
      </c>
      <c r="AF313" s="7"/>
    </row>
    <row r="314">
      <c r="A314" s="42">
        <f>IFERROR(__xludf.DUMMYFUNCTION("""COMPUTED_VALUE"""),45535.6489390625)</f>
        <v>45535.64894</v>
      </c>
      <c r="B314" s="43" t="str">
        <f>IFERROR(__xludf.DUMMYFUNCTION("""COMPUTED_VALUE"""),"JUANITA")</f>
        <v>JUANITA</v>
      </c>
      <c r="C314" s="43" t="str">
        <f>IFERROR(__xludf.DUMMYFUNCTION("""COMPUTED_VALUE"""),"ULLUA CAPRE")</f>
        <v>ULLUA CAPRE</v>
      </c>
      <c r="D314" s="43" t="str">
        <f>IFERROR(__xludf.DUMMYFUNCTION("""COMPUTED_VALUE"""),"SAN PEDRO")</f>
        <v>SAN PEDRO</v>
      </c>
      <c r="E314" s="45" t="str">
        <f>IFERROR(__xludf.DUMMYFUNCTION("""COMPUTED_VALUE"""),"ARG")</f>
        <v>ARG</v>
      </c>
      <c r="F314" s="45">
        <f>IFERROR(__xludf.DUMMYFUNCTION("""COMPUTED_VALUE"""),5.0390387E7)</f>
        <v>50390387</v>
      </c>
      <c r="G314" s="44">
        <f>IFERROR(__xludf.DUMMYFUNCTION("""COMPUTED_VALUE"""),40386.0)</f>
        <v>40386</v>
      </c>
      <c r="H314" s="45">
        <f>IFERROR(__xludf.DUMMYFUNCTION("""COMPUTED_VALUE"""),3.329505972E9)</f>
        <v>3329505972</v>
      </c>
      <c r="I314" s="45">
        <f>IFERROR(__xludf.DUMMYFUNCTION("""COMPUTED_VALUE"""),3.329505972E9)</f>
        <v>3329505972</v>
      </c>
      <c r="J314" s="45" t="str">
        <f>IFERROR(__xludf.DUMMYFUNCTION("""COMPUTED_VALUE"""),"MYRIANKA@HOTMAIL.COM")</f>
        <v>MYRIANKA@HOTMAIL.COM</v>
      </c>
      <c r="K314" s="45" t="str">
        <f>IFERROR(__xludf.DUMMYFUNCTION("""COMPUTED_VALUE"""),"Femenino")</f>
        <v>Femenino</v>
      </c>
      <c r="L314" s="45" t="str">
        <f>IFERROR(__xludf.DUMMYFUNCTION("""COMPUTED_VALUE"""),"CNSP")</f>
        <v>CNSP</v>
      </c>
      <c r="M314" s="45" t="str">
        <f>IFERROR(__xludf.DUMMYFUNCTION("""COMPUTED_VALUE"""),"Interior (Optimist)")</f>
        <v>Interior (Optimist)</v>
      </c>
      <c r="N314" s="7" t="str">
        <f>IFERROR(__xludf.DUMMYFUNCTION("""COMPUTED_VALUE"""),"OPTIMIST TIMONELES")</f>
        <v>OPTIMIST TIMONELES</v>
      </c>
      <c r="O314" s="7"/>
      <c r="P314" s="7">
        <f>IFERROR(__xludf.DUMMYFUNCTION("""COMPUTED_VALUE"""),3248.0)</f>
        <v>3248</v>
      </c>
      <c r="Q314" s="45"/>
      <c r="R314" s="45"/>
      <c r="S314" s="45"/>
      <c r="T314" s="45"/>
      <c r="U314" s="45"/>
      <c r="V314" s="45"/>
      <c r="W314" s="45"/>
      <c r="X314" s="47" t="str">
        <f>IFERROR(__xludf.DUMMYFUNCTION("""COMPUTED_VALUE"""),"UNION PERSONAL PMO")</f>
        <v>UNION PERSONAL PMO</v>
      </c>
      <c r="Y314" s="7" t="str">
        <f>IFERROR(__xludf.DUMMYFUNCTION("""COMPUTED_VALUE"""),"Si")</f>
        <v>Si</v>
      </c>
      <c r="Z314" s="45" t="str">
        <f>IFERROR(__xludf.DUMMYFUNCTION("""COMPUTED_VALUE"""),"Acepto")</f>
        <v>Acepto</v>
      </c>
      <c r="AA314" s="45" t="str">
        <f>IFERROR(__xludf.DUMMYFUNCTION("""COMPUTED_VALUE"""),"Terminado")</f>
        <v>Terminado</v>
      </c>
      <c r="AB314" s="45">
        <f>IFERROR(__xludf.DUMMYFUNCTION("""COMPUTED_VALUE"""),42500.0)</f>
        <v>42500</v>
      </c>
      <c r="AC314" s="7">
        <f>IFERROR(__xludf.DUMMYFUNCTION("""COMPUTED_VALUE"""),205347.0)</f>
        <v>205347</v>
      </c>
      <c r="AD314" s="7" t="str">
        <f>IFERROR(__xludf.DUMMYFUNCTION("""COMPUTED_VALUE"""),"TRF 31-08")</f>
        <v>TRF 31-08</v>
      </c>
      <c r="AE314" s="7" t="str">
        <f>IFERROR(__xludf.DUMMYFUNCTION("""COMPUTED_VALUE"""),"OK")</f>
        <v>OK</v>
      </c>
      <c r="AF314" s="7"/>
    </row>
    <row r="315">
      <c r="A315" s="42">
        <f>IFERROR(__xludf.DUMMYFUNCTION("""COMPUTED_VALUE"""),45535.73478642361)</f>
        <v>45535.73479</v>
      </c>
      <c r="B315" s="43" t="str">
        <f>IFERROR(__xludf.DUMMYFUNCTION("""COMPUTED_VALUE"""),"Simón")</f>
        <v>Simón</v>
      </c>
      <c r="C315" s="43" t="str">
        <f>IFERROR(__xludf.DUMMYFUNCTION("""COMPUTED_VALUE"""),"Uzeltinger")</f>
        <v>Uzeltinger</v>
      </c>
      <c r="D315" s="43" t="str">
        <f>IFERROR(__xludf.DUMMYFUNCTION("""COMPUTED_VALUE"""),"Puerto Madryn")</f>
        <v>Puerto Madryn</v>
      </c>
      <c r="E315" s="45" t="str">
        <f>IFERROR(__xludf.DUMMYFUNCTION("""COMPUTED_VALUE"""),"ARG")</f>
        <v>ARG</v>
      </c>
      <c r="F315" s="45">
        <f>IFERROR(__xludf.DUMMYFUNCTION("""COMPUTED_VALUE"""),5.0944211E7)</f>
        <v>50944211</v>
      </c>
      <c r="G315" s="44">
        <f>IFERROR(__xludf.DUMMYFUNCTION("""COMPUTED_VALUE"""),40576.0)</f>
        <v>40576</v>
      </c>
      <c r="H315" s="45">
        <f>IFERROR(__xludf.DUMMYFUNCTION("""COMPUTED_VALUE"""),2.80455093E9)</f>
        <v>2804550930</v>
      </c>
      <c r="I315" s="45">
        <f>IFERROR(__xludf.DUMMYFUNCTION("""COMPUTED_VALUE"""),2.80455093E9)</f>
        <v>2804550930</v>
      </c>
      <c r="J315" s="45" t="str">
        <f>IFERROR(__xludf.DUMMYFUNCTION("""COMPUTED_VALUE"""),"Uzeltinger@gmail.com")</f>
        <v>Uzeltinger@gmail.com</v>
      </c>
      <c r="K315" s="45" t="str">
        <f>IFERROR(__xludf.DUMMYFUNCTION("""COMPUTED_VALUE"""),"Masculino")</f>
        <v>Masculino</v>
      </c>
      <c r="L315" s="45" t="str">
        <f>IFERROR(__xludf.DUMMYFUNCTION("""COMPUTED_VALUE"""),"CNAS")</f>
        <v>CNAS</v>
      </c>
      <c r="M315" s="45" t="str">
        <f>IFERROR(__xludf.DUMMYFUNCTION("""COMPUTED_VALUE"""),"Interior (Optimist)")</f>
        <v>Interior (Optimist)</v>
      </c>
      <c r="N315" s="7" t="str">
        <f>IFERROR(__xludf.DUMMYFUNCTION("""COMPUTED_VALUE"""),"OPTIMIST TIMONELES")</f>
        <v>OPTIMIST TIMONELES</v>
      </c>
      <c r="O315" s="7"/>
      <c r="P315" s="7">
        <f>IFERROR(__xludf.DUMMYFUNCTION("""COMPUTED_VALUE"""),3449.0)</f>
        <v>3449</v>
      </c>
      <c r="Q315" s="45"/>
      <c r="R315" s="45"/>
      <c r="S315" s="45"/>
      <c r="T315" s="45"/>
      <c r="U315" s="45"/>
      <c r="V315" s="45"/>
      <c r="W315" s="45"/>
      <c r="X315" s="47" t="str">
        <f>IFERROR(__xludf.DUMMYFUNCTION("""COMPUTED_VALUE"""),"SEROS")</f>
        <v>SEROS</v>
      </c>
      <c r="Y315" s="7" t="str">
        <f>IFERROR(__xludf.DUMMYFUNCTION("""COMPUTED_VALUE"""),"Si")</f>
        <v>Si</v>
      </c>
      <c r="Z315" s="45" t="str">
        <f>IFERROR(__xludf.DUMMYFUNCTION("""COMPUTED_VALUE"""),"Acepto")</f>
        <v>Acepto</v>
      </c>
      <c r="AA315" s="45" t="str">
        <f>IFERROR(__xludf.DUMMYFUNCTION("""COMPUTED_VALUE"""),"Terminado")</f>
        <v>Terminado</v>
      </c>
      <c r="AB315" s="45">
        <f>IFERROR(__xludf.DUMMYFUNCTION("""COMPUTED_VALUE"""),42500.0)</f>
        <v>42500</v>
      </c>
      <c r="AC315" s="7">
        <f>IFERROR(__xludf.DUMMYFUNCTION("""COMPUTED_VALUE"""),205374.0)</f>
        <v>205374</v>
      </c>
      <c r="AD315" s="7" t="str">
        <f>IFERROR(__xludf.DUMMYFUNCTION("""COMPUTED_VALUE"""),"TRF 02-09")</f>
        <v>TRF 02-09</v>
      </c>
      <c r="AE315" s="7" t="str">
        <f>IFERROR(__xludf.DUMMYFUNCTION("""COMPUTED_VALUE"""),"OK")</f>
        <v>OK</v>
      </c>
      <c r="AF315" s="7"/>
    </row>
    <row r="316">
      <c r="A316" s="42">
        <f>IFERROR(__xludf.DUMMYFUNCTION("""COMPUTED_VALUE"""),45535.874204907406)</f>
        <v>45535.8742</v>
      </c>
      <c r="B316" s="43" t="str">
        <f>IFERROR(__xludf.DUMMYFUNCTION("""COMPUTED_VALUE"""),"TOMAS")</f>
        <v>TOMAS</v>
      </c>
      <c r="C316" s="43" t="str">
        <f>IFERROR(__xludf.DUMMYFUNCTION("""COMPUTED_VALUE"""),"VANZULLI")</f>
        <v>VANZULLI</v>
      </c>
      <c r="D316" s="43" t="str">
        <f>IFERROR(__xludf.DUMMYFUNCTION("""COMPUTED_VALUE"""),"BUENOS AIRES")</f>
        <v>BUENOS AIRES</v>
      </c>
      <c r="E316" s="45" t="str">
        <f>IFERROR(__xludf.DUMMYFUNCTION("""COMPUTED_VALUE"""),"ARG")</f>
        <v>ARG</v>
      </c>
      <c r="F316" s="45">
        <f>IFERROR(__xludf.DUMMYFUNCTION("""COMPUTED_VALUE"""),4.9932581E7)</f>
        <v>49932581</v>
      </c>
      <c r="G316" s="44">
        <f>IFERROR(__xludf.DUMMYFUNCTION("""COMPUTED_VALUE"""),40135.0)</f>
        <v>40135</v>
      </c>
      <c r="H316" s="45">
        <f>IFERROR(__xludf.DUMMYFUNCTION("""COMPUTED_VALUE"""),1.133855954E9)</f>
        <v>1133855954</v>
      </c>
      <c r="I316" s="45">
        <f>IFERROR(__xludf.DUMMYFUNCTION("""COMPUTED_VALUE"""),1.133855954E9)</f>
        <v>1133855954</v>
      </c>
      <c r="J316" s="45" t="str">
        <f>IFERROR(__xludf.DUMMYFUNCTION("""COMPUTED_VALUE"""),"COTICOLOMBO@YAHOO.COM.AR")</f>
        <v>COTICOLOMBO@YAHOO.COM.AR</v>
      </c>
      <c r="K316" s="45" t="str">
        <f>IFERROR(__xludf.DUMMYFUNCTION("""COMPUTED_VALUE"""),"Masculino")</f>
        <v>Masculino</v>
      </c>
      <c r="L316" s="45" t="str">
        <f>IFERROR(__xludf.DUMMYFUNCTION("""COMPUTED_VALUE"""),"YCCN")</f>
        <v>YCCN</v>
      </c>
      <c r="M316" s="45"/>
      <c r="N316" s="7" t="str">
        <f>IFERROR(__xludf.DUMMYFUNCTION("""COMPUTED_VALUE"""),"OPTIMIST TIMONELES")</f>
        <v>OPTIMIST TIMONELES</v>
      </c>
      <c r="O316" s="7"/>
      <c r="P316" s="7">
        <f>IFERROR(__xludf.DUMMYFUNCTION("""COMPUTED_VALUE"""),3438.0)</f>
        <v>3438</v>
      </c>
      <c r="Q316" s="45"/>
      <c r="R316" s="45"/>
      <c r="S316" s="45"/>
      <c r="T316" s="45"/>
      <c r="U316" s="45"/>
      <c r="V316" s="45"/>
      <c r="W316" s="45"/>
      <c r="X316" s="47">
        <f>IFERROR(__xludf.DUMMYFUNCTION("""COMPUTED_VALUE"""),1.7926566E10)</f>
        <v>17926566000</v>
      </c>
      <c r="Y316" s="7" t="str">
        <f>IFERROR(__xludf.DUMMYFUNCTION("""COMPUTED_VALUE"""),"No")</f>
        <v>No</v>
      </c>
      <c r="Z316" s="45" t="str">
        <f>IFERROR(__xludf.DUMMYFUNCTION("""COMPUTED_VALUE"""),"Acepto")</f>
        <v>Acepto</v>
      </c>
      <c r="AA316" s="45" t="str">
        <f>IFERROR(__xludf.DUMMYFUNCTION("""COMPUTED_VALUE"""),"Terminado")</f>
        <v>Terminado</v>
      </c>
      <c r="AB316" s="45">
        <f>IFERROR(__xludf.DUMMYFUNCTION("""COMPUTED_VALUE"""),50000.0)</f>
        <v>50000</v>
      </c>
      <c r="AC316" s="7">
        <f>IFERROR(__xludf.DUMMYFUNCTION("""COMPUTED_VALUE"""),205342.0)</f>
        <v>205342</v>
      </c>
      <c r="AD316" s="7" t="str">
        <f>IFERROR(__xludf.DUMMYFUNCTION("""COMPUTED_VALUE"""),"TRF 31-08")</f>
        <v>TRF 31-08</v>
      </c>
      <c r="AE316" s="7" t="str">
        <f>IFERROR(__xludf.DUMMYFUNCTION("""COMPUTED_VALUE"""),"OK")</f>
        <v>OK</v>
      </c>
      <c r="AF316" s="7"/>
    </row>
    <row r="317">
      <c r="A317" s="42">
        <f>IFERROR(__xludf.DUMMYFUNCTION("""COMPUTED_VALUE"""),45537.403070416665)</f>
        <v>45537.40307</v>
      </c>
      <c r="B317" s="43" t="str">
        <f>IFERROR(__xludf.DUMMYFUNCTION("""COMPUTED_VALUE"""),"Lola")</f>
        <v>Lola</v>
      </c>
      <c r="C317" s="43" t="str">
        <f>IFERROR(__xludf.DUMMYFUNCTION("""COMPUTED_VALUE"""),"Varela")</f>
        <v>Varela</v>
      </c>
      <c r="D317" s="43" t="str">
        <f>IFERROR(__xludf.DUMMYFUNCTION("""COMPUTED_VALUE"""),"Buenos aires")</f>
        <v>Buenos aires</v>
      </c>
      <c r="E317" s="45" t="str">
        <f>IFERROR(__xludf.DUMMYFUNCTION("""COMPUTED_VALUE"""),"ARG")</f>
        <v>ARG</v>
      </c>
      <c r="F317" s="45">
        <f>IFERROR(__xludf.DUMMYFUNCTION("""COMPUTED_VALUE"""),4.8801719E7)</f>
        <v>48801719</v>
      </c>
      <c r="G317" s="44">
        <f>IFERROR(__xludf.DUMMYFUNCTION("""COMPUTED_VALUE"""),39609.0)</f>
        <v>39609</v>
      </c>
      <c r="H317" s="45">
        <f>IFERROR(__xludf.DUMMYFUNCTION("""COMPUTED_VALUE"""),5.8733548E7)</f>
        <v>58733548</v>
      </c>
      <c r="I317" s="45"/>
      <c r="J317" s="45" t="str">
        <f>IFERROR(__xludf.DUMMYFUNCTION("""COMPUTED_VALUE"""),"Lolavarelacardinali@gmail.com")</f>
        <v>Lolavarelacardinali@gmail.com</v>
      </c>
      <c r="K317" s="45" t="str">
        <f>IFERROR(__xludf.DUMMYFUNCTION("""COMPUTED_VALUE"""),"Femenino")</f>
        <v>Femenino</v>
      </c>
      <c r="L317" s="45" t="str">
        <f>IFERROR(__xludf.DUMMYFUNCTION("""COMPUTED_VALUE"""),"Cnsi")</f>
        <v>Cnsi</v>
      </c>
      <c r="M317" s="45" t="str">
        <f>IFERROR(__xludf.DUMMYFUNCTION("""COMPUTED_VALUE"""),"Femenino")</f>
        <v>Femenino</v>
      </c>
      <c r="N317" s="7">
        <f>IFERROR(__xludf.DUMMYFUNCTION("""COMPUTED_VALUE"""),420.0)</f>
        <v>420</v>
      </c>
      <c r="O317" s="7">
        <f>IFERROR(__xludf.DUMMYFUNCTION("""COMPUTED_VALUE"""),68.0)</f>
        <v>68</v>
      </c>
      <c r="P317" s="7">
        <f>IFERROR(__xludf.DUMMYFUNCTION("""COMPUTED_VALUE"""),55343.0)</f>
        <v>55343</v>
      </c>
      <c r="Q317" s="45"/>
      <c r="R317" s="45" t="str">
        <f>IFERROR(__xludf.DUMMYFUNCTION("""COMPUTED_VALUE"""),"Faustina busch")</f>
        <v>Faustina busch</v>
      </c>
      <c r="S317" s="45"/>
      <c r="T317" s="45"/>
      <c r="U317" s="45"/>
      <c r="V317" s="45"/>
      <c r="W317" s="45"/>
      <c r="X317" s="47"/>
      <c r="Y317" s="7" t="str">
        <f>IFERROR(__xludf.DUMMYFUNCTION("""COMPUTED_VALUE"""),"No")</f>
        <v>No</v>
      </c>
      <c r="Z317" s="45" t="str">
        <f>IFERROR(__xludf.DUMMYFUNCTION("""COMPUTED_VALUE"""),"Acepto")</f>
        <v>Acepto</v>
      </c>
      <c r="AA317" s="45" t="str">
        <f>IFERROR(__xludf.DUMMYFUNCTION("""COMPUTED_VALUE"""),"Terminado")</f>
        <v>Terminado</v>
      </c>
      <c r="AB317" s="45">
        <f>IFERROR(__xludf.DUMMYFUNCTION("""COMPUTED_VALUE"""),65000.0)</f>
        <v>65000</v>
      </c>
      <c r="AC317" s="7">
        <f>IFERROR(__xludf.DUMMYFUNCTION("""COMPUTED_VALUE"""),205400.0)</f>
        <v>205400</v>
      </c>
      <c r="AD317" s="7" t="str">
        <f>IFERROR(__xludf.DUMMYFUNCTION("""COMPUTED_VALUE"""),"TRF 02-09")</f>
        <v>TRF 02-09</v>
      </c>
      <c r="AE317" s="7" t="str">
        <f>IFERROR(__xludf.DUMMYFUNCTION("""COMPUTED_VALUE"""),"OK")</f>
        <v>OK</v>
      </c>
      <c r="AF317" s="7" t="str">
        <f>IFERROR(__xludf.DUMMYFUNCTION("""COMPUTED_VALUE"""),"SI")</f>
        <v>SI</v>
      </c>
    </row>
    <row r="318">
      <c r="A318" s="42">
        <f>IFERROR(__xludf.DUMMYFUNCTION("""COMPUTED_VALUE"""),45535.365026458334)</f>
        <v>45535.36503</v>
      </c>
      <c r="B318" s="43" t="str">
        <f>IFERROR(__xludf.DUMMYFUNCTION("""COMPUTED_VALUE"""),"Fermín")</f>
        <v>Fermín</v>
      </c>
      <c r="C318" s="43" t="str">
        <f>IFERROR(__xludf.DUMMYFUNCTION("""COMPUTED_VALUE"""),"Vázquez del Campo")</f>
        <v>Vázquez del Campo</v>
      </c>
      <c r="D318" s="43" t="str">
        <f>IFERROR(__xludf.DUMMYFUNCTION("""COMPUTED_VALUE"""),"Tigre ")</f>
        <v>Tigre </v>
      </c>
      <c r="E318" s="45" t="str">
        <f>IFERROR(__xludf.DUMMYFUNCTION("""COMPUTED_VALUE"""),"ARG")</f>
        <v>ARG</v>
      </c>
      <c r="F318" s="45">
        <f>IFERROR(__xludf.DUMMYFUNCTION("""COMPUTED_VALUE"""),5.2827436E7)</f>
        <v>52827436</v>
      </c>
      <c r="G318" s="44">
        <f>IFERROR(__xludf.DUMMYFUNCTION("""COMPUTED_VALUE"""),41243.0)</f>
        <v>41243</v>
      </c>
      <c r="H318" s="45">
        <f>IFERROR(__xludf.DUMMYFUNCTION("""COMPUTED_VALUE"""),1.159948383E9)</f>
        <v>1159948383</v>
      </c>
      <c r="I318" s="45"/>
      <c r="J318" s="45" t="str">
        <f>IFERROR(__xludf.DUMMYFUNCTION("""COMPUTED_VALUE"""),"lucreciadelcampo@gmail.com")</f>
        <v>lucreciadelcampo@gmail.com</v>
      </c>
      <c r="K318" s="45" t="str">
        <f>IFERROR(__xludf.DUMMYFUNCTION("""COMPUTED_VALUE"""),"Masculino")</f>
        <v>Masculino</v>
      </c>
      <c r="L318" s="45" t="str">
        <f>IFERROR(__xludf.DUMMYFUNCTION("""COMPUTED_VALUE"""),"CNSI")</f>
        <v>CNSI</v>
      </c>
      <c r="M318" s="45" t="str">
        <f>IFERROR(__xludf.DUMMYFUNCTION("""COMPUTED_VALUE"""),"Interior (Optimist)")</f>
        <v>Interior (Optimist)</v>
      </c>
      <c r="N318" s="7" t="str">
        <f>IFERROR(__xludf.DUMMYFUNCTION("""COMPUTED_VALUE"""),"OPTIMIST TIMONELES")</f>
        <v>OPTIMIST TIMONELES</v>
      </c>
      <c r="O318" s="7"/>
      <c r="P318" s="7">
        <f>IFERROR(__xludf.DUMMYFUNCTION("""COMPUTED_VALUE"""),3583.0)</f>
        <v>3583</v>
      </c>
      <c r="Q318" s="45"/>
      <c r="R318" s="45"/>
      <c r="S318" s="45"/>
      <c r="T318" s="45"/>
      <c r="U318" s="45"/>
      <c r="V318" s="45"/>
      <c r="W318" s="45"/>
      <c r="X318" s="47"/>
      <c r="Y318" s="7" t="str">
        <f>IFERROR(__xludf.DUMMYFUNCTION("""COMPUTED_VALUE"""),"No")</f>
        <v>No</v>
      </c>
      <c r="Z318" s="45" t="str">
        <f>IFERROR(__xludf.DUMMYFUNCTION("""COMPUTED_VALUE"""),"Acepto")</f>
        <v>Acepto</v>
      </c>
      <c r="AA318" s="45" t="str">
        <f>IFERROR(__xludf.DUMMYFUNCTION("""COMPUTED_VALUE"""),"Terminado")</f>
        <v>Terminado</v>
      </c>
      <c r="AB318" s="45">
        <f>IFERROR(__xludf.DUMMYFUNCTION("""COMPUTED_VALUE"""),50000.0)</f>
        <v>50000</v>
      </c>
      <c r="AC318" s="7">
        <f>IFERROR(__xludf.DUMMYFUNCTION("""COMPUTED_VALUE"""),205164.0)</f>
        <v>205164</v>
      </c>
      <c r="AD318" s="7" t="str">
        <f>IFERROR(__xludf.DUMMYFUNCTION("""COMPUTED_VALUE"""),"TRF 31-08")</f>
        <v>TRF 31-08</v>
      </c>
      <c r="AE318" s="7" t="str">
        <f>IFERROR(__xludf.DUMMYFUNCTION("""COMPUTED_VALUE"""),"OK")</f>
        <v>OK</v>
      </c>
      <c r="AF318" s="7"/>
    </row>
    <row r="319">
      <c r="A319" s="42">
        <f>IFERROR(__xludf.DUMMYFUNCTION("""COMPUTED_VALUE"""),45535.368253912035)</f>
        <v>45535.36825</v>
      </c>
      <c r="B319" s="43" t="str">
        <f>IFERROR(__xludf.DUMMYFUNCTION("""COMPUTED_VALUE"""),"José ")</f>
        <v>José </v>
      </c>
      <c r="C319" s="43" t="str">
        <f>IFERROR(__xludf.DUMMYFUNCTION("""COMPUTED_VALUE"""),"Vázquez del Campo ")</f>
        <v>Vázquez del Campo </v>
      </c>
      <c r="D319" s="43" t="str">
        <f>IFERROR(__xludf.DUMMYFUNCTION("""COMPUTED_VALUE"""),"Tigre")</f>
        <v>Tigre</v>
      </c>
      <c r="E319" s="45" t="str">
        <f>IFERROR(__xludf.DUMMYFUNCTION("""COMPUTED_VALUE"""),"ARG")</f>
        <v>ARG</v>
      </c>
      <c r="F319" s="45">
        <f>IFERROR(__xludf.DUMMYFUNCTION("""COMPUTED_VALUE"""),5.421295E7)</f>
        <v>54212950</v>
      </c>
      <c r="G319" s="44">
        <f>IFERROR(__xludf.DUMMYFUNCTION("""COMPUTED_VALUE"""),41893.0)</f>
        <v>41893</v>
      </c>
      <c r="H319" s="45">
        <f>IFERROR(__xludf.DUMMYFUNCTION("""COMPUTED_VALUE"""),1.159948383E9)</f>
        <v>1159948383</v>
      </c>
      <c r="I319" s="45"/>
      <c r="J319" s="45" t="str">
        <f>IFERROR(__xludf.DUMMYFUNCTION("""COMPUTED_VALUE"""),"lucreciadelcampo@gmail.com")</f>
        <v>lucreciadelcampo@gmail.com</v>
      </c>
      <c r="K319" s="45" t="str">
        <f>IFERROR(__xludf.DUMMYFUNCTION("""COMPUTED_VALUE"""),"Masculino")</f>
        <v>Masculino</v>
      </c>
      <c r="L319" s="45" t="str">
        <f>IFERROR(__xludf.DUMMYFUNCTION("""COMPUTED_VALUE"""),"CNSI")</f>
        <v>CNSI</v>
      </c>
      <c r="M319" s="45" t="str">
        <f>IFERROR(__xludf.DUMMYFUNCTION("""COMPUTED_VALUE"""),"Interior (Optimist)")</f>
        <v>Interior (Optimist)</v>
      </c>
      <c r="N319" s="7" t="str">
        <f>IFERROR(__xludf.DUMMYFUNCTION("""COMPUTED_VALUE"""),"OPTIMIST PRINCIPIANTES")</f>
        <v>OPTIMIST PRINCIPIANTES</v>
      </c>
      <c r="O319" s="7"/>
      <c r="P319" s="7">
        <f>IFERROR(__xludf.DUMMYFUNCTION("""COMPUTED_VALUE"""),3700.0)</f>
        <v>3700</v>
      </c>
      <c r="Q319" s="45"/>
      <c r="R319" s="45"/>
      <c r="S319" s="45"/>
      <c r="T319" s="45"/>
      <c r="U319" s="45"/>
      <c r="V319" s="45"/>
      <c r="W319" s="45"/>
      <c r="X319" s="47"/>
      <c r="Y319" s="7" t="str">
        <f>IFERROR(__xludf.DUMMYFUNCTION("""COMPUTED_VALUE"""),"No")</f>
        <v>No</v>
      </c>
      <c r="Z319" s="45" t="str">
        <f>IFERROR(__xludf.DUMMYFUNCTION("""COMPUTED_VALUE"""),"Acepto")</f>
        <v>Acepto</v>
      </c>
      <c r="AA319" s="45" t="str">
        <f>IFERROR(__xludf.DUMMYFUNCTION("""COMPUTED_VALUE"""),"Terminado")</f>
        <v>Terminado</v>
      </c>
      <c r="AB319" s="45">
        <f>IFERROR(__xludf.DUMMYFUNCTION("""COMPUTED_VALUE"""),50000.0)</f>
        <v>50000</v>
      </c>
      <c r="AC319" s="7">
        <f>IFERROR(__xludf.DUMMYFUNCTION("""COMPUTED_VALUE"""),205166.0)</f>
        <v>205166</v>
      </c>
      <c r="AD319" s="7" t="str">
        <f>IFERROR(__xludf.DUMMYFUNCTION("""COMPUTED_VALUE"""),"TRF 31-08")</f>
        <v>TRF 31-08</v>
      </c>
      <c r="AE319" s="7" t="str">
        <f>IFERROR(__xludf.DUMMYFUNCTION("""COMPUTED_VALUE"""),"OK")</f>
        <v>OK</v>
      </c>
      <c r="AF319" s="7"/>
    </row>
    <row r="320">
      <c r="A320" s="42">
        <f>IFERROR(__xludf.DUMMYFUNCTION("""COMPUTED_VALUE"""),45534.4343543287)</f>
        <v>45534.43435</v>
      </c>
      <c r="B320" s="43" t="str">
        <f>IFERROR(__xludf.DUMMYFUNCTION("""COMPUTED_VALUE"""),"JOAQUIN")</f>
        <v>JOAQUIN</v>
      </c>
      <c r="C320" s="43" t="str">
        <f>IFERROR(__xludf.DUMMYFUNCTION("""COMPUTED_VALUE"""),"VERNA")</f>
        <v>VERNA</v>
      </c>
      <c r="D320" s="43" t="str">
        <f>IFERROR(__xludf.DUMMYFUNCTION("""COMPUTED_VALUE"""),"LA PLATA")</f>
        <v>LA PLATA</v>
      </c>
      <c r="E320" s="45" t="str">
        <f>IFERROR(__xludf.DUMMYFUNCTION("""COMPUTED_VALUE"""),"ARG")</f>
        <v>ARG</v>
      </c>
      <c r="F320" s="45">
        <f>IFERROR(__xludf.DUMMYFUNCTION("""COMPUTED_VALUE"""),4.8705676E7)</f>
        <v>48705676</v>
      </c>
      <c r="G320" s="44">
        <f>IFERROR(__xludf.DUMMYFUNCTION("""COMPUTED_VALUE"""),39867.0)</f>
        <v>39867</v>
      </c>
      <c r="H320" s="45">
        <f>IFERROR(__xludf.DUMMYFUNCTION("""COMPUTED_VALUE"""),2.216496606E9)</f>
        <v>2216496606</v>
      </c>
      <c r="I320" s="45">
        <f>IFERROR(__xludf.DUMMYFUNCTION("""COMPUTED_VALUE"""),2.216496606E9)</f>
        <v>2216496606</v>
      </c>
      <c r="J320" s="45" t="str">
        <f>IFERROR(__xludf.DUMMYFUNCTION("""COMPUTED_VALUE"""),"luis.verna@ypf.com")</f>
        <v>luis.verna@ypf.com</v>
      </c>
      <c r="K320" s="45" t="str">
        <f>IFERROR(__xludf.DUMMYFUNCTION("""COMPUTED_VALUE"""),"Masculino")</f>
        <v>Masculino</v>
      </c>
      <c r="L320" s="45" t="str">
        <f>IFERROR(__xludf.DUMMYFUNCTION("""COMPUTED_VALUE"""),"CRLP")</f>
        <v>CRLP</v>
      </c>
      <c r="M320" s="45"/>
      <c r="N320" s="7" t="str">
        <f>IFERROR(__xludf.DUMMYFUNCTION("""COMPUTED_VALUE"""),"OPTIMIST TIMONELES")</f>
        <v>OPTIMIST TIMONELES</v>
      </c>
      <c r="O320" s="7"/>
      <c r="P320" s="7" t="str">
        <f>IFERROR(__xludf.DUMMYFUNCTION("""COMPUTED_VALUE"""),"ARG3785")</f>
        <v>ARG3785</v>
      </c>
      <c r="Q320" s="45"/>
      <c r="R320" s="45"/>
      <c r="S320" s="45"/>
      <c r="T320" s="45"/>
      <c r="U320" s="45"/>
      <c r="V320" s="45"/>
      <c r="W320" s="45"/>
      <c r="X320" s="47" t="str">
        <f>IFERROR(__xludf.DUMMYFUNCTION("""COMPUTED_VALUE"""),"OSDE")</f>
        <v>OSDE</v>
      </c>
      <c r="Y320" s="7" t="str">
        <f>IFERROR(__xludf.DUMMYFUNCTION("""COMPUTED_VALUE"""),"Si")</f>
        <v>Si</v>
      </c>
      <c r="Z320" s="45" t="str">
        <f>IFERROR(__xludf.DUMMYFUNCTION("""COMPUTED_VALUE"""),"Acepto")</f>
        <v>Acepto</v>
      </c>
      <c r="AA320" s="45" t="str">
        <f>IFERROR(__xludf.DUMMYFUNCTION("""COMPUTED_VALUE"""),"Terminado")</f>
        <v>Terminado</v>
      </c>
      <c r="AB320" s="45">
        <f>IFERROR(__xludf.DUMMYFUNCTION("""COMPUTED_VALUE"""),50000.0)</f>
        <v>50000</v>
      </c>
      <c r="AC320" s="7">
        <f>IFERROR(__xludf.DUMMYFUNCTION("""COMPUTED_VALUE"""),205092.0)</f>
        <v>205092</v>
      </c>
      <c r="AD320" s="7" t="str">
        <f>IFERROR(__xludf.DUMMYFUNCTION("""COMPUTED_VALUE"""),"TRF 30-08")</f>
        <v>TRF 30-08</v>
      </c>
      <c r="AE320" s="7" t="str">
        <f>IFERROR(__xludf.DUMMYFUNCTION("""COMPUTED_VALUE"""),"OK")</f>
        <v>OK</v>
      </c>
      <c r="AF320" s="7"/>
    </row>
    <row r="321">
      <c r="A321" s="42">
        <f>IFERROR(__xludf.DUMMYFUNCTION("""COMPUTED_VALUE"""),45534.78320664352)</f>
        <v>45534.78321</v>
      </c>
      <c r="B321" s="43" t="str">
        <f>IFERROR(__xludf.DUMMYFUNCTION("""COMPUTED_VALUE"""),"Santiago")</f>
        <v>Santiago</v>
      </c>
      <c r="C321" s="43" t="str">
        <f>IFERROR(__xludf.DUMMYFUNCTION("""COMPUTED_VALUE"""),"Viale")</f>
        <v>Viale</v>
      </c>
      <c r="D321" s="43" t="str">
        <f>IFERROR(__xludf.DUMMYFUNCTION("""COMPUTED_VALUE"""),"San isidro")</f>
        <v>San isidro</v>
      </c>
      <c r="E321" s="45" t="str">
        <f>IFERROR(__xludf.DUMMYFUNCTION("""COMPUTED_VALUE"""),"ARG")</f>
        <v>ARG</v>
      </c>
      <c r="F321" s="45">
        <f>IFERROR(__xludf.DUMMYFUNCTION("""COMPUTED_VALUE"""),5.0434935E7)</f>
        <v>50434935</v>
      </c>
      <c r="G321" s="44">
        <f>IFERROR(__xludf.DUMMYFUNCTION("""COMPUTED_VALUE"""),40376.0)</f>
        <v>40376</v>
      </c>
      <c r="H321" s="45">
        <f>IFERROR(__xludf.DUMMYFUNCTION("""COMPUTED_VALUE"""),1.15320732E9)</f>
        <v>1153207320</v>
      </c>
      <c r="I321" s="45">
        <f>IFERROR(__xludf.DUMMYFUNCTION("""COMPUTED_VALUE"""),1.15320732E9)</f>
        <v>1153207320</v>
      </c>
      <c r="J321" s="45" t="str">
        <f>IFERROR(__xludf.DUMMYFUNCTION("""COMPUTED_VALUE"""),"monicaponzo@gmail.com")</f>
        <v>monicaponzo@gmail.com</v>
      </c>
      <c r="K321" s="45" t="str">
        <f>IFERROR(__xludf.DUMMYFUNCTION("""COMPUTED_VALUE"""),"Masculino")</f>
        <v>Masculino</v>
      </c>
      <c r="L321" s="45" t="str">
        <f>IFERROR(__xludf.DUMMYFUNCTION("""COMPUTED_VALUE"""),"CVB")</f>
        <v>CVB</v>
      </c>
      <c r="M321" s="45"/>
      <c r="N321" s="7" t="str">
        <f>IFERROR(__xludf.DUMMYFUNCTION("""COMPUTED_VALUE"""),"OPTIMIST TIMONELES")</f>
        <v>OPTIMIST TIMONELES</v>
      </c>
      <c r="O321" s="7"/>
      <c r="P321" s="7">
        <f>IFERROR(__xludf.DUMMYFUNCTION("""COMPUTED_VALUE"""),4101.0)</f>
        <v>4101</v>
      </c>
      <c r="Q321" s="45"/>
      <c r="R321" s="45"/>
      <c r="S321" s="45"/>
      <c r="T321" s="45"/>
      <c r="U321" s="45"/>
      <c r="V321" s="45"/>
      <c r="W321" s="45"/>
      <c r="X321" s="47" t="str">
        <f>IFERROR(__xludf.DUMMYFUNCTION("""COMPUTED_VALUE"""),"Medicus Azul")</f>
        <v>Medicus Azul</v>
      </c>
      <c r="Y321" s="7" t="str">
        <f>IFERROR(__xludf.DUMMYFUNCTION("""COMPUTED_VALUE"""),"No")</f>
        <v>No</v>
      </c>
      <c r="Z321" s="45" t="str">
        <f>IFERROR(__xludf.DUMMYFUNCTION("""COMPUTED_VALUE"""),"Acepto")</f>
        <v>Acepto</v>
      </c>
      <c r="AA321" s="45" t="str">
        <f>IFERROR(__xludf.DUMMYFUNCTION("""COMPUTED_VALUE"""),"Terminado")</f>
        <v>Terminado</v>
      </c>
      <c r="AB321" s="45">
        <f>IFERROR(__xludf.DUMMYFUNCTION("""COMPUTED_VALUE"""),50000.0)</f>
        <v>50000</v>
      </c>
      <c r="AC321" s="7">
        <f>IFERROR(__xludf.DUMMYFUNCTION("""COMPUTED_VALUE"""),205133.0)</f>
        <v>205133</v>
      </c>
      <c r="AD321" s="7" t="str">
        <f>IFERROR(__xludf.DUMMYFUNCTION("""COMPUTED_VALUE"""),"TRF 30-08")</f>
        <v>TRF 30-08</v>
      </c>
      <c r="AE321" s="7" t="str">
        <f>IFERROR(__xludf.DUMMYFUNCTION("""COMPUTED_VALUE"""),"OK")</f>
        <v>OK</v>
      </c>
      <c r="AF321" s="7" t="str">
        <f>IFERROR(__xludf.DUMMYFUNCTION("""COMPUTED_VALUE"""),"SI")</f>
        <v>SI</v>
      </c>
    </row>
    <row r="322">
      <c r="A322" s="42">
        <f>IFERROR(__xludf.DUMMYFUNCTION("""COMPUTED_VALUE"""),45539.893529270834)</f>
        <v>45539.89353</v>
      </c>
      <c r="B322" s="43" t="str">
        <f>IFERROR(__xludf.DUMMYFUNCTION("""COMPUTED_VALUE"""),"AGUSTINA MARIEL ")</f>
        <v>AGUSTINA MARIEL </v>
      </c>
      <c r="C322" s="43" t="str">
        <f>IFERROR(__xludf.DUMMYFUNCTION("""COMPUTED_VALUE"""),"VICENTE")</f>
        <v>VICENTE</v>
      </c>
      <c r="D322" s="43" t="str">
        <f>IFERROR(__xludf.DUMMYFUNCTION("""COMPUTED_VALUE"""),"MARTINEZ")</f>
        <v>MARTINEZ</v>
      </c>
      <c r="E322" s="45" t="str">
        <f>IFERROR(__xludf.DUMMYFUNCTION("""COMPUTED_VALUE"""),"ARG")</f>
        <v>ARG</v>
      </c>
      <c r="F322" s="45">
        <f>IFERROR(__xludf.DUMMYFUNCTION("""COMPUTED_VALUE"""),2.466388E7)</f>
        <v>24663880</v>
      </c>
      <c r="G322" s="44">
        <f>IFERROR(__xludf.DUMMYFUNCTION("""COMPUTED_VALUE"""),40851.0)</f>
        <v>40851</v>
      </c>
      <c r="H322" s="45" t="str">
        <f>IFERROR(__xludf.DUMMYFUNCTION("""COMPUTED_VALUE"""),"5773 7268")</f>
        <v>5773 7268</v>
      </c>
      <c r="I322" s="45" t="str">
        <f>IFERROR(__xludf.DUMMYFUNCTION("""COMPUTED_VALUE"""),"4577 3643")</f>
        <v>4577 3643</v>
      </c>
      <c r="J322" s="45" t="str">
        <f>IFERROR(__xludf.DUMMYFUNCTION("""COMPUTED_VALUE"""),"gabysorribas@hotmail.com")</f>
        <v>gabysorribas@hotmail.com</v>
      </c>
      <c r="K322" s="45" t="str">
        <f>IFERROR(__xludf.DUMMYFUNCTION("""COMPUTED_VALUE"""),"Femenino")</f>
        <v>Femenino</v>
      </c>
      <c r="L322" s="45" t="str">
        <f>IFERROR(__xludf.DUMMYFUNCTION("""COMPUTED_VALUE"""),"CNAs")</f>
        <v>CNAs</v>
      </c>
      <c r="M322" s="45" t="str">
        <f>IFERROR(__xludf.DUMMYFUNCTION("""COMPUTED_VALUE"""),"Interior (Optimist)")</f>
        <v>Interior (Optimist)</v>
      </c>
      <c r="N322" s="7" t="str">
        <f>IFERROR(__xludf.DUMMYFUNCTION("""COMPUTED_VALUE"""),"OPTIMIST PRINCIPIANTES")</f>
        <v>OPTIMIST PRINCIPIANTES</v>
      </c>
      <c r="O322" s="7"/>
      <c r="P322" s="7">
        <f>IFERROR(__xludf.DUMMYFUNCTION("""COMPUTED_VALUE"""),3790.0)</f>
        <v>3790</v>
      </c>
      <c r="Q322" s="45" t="str">
        <f>IFERROR(__xludf.DUMMYFUNCTION("""COMPUTED_VALUE"""),"ELÉCTRICA")</f>
        <v>ELÉCTRICA</v>
      </c>
      <c r="R322" s="45" t="str">
        <f>IFERROR(__xludf.DUMMYFUNCTION("""COMPUTED_VALUE"""),"AGUSTINA MARIEL VICENTE")</f>
        <v>AGUSTINA MARIEL VICENTE</v>
      </c>
      <c r="S322" s="45"/>
      <c r="T322" s="45"/>
      <c r="U322" s="45"/>
      <c r="V322" s="45"/>
      <c r="W322" s="45"/>
      <c r="X322" s="47" t="str">
        <f>IFERROR(__xludf.DUMMYFUNCTION("""COMPUTED_VALUE"""),"OSDE PLAN 410 - 60916572004")</f>
        <v>OSDE PLAN 410 - 60916572004</v>
      </c>
      <c r="Y322" s="7" t="str">
        <f>IFERROR(__xludf.DUMMYFUNCTION("""COMPUTED_VALUE"""),"Si")</f>
        <v>Si</v>
      </c>
      <c r="Z322" s="45" t="str">
        <f>IFERROR(__xludf.DUMMYFUNCTION("""COMPUTED_VALUE"""),"Acepto")</f>
        <v>Acepto</v>
      </c>
      <c r="AA322" s="45" t="str">
        <f>IFERROR(__xludf.DUMMYFUNCTION("""COMPUTED_VALUE"""),"Terminado")</f>
        <v>Terminado</v>
      </c>
      <c r="AB322" s="45">
        <f>IFERROR(__xludf.DUMMYFUNCTION("""COMPUTED_VALUE"""),50000.0)</f>
        <v>50000</v>
      </c>
      <c r="AC322" s="7">
        <f>IFERROR(__xludf.DUMMYFUNCTION("""COMPUTED_VALUE"""),205609.0)</f>
        <v>205609</v>
      </c>
      <c r="AD322" s="7" t="str">
        <f>IFERROR(__xludf.DUMMYFUNCTION("""COMPUTED_VALUE"""),"TRF 09-09")</f>
        <v>TRF 09-09</v>
      </c>
      <c r="AE322" s="7" t="str">
        <f>IFERROR(__xludf.DUMMYFUNCTION("""COMPUTED_VALUE"""),"OK")</f>
        <v>OK</v>
      </c>
      <c r="AF322" s="7"/>
    </row>
    <row r="323">
      <c r="A323" s="42">
        <f>IFERROR(__xludf.DUMMYFUNCTION("""COMPUTED_VALUE"""),45535.66436834491)</f>
        <v>45535.66437</v>
      </c>
      <c r="B323" s="43" t="str">
        <f>IFERROR(__xludf.DUMMYFUNCTION("""COMPUTED_VALUE"""),"Amador")</f>
        <v>Amador</v>
      </c>
      <c r="C323" s="43" t="str">
        <f>IFERROR(__xludf.DUMMYFUNCTION("""COMPUTED_VALUE"""),"Victorel")</f>
        <v>Victorel</v>
      </c>
      <c r="D323" s="43" t="str">
        <f>IFERROR(__xludf.DUMMYFUNCTION("""COMPUTED_VALUE"""),"Caba ")</f>
        <v>Caba </v>
      </c>
      <c r="E323" s="45" t="str">
        <f>IFERROR(__xludf.DUMMYFUNCTION("""COMPUTED_VALUE"""),"ARG")</f>
        <v>ARG</v>
      </c>
      <c r="F323" s="45">
        <f>IFERROR(__xludf.DUMMYFUNCTION("""COMPUTED_VALUE"""),5.418927E7)</f>
        <v>54189270</v>
      </c>
      <c r="G323" s="44">
        <f>IFERROR(__xludf.DUMMYFUNCTION("""COMPUTED_VALUE"""),41869.0)</f>
        <v>41869</v>
      </c>
      <c r="H323" s="45">
        <f>IFERROR(__xludf.DUMMYFUNCTION("""COMPUTED_VALUE"""),1.131379444E9)</f>
        <v>1131379444</v>
      </c>
      <c r="I323" s="45">
        <f>IFERROR(__xludf.DUMMYFUNCTION("""COMPUTED_VALUE"""),1.131379444E9)</f>
        <v>1131379444</v>
      </c>
      <c r="J323" s="45" t="str">
        <f>IFERROR(__xludf.DUMMYFUNCTION("""COMPUTED_VALUE"""),"paula_treuque@hotmail.com")</f>
        <v>paula_treuque@hotmail.com</v>
      </c>
      <c r="K323" s="45" t="str">
        <f>IFERROR(__xludf.DUMMYFUNCTION("""COMPUTED_VALUE"""),"Masculino")</f>
        <v>Masculino</v>
      </c>
      <c r="L323" s="45" t="str">
        <f>IFERROR(__xludf.DUMMYFUNCTION("""COMPUTED_VALUE"""),"CGLMN")</f>
        <v>CGLMN</v>
      </c>
      <c r="M323" s="45" t="str">
        <f>IFERROR(__xludf.DUMMYFUNCTION("""COMPUTED_VALUE"""),"Interior (Optimist)")</f>
        <v>Interior (Optimist)</v>
      </c>
      <c r="N323" s="7" t="str">
        <f>IFERROR(__xludf.DUMMYFUNCTION("""COMPUTED_VALUE"""),"OPTIMIST PRINCIPIANTES")</f>
        <v>OPTIMIST PRINCIPIANTES</v>
      </c>
      <c r="O323" s="7"/>
      <c r="P323" s="7">
        <f>IFERROR(__xludf.DUMMYFUNCTION("""COMPUTED_VALUE"""),3334.0)</f>
        <v>3334</v>
      </c>
      <c r="Q323" s="45" t="str">
        <f>IFERROR(__xludf.DUMMYFUNCTION("""COMPUTED_VALUE"""),"Pancho")</f>
        <v>Pancho</v>
      </c>
      <c r="R323" s="45" t="str">
        <f>IFERROR(__xludf.DUMMYFUNCTION("""COMPUTED_VALUE"""),"Amador Victorel ")</f>
        <v>Amador Victorel </v>
      </c>
      <c r="S323" s="45"/>
      <c r="T323" s="45"/>
      <c r="U323" s="45"/>
      <c r="V323" s="45"/>
      <c r="W323" s="45"/>
      <c r="X323" s="47"/>
      <c r="Y323" s="7" t="str">
        <f>IFERROR(__xludf.DUMMYFUNCTION("""COMPUTED_VALUE"""),"No")</f>
        <v>No</v>
      </c>
      <c r="Z323" s="45" t="str">
        <f>IFERROR(__xludf.DUMMYFUNCTION("""COMPUTED_VALUE"""),"Acepto")</f>
        <v>Acepto</v>
      </c>
      <c r="AA323" s="45" t="str">
        <f>IFERROR(__xludf.DUMMYFUNCTION("""COMPUTED_VALUE"""),"Terminado")</f>
        <v>Terminado</v>
      </c>
      <c r="AB323" s="45">
        <f>IFERROR(__xludf.DUMMYFUNCTION("""COMPUTED_VALUE"""),50000.0)</f>
        <v>50000</v>
      </c>
      <c r="AC323" s="7">
        <f>IFERROR(__xludf.DUMMYFUNCTION("""COMPUTED_VALUE"""),205362.0)</f>
        <v>205362</v>
      </c>
      <c r="AD323" s="7" t="str">
        <f>IFERROR(__xludf.DUMMYFUNCTION("""COMPUTED_VALUE"""),"TRF 31-08")</f>
        <v>TRF 31-08</v>
      </c>
      <c r="AE323" s="7" t="str">
        <f>IFERROR(__xludf.DUMMYFUNCTION("""COMPUTED_VALUE"""),"OK")</f>
        <v>OK</v>
      </c>
      <c r="AF323" s="7"/>
    </row>
    <row r="324">
      <c r="A324" s="42">
        <f>IFERROR(__xludf.DUMMYFUNCTION("""COMPUTED_VALUE"""),45539.686846805555)</f>
        <v>45539.68685</v>
      </c>
      <c r="B324" s="43" t="str">
        <f>IFERROR(__xludf.DUMMYFUNCTION("""COMPUTED_VALUE"""),"Mariano")</f>
        <v>Mariano</v>
      </c>
      <c r="C324" s="43" t="str">
        <f>IFERROR(__xludf.DUMMYFUNCTION("""COMPUTED_VALUE"""),"Victory")</f>
        <v>Victory</v>
      </c>
      <c r="D324" s="43" t="str">
        <f>IFERROR(__xludf.DUMMYFUNCTION("""COMPUTED_VALUE"""),"caba")</f>
        <v>caba</v>
      </c>
      <c r="E324" s="45" t="str">
        <f>IFERROR(__xludf.DUMMYFUNCTION("""COMPUTED_VALUE"""),"ARG")</f>
        <v>ARG</v>
      </c>
      <c r="F324" s="45">
        <f>IFERROR(__xludf.DUMMYFUNCTION("""COMPUTED_VALUE"""),4.0649218E7)</f>
        <v>40649218</v>
      </c>
      <c r="G324" s="44">
        <f>IFERROR(__xludf.DUMMYFUNCTION("""COMPUTED_VALUE"""),35719.0)</f>
        <v>35719</v>
      </c>
      <c r="H324" s="45">
        <f>IFERROR(__xludf.DUMMYFUNCTION("""COMPUTED_VALUE"""),1.161640707E9)</f>
        <v>1161640707</v>
      </c>
      <c r="I324" s="45">
        <f>IFERROR(__xludf.DUMMYFUNCTION("""COMPUTED_VALUE"""),1.161640707E9)</f>
        <v>1161640707</v>
      </c>
      <c r="J324" s="45" t="str">
        <f>IFERROR(__xludf.DUMMYFUNCTION("""COMPUTED_VALUE"""),"fjtavella@gmail.com")</f>
        <v>fjtavella@gmail.com</v>
      </c>
      <c r="K324" s="45" t="str">
        <f>IFERROR(__xludf.DUMMYFUNCTION("""COMPUTED_VALUE"""),"Masculino")</f>
        <v>Masculino</v>
      </c>
      <c r="L324" s="45" t="str">
        <f>IFERROR(__xludf.DUMMYFUNCTION("""COMPUTED_VALUE"""),"YCA")</f>
        <v>YCA</v>
      </c>
      <c r="M324" s="45"/>
      <c r="N324" s="7" t="str">
        <f>IFERROR(__xludf.DUMMYFUNCTION("""COMPUTED_VALUE"""),"J 70")</f>
        <v>J 70</v>
      </c>
      <c r="O324" s="7" t="str">
        <f>IFERROR(__xludf.DUMMYFUNCTION("""COMPUTED_VALUE"""),"04")</f>
        <v>04</v>
      </c>
      <c r="P324" s="7" t="str">
        <f>IFERROR(__xludf.DUMMYFUNCTION("""COMPUTED_VALUE"""),"Arg1190")</f>
        <v>Arg1190</v>
      </c>
      <c r="Q324" s="45"/>
      <c r="R324" s="45" t="str">
        <f>IFERROR(__xludf.DUMMYFUNCTION("""COMPUTED_VALUE"""),"Martín Bodas")</f>
        <v>Martín Bodas</v>
      </c>
      <c r="S324" s="45" t="str">
        <f>IFERROR(__xludf.DUMMYFUNCTION("""COMPUTED_VALUE"""),"José Ignacio Villar")</f>
        <v>José Ignacio Villar</v>
      </c>
      <c r="T324" s="45" t="str">
        <f>IFERROR(__xludf.DUMMYFUNCTION("""COMPUTED_VALUE"""),"Pedro Ciscato")</f>
        <v>Pedro Ciscato</v>
      </c>
      <c r="U324" s="45" t="str">
        <f>IFERROR(__xludf.DUMMYFUNCTION("""COMPUTED_VALUE"""),"Javier Tavella")</f>
        <v>Javier Tavella</v>
      </c>
      <c r="V324" s="45"/>
      <c r="W324" s="45"/>
      <c r="X324" s="47" t="str">
        <f>IFERROR(__xludf.DUMMYFUNCTION("""COMPUTED_VALUE"""),"OSDE")</f>
        <v>OSDE</v>
      </c>
      <c r="Y324" s="7" t="str">
        <f>IFERROR(__xludf.DUMMYFUNCTION("""COMPUTED_VALUE"""),"No")</f>
        <v>No</v>
      </c>
      <c r="Z324" s="45" t="str">
        <f>IFERROR(__xludf.DUMMYFUNCTION("""COMPUTED_VALUE"""),"Acepto")</f>
        <v>Acepto</v>
      </c>
      <c r="AA324" s="45" t="str">
        <f>IFERROR(__xludf.DUMMYFUNCTION("""COMPUTED_VALUE"""),"Terminado")</f>
        <v>Terminado</v>
      </c>
      <c r="AB324" s="45">
        <f>IFERROR(__xludf.DUMMYFUNCTION("""COMPUTED_VALUE"""),90000.0)</f>
        <v>90000</v>
      </c>
      <c r="AC324" s="7">
        <f>IFERROR(__xludf.DUMMYFUNCTION("""COMPUTED_VALUE"""),205444.0)</f>
        <v>205444</v>
      </c>
      <c r="AD324" s="7" t="str">
        <f>IFERROR(__xludf.DUMMYFUNCTION("""COMPUTED_VALUE"""),"TRF 04-09")</f>
        <v>TRF 04-09</v>
      </c>
      <c r="AE324" s="7" t="str">
        <f>IFERROR(__xludf.DUMMYFUNCTION("""COMPUTED_VALUE"""),"No Corresp")</f>
        <v>No Corresp</v>
      </c>
      <c r="AF324" s="7"/>
    </row>
    <row r="325">
      <c r="A325" s="42">
        <f>IFERROR(__xludf.DUMMYFUNCTION("""COMPUTED_VALUE"""),45528.68500759259)</f>
        <v>45528.68501</v>
      </c>
      <c r="B325" s="43" t="str">
        <f>IFERROR(__xludf.DUMMYFUNCTION("""COMPUTED_VALUE"""),"Maximo")</f>
        <v>Maximo</v>
      </c>
      <c r="C325" s="43" t="str">
        <f>IFERROR(__xludf.DUMMYFUNCTION("""COMPUTED_VALUE"""),"Videla")</f>
        <v>Videla</v>
      </c>
      <c r="D325" s="43" t="str">
        <f>IFERROR(__xludf.DUMMYFUNCTION("""COMPUTED_VALUE"""),"CABA")</f>
        <v>CABA</v>
      </c>
      <c r="E325" s="45" t="str">
        <f>IFERROR(__xludf.DUMMYFUNCTION("""COMPUTED_VALUE"""),"ARG")</f>
        <v>ARG</v>
      </c>
      <c r="F325" s="45">
        <f>IFERROR(__xludf.DUMMYFUNCTION("""COMPUTED_VALUE"""),4.5283311E7)</f>
        <v>45283311</v>
      </c>
      <c r="G325" s="44">
        <f>IFERROR(__xludf.DUMMYFUNCTION("""COMPUTED_VALUE"""),38029.0)</f>
        <v>38029</v>
      </c>
      <c r="H325" s="45">
        <f>IFERROR(__xludf.DUMMYFUNCTION("""COMPUTED_VALUE"""),1.556174773E9)</f>
        <v>1556174773</v>
      </c>
      <c r="I325" s="45">
        <f>IFERROR(__xludf.DUMMYFUNCTION("""COMPUTED_VALUE"""),1.564422696E9)</f>
        <v>1564422696</v>
      </c>
      <c r="J325" s="45" t="str">
        <f>IFERROR(__xludf.DUMMYFUNCTION("""COMPUTED_VALUE"""),"eugejasson@gmail.com")</f>
        <v>eugejasson@gmail.com</v>
      </c>
      <c r="K325" s="45" t="str">
        <f>IFERROR(__xludf.DUMMYFUNCTION("""COMPUTED_VALUE"""),"Masculino")</f>
        <v>Masculino</v>
      </c>
      <c r="L325" s="45" t="str">
        <f>IFERROR(__xludf.DUMMYFUNCTION("""COMPUTED_VALUE"""),"YCA")</f>
        <v>YCA</v>
      </c>
      <c r="M325" s="45" t="str">
        <f>IFERROR(__xludf.DUMMYFUNCTION("""COMPUTED_VALUE"""),"Corinthian")</f>
        <v>Corinthian</v>
      </c>
      <c r="N325" s="7" t="str">
        <f>IFERROR(__xludf.DUMMYFUNCTION("""COMPUTED_VALUE"""),"J 70")</f>
        <v>J 70</v>
      </c>
      <c r="O325" s="7" t="str">
        <f>IFERROR(__xludf.DUMMYFUNCTION("""COMPUTED_VALUE"""),"03")</f>
        <v>03</v>
      </c>
      <c r="P325" s="7">
        <f>IFERROR(__xludf.DUMMYFUNCTION("""COMPUTED_VALUE"""),1189.0)</f>
        <v>1189</v>
      </c>
      <c r="Q325" s="45" t="str">
        <f>IFERROR(__xludf.DUMMYFUNCTION("""COMPUTED_VALUE"""),"Whisky")</f>
        <v>Whisky</v>
      </c>
      <c r="R325" s="45" t="str">
        <f>IFERROR(__xludf.DUMMYFUNCTION("""COMPUTED_VALUE"""),"Franco Greggi")</f>
        <v>Franco Greggi</v>
      </c>
      <c r="S325" s="45" t="str">
        <f>IFERROR(__xludf.DUMMYFUNCTION("""COMPUTED_VALUE"""),"Santiago Palkin")</f>
        <v>Santiago Palkin</v>
      </c>
      <c r="T325" s="45" t="str">
        <f>IFERROR(__xludf.DUMMYFUNCTION("""COMPUTED_VALUE"""),"Juan Cruz Albamonte")</f>
        <v>Juan Cruz Albamonte</v>
      </c>
      <c r="U325" s="45" t="str">
        <f>IFERROR(__xludf.DUMMYFUNCTION("""COMPUTED_VALUE"""),"Eugenia Jasson")</f>
        <v>Eugenia Jasson</v>
      </c>
      <c r="V325" s="45"/>
      <c r="W325" s="45"/>
      <c r="X325" s="47" t="str">
        <f>IFERROR(__xludf.DUMMYFUNCTION("""COMPUTED_VALUE"""),"osde")</f>
        <v>osde</v>
      </c>
      <c r="Y325" s="7" t="str">
        <f>IFERROR(__xludf.DUMMYFUNCTION("""COMPUTED_VALUE"""),"No")</f>
        <v>No</v>
      </c>
      <c r="Z325" s="45" t="str">
        <f>IFERROR(__xludf.DUMMYFUNCTION("""COMPUTED_VALUE"""),"Acepto")</f>
        <v>Acepto</v>
      </c>
      <c r="AA325" s="45" t="str">
        <f>IFERROR(__xludf.DUMMYFUNCTION("""COMPUTED_VALUE"""),"Terminado")</f>
        <v>Terminado</v>
      </c>
      <c r="AB325" s="45">
        <f>IFERROR(__xludf.DUMMYFUNCTION("""COMPUTED_VALUE"""),80000.0)</f>
        <v>80000</v>
      </c>
      <c r="AC325" s="7">
        <f>IFERROR(__xludf.DUMMYFUNCTION("""COMPUTED_VALUE"""),205051.0)</f>
        <v>205051</v>
      </c>
      <c r="AD325" s="7" t="str">
        <f>IFERROR(__xludf.DUMMYFUNCTION("""COMPUTED_VALUE"""),"TRF 23-08")</f>
        <v>TRF 23-08</v>
      </c>
      <c r="AE325" s="7" t="str">
        <f>IFERROR(__xludf.DUMMYFUNCTION("""COMPUTED_VALUE"""),"No Corresp")</f>
        <v>No Corresp</v>
      </c>
      <c r="AF325" s="7"/>
    </row>
    <row r="326">
      <c r="A326" s="42">
        <f>IFERROR(__xludf.DUMMYFUNCTION("""COMPUTED_VALUE"""),45536.53777230324)</f>
        <v>45536.53777</v>
      </c>
      <c r="B326" s="43" t="str">
        <f>IFERROR(__xludf.DUMMYFUNCTION("""COMPUTED_VALUE"""),"Yago ")</f>
        <v>Yago </v>
      </c>
      <c r="C326" s="43" t="str">
        <f>IFERROR(__xludf.DUMMYFUNCTION("""COMPUTED_VALUE"""),"Videla Tejo")</f>
        <v>Videla Tejo</v>
      </c>
      <c r="D326" s="43" t="str">
        <f>IFERROR(__xludf.DUMMYFUNCTION("""COMPUTED_VALUE"""),"CABA")</f>
        <v>CABA</v>
      </c>
      <c r="E326" s="45" t="str">
        <f>IFERROR(__xludf.DUMMYFUNCTION("""COMPUTED_VALUE"""),"ARG")</f>
        <v>ARG</v>
      </c>
      <c r="F326" s="45">
        <f>IFERROR(__xludf.DUMMYFUNCTION("""COMPUTED_VALUE"""),5.1073305E7)</f>
        <v>51073305</v>
      </c>
      <c r="G326" s="44">
        <f>IFERROR(__xludf.DUMMYFUNCTION("""COMPUTED_VALUE"""),40638.0)</f>
        <v>40638</v>
      </c>
      <c r="H326" s="45">
        <f>IFERROR(__xludf.DUMMYFUNCTION("""COMPUTED_VALUE"""),1.132266531E9)</f>
        <v>1132266531</v>
      </c>
      <c r="I326" s="45">
        <f>IFERROR(__xludf.DUMMYFUNCTION("""COMPUTED_VALUE"""),1.54406301E8)</f>
        <v>154406301</v>
      </c>
      <c r="J326" s="45" t="str">
        <f>IFERROR(__xludf.DUMMYFUNCTION("""COMPUTED_VALUE"""),"ceciliatejo.ct@gmail.com")</f>
        <v>ceciliatejo.ct@gmail.com</v>
      </c>
      <c r="K326" s="45" t="str">
        <f>IFERROR(__xludf.DUMMYFUNCTION("""COMPUTED_VALUE"""),"Masculino")</f>
        <v>Masculino</v>
      </c>
      <c r="L326" s="45" t="str">
        <f>IFERROR(__xludf.DUMMYFUNCTION("""COMPUTED_VALUE"""),"YCO")</f>
        <v>YCO</v>
      </c>
      <c r="M326" s="45" t="str">
        <f>IFERROR(__xludf.DUMMYFUNCTION("""COMPUTED_VALUE"""),"Interior (Optimist)")</f>
        <v>Interior (Optimist)</v>
      </c>
      <c r="N326" s="7" t="str">
        <f>IFERROR(__xludf.DUMMYFUNCTION("""COMPUTED_VALUE"""),"OPTIMIST TIMONELES")</f>
        <v>OPTIMIST TIMONELES</v>
      </c>
      <c r="O326" s="7"/>
      <c r="P326" s="7">
        <f>IFERROR(__xludf.DUMMYFUNCTION("""COMPUTED_VALUE"""),4028.0)</f>
        <v>4028</v>
      </c>
      <c r="Q326" s="45"/>
      <c r="R326" s="45"/>
      <c r="S326" s="45"/>
      <c r="T326" s="45"/>
      <c r="U326" s="45"/>
      <c r="V326" s="45"/>
      <c r="W326" s="45"/>
      <c r="X326" s="47" t="str">
        <f>IFERROR(__xludf.DUMMYFUNCTION("""COMPUTED_VALUE"""),"OSDE")</f>
        <v>OSDE</v>
      </c>
      <c r="Y326" s="7" t="str">
        <f>IFERROR(__xludf.DUMMYFUNCTION("""COMPUTED_VALUE"""),"Si")</f>
        <v>Si</v>
      </c>
      <c r="Z326" s="45" t="str">
        <f>IFERROR(__xludf.DUMMYFUNCTION("""COMPUTED_VALUE"""),"Acepto")</f>
        <v>Acepto</v>
      </c>
      <c r="AA326" s="45" t="str">
        <f>IFERROR(__xludf.DUMMYFUNCTION("""COMPUTED_VALUE"""),"Terminado")</f>
        <v>Terminado</v>
      </c>
      <c r="AB326" s="45">
        <f>IFERROR(__xludf.DUMMYFUNCTION("""COMPUTED_VALUE"""),50000.0)</f>
        <v>50000</v>
      </c>
      <c r="AC326" s="7">
        <f>IFERROR(__xludf.DUMMYFUNCTION("""COMPUTED_VALUE"""),205402.0)</f>
        <v>205402</v>
      </c>
      <c r="AD326" s="7" t="str">
        <f>IFERROR(__xludf.DUMMYFUNCTION("""COMPUTED_VALUE"""),"TRF 02-09")</f>
        <v>TRF 02-09</v>
      </c>
      <c r="AE326" s="7" t="str">
        <f>IFERROR(__xludf.DUMMYFUNCTION("""COMPUTED_VALUE"""),"OK")</f>
        <v>OK</v>
      </c>
      <c r="AF326" s="7"/>
    </row>
    <row r="327">
      <c r="A327" s="42">
        <f>IFERROR(__xludf.DUMMYFUNCTION("""COMPUTED_VALUE"""),45519.70283616898)</f>
        <v>45519.70284</v>
      </c>
      <c r="B327" s="43" t="str">
        <f>IFERROR(__xludf.DUMMYFUNCTION("""COMPUTED_VALUE"""),"Andrés ")</f>
        <v>Andrés </v>
      </c>
      <c r="C327" s="43" t="str">
        <f>IFERROR(__xludf.DUMMYFUNCTION("""COMPUTED_VALUE"""),"Villar")</f>
        <v>Villar</v>
      </c>
      <c r="D327" s="43" t="str">
        <f>IFERROR(__xludf.DUMMYFUNCTION("""COMPUTED_VALUE"""),"San Fernando")</f>
        <v>San Fernando</v>
      </c>
      <c r="E327" s="45" t="str">
        <f>IFERROR(__xludf.DUMMYFUNCTION("""COMPUTED_VALUE"""),"ARG")</f>
        <v>ARG</v>
      </c>
      <c r="F327" s="45">
        <f>IFERROR(__xludf.DUMMYFUNCTION("""COMPUTED_VALUE"""),4.7070205E7)</f>
        <v>47070205</v>
      </c>
      <c r="G327" s="44">
        <f>IFERROR(__xludf.DUMMYFUNCTION("""COMPUTED_VALUE"""),38723.0)</f>
        <v>38723</v>
      </c>
      <c r="H327" s="45">
        <f>IFERROR(__xludf.DUMMYFUNCTION("""COMPUTED_VALUE"""),1.170076067E9)</f>
        <v>1170076067</v>
      </c>
      <c r="I327" s="45"/>
      <c r="J327" s="45" t="str">
        <f>IFERROR(__xludf.DUMMYFUNCTION("""COMPUTED_VALUE"""),"andygvillar@gmail.com")</f>
        <v>andygvillar@gmail.com</v>
      </c>
      <c r="K327" s="45" t="str">
        <f>IFERROR(__xludf.DUMMYFUNCTION("""COMPUTED_VALUE"""),"Masculino")</f>
        <v>Masculino</v>
      </c>
      <c r="L327" s="45" t="str">
        <f>IFERROR(__xludf.DUMMYFUNCTION("""COMPUTED_VALUE"""),"CNO")</f>
        <v>CNO</v>
      </c>
      <c r="M327" s="45"/>
      <c r="N327" s="7" t="str">
        <f>IFERROR(__xludf.DUMMYFUNCTION("""COMPUTED_VALUE"""),"ILCA 6")</f>
        <v>ILCA 6</v>
      </c>
      <c r="O327" s="7"/>
      <c r="P327" s="7">
        <f>IFERROR(__xludf.DUMMYFUNCTION("""COMPUTED_VALUE"""),220260.0)</f>
        <v>220260</v>
      </c>
      <c r="Q327" s="45"/>
      <c r="R327" s="45"/>
      <c r="S327" s="45"/>
      <c r="T327" s="45"/>
      <c r="U327" s="45"/>
      <c r="V327" s="45"/>
      <c r="W327" s="45"/>
      <c r="X327" s="47"/>
      <c r="Y327" s="7" t="str">
        <f>IFERROR(__xludf.DUMMYFUNCTION("""COMPUTED_VALUE"""),"No")</f>
        <v>No</v>
      </c>
      <c r="Z327" s="45" t="str">
        <f>IFERROR(__xludf.DUMMYFUNCTION("""COMPUTED_VALUE"""),"Acepto")</f>
        <v>Acepto</v>
      </c>
      <c r="AA327" s="45" t="str">
        <f>IFERROR(__xludf.DUMMYFUNCTION("""COMPUTED_VALUE"""),"Terminado")</f>
        <v>Terminado</v>
      </c>
      <c r="AB327" s="45">
        <f>IFERROR(__xludf.DUMMYFUNCTION("""COMPUTED_VALUE"""),45000.0)</f>
        <v>45000</v>
      </c>
      <c r="AC327" s="7">
        <f>IFERROR(__xludf.DUMMYFUNCTION("""COMPUTED_VALUE"""),205614.0)</f>
        <v>205614</v>
      </c>
      <c r="AD327" s="7" t="str">
        <f>IFERROR(__xludf.DUMMYFUNCTION("""COMPUTED_VALUE"""),"TRF 09-09")</f>
        <v>TRF 09-09</v>
      </c>
      <c r="AE327" s="7" t="str">
        <f>IFERROR(__xludf.DUMMYFUNCTION("""COMPUTED_VALUE"""),"No Corresp")</f>
        <v>No Corresp</v>
      </c>
      <c r="AF327" s="7"/>
    </row>
    <row r="328">
      <c r="A328" s="42">
        <f>IFERROR(__xludf.DUMMYFUNCTION("""COMPUTED_VALUE"""),45527.37822677083)</f>
        <v>45527.37823</v>
      </c>
      <c r="B328" s="43" t="str">
        <f>IFERROR(__xludf.DUMMYFUNCTION("""COMPUTED_VALUE"""),"Cristian ")</f>
        <v>Cristian </v>
      </c>
      <c r="C328" s="43" t="str">
        <f>IFERROR(__xludf.DUMMYFUNCTION("""COMPUTED_VALUE"""),"Vogt")</f>
        <v>Vogt</v>
      </c>
      <c r="D328" s="43" t="str">
        <f>IFERROR(__xludf.DUMMYFUNCTION("""COMPUTED_VALUE"""),"Rosario")</f>
        <v>Rosario</v>
      </c>
      <c r="E328" s="45" t="str">
        <f>IFERROR(__xludf.DUMMYFUNCTION("""COMPUTED_VALUE"""),"ARG")</f>
        <v>ARG</v>
      </c>
      <c r="F328" s="45">
        <f>IFERROR(__xludf.DUMMYFUNCTION("""COMPUTED_VALUE"""),2.2300172E7)</f>
        <v>22300172</v>
      </c>
      <c r="G328" s="44">
        <f>IFERROR(__xludf.DUMMYFUNCTION("""COMPUTED_VALUE"""),26147.0)</f>
        <v>26147</v>
      </c>
      <c r="H328" s="45">
        <f>IFERROR(__xludf.DUMMYFUNCTION("""COMPUTED_VALUE"""),3.416199295E9)</f>
        <v>3416199295</v>
      </c>
      <c r="I328" s="45">
        <f>IFERROR(__xludf.DUMMYFUNCTION("""COMPUTED_VALUE"""),3.41619939E9)</f>
        <v>3416199390</v>
      </c>
      <c r="J328" s="45" t="str">
        <f>IFERROR(__xludf.DUMMYFUNCTION("""COMPUTED_VALUE"""),"Chopyandy@hotmail.com")</f>
        <v>Chopyandy@hotmail.com</v>
      </c>
      <c r="K328" s="45" t="str">
        <f>IFERROR(__xludf.DUMMYFUNCTION("""COMPUTED_VALUE"""),"Masculino")</f>
        <v>Masculino</v>
      </c>
      <c r="L328" s="45" t="str">
        <f>IFERROR(__xludf.DUMMYFUNCTION("""COMPUTED_VALUE"""),"YCR")</f>
        <v>YCR</v>
      </c>
      <c r="M328" s="45"/>
      <c r="N328" s="7" t="str">
        <f>IFERROR(__xludf.DUMMYFUNCTION("""COMPUTED_VALUE"""),"J 70")</f>
        <v>J 70</v>
      </c>
      <c r="O328" s="7">
        <f>IFERROR(__xludf.DUMMYFUNCTION("""COMPUTED_VALUE"""),43.0)</f>
        <v>43</v>
      </c>
      <c r="P328" s="7">
        <f>IFERROR(__xludf.DUMMYFUNCTION("""COMPUTED_VALUE"""),1558.0)</f>
        <v>1558</v>
      </c>
      <c r="Q328" s="45" t="str">
        <f>IFERROR(__xludf.DUMMYFUNCTION("""COMPUTED_VALUE"""),"Indicado")</f>
        <v>Indicado</v>
      </c>
      <c r="R328" s="45" t="str">
        <f>IFERROR(__xludf.DUMMYFUNCTION("""COMPUTED_VALUE"""),"Mario German diaz")</f>
        <v>Mario German diaz</v>
      </c>
      <c r="S328" s="45" t="str">
        <f>IFERROR(__xludf.DUMMYFUNCTION("""COMPUTED_VALUE"""),"Diego bailardo")</f>
        <v>Diego bailardo</v>
      </c>
      <c r="T328" s="45" t="str">
        <f>IFERROR(__xludf.DUMMYFUNCTION("""COMPUTED_VALUE"""),"Nicolás cuerdo")</f>
        <v>Nicolás cuerdo</v>
      </c>
      <c r="U328" s="45"/>
      <c r="V328" s="45"/>
      <c r="W328" s="45"/>
      <c r="X328" s="47"/>
      <c r="Y328" s="7" t="str">
        <f>IFERROR(__xludf.DUMMYFUNCTION("""COMPUTED_VALUE"""),"No")</f>
        <v>No</v>
      </c>
      <c r="Z328" s="45" t="str">
        <f>IFERROR(__xludf.DUMMYFUNCTION("""COMPUTED_VALUE"""),"Acepto")</f>
        <v>Acepto</v>
      </c>
      <c r="AA328" s="45" t="str">
        <f>IFERROR(__xludf.DUMMYFUNCTION("""COMPUTED_VALUE"""),"Terminado")</f>
        <v>Terminado</v>
      </c>
      <c r="AB328" s="45">
        <f>IFERROR(__xludf.DUMMYFUNCTION("""COMPUTED_VALUE"""),80000.0)</f>
        <v>80000</v>
      </c>
      <c r="AC328" s="7">
        <f>IFERROR(__xludf.DUMMYFUNCTION("""COMPUTED_VALUE"""),205043.0)</f>
        <v>205043</v>
      </c>
      <c r="AD328" s="7" t="str">
        <f>IFERROR(__xludf.DUMMYFUNCTION("""COMPUTED_VALUE"""),"TRF 23-08")</f>
        <v>TRF 23-08</v>
      </c>
      <c r="AE328" s="7" t="str">
        <f>IFERROR(__xludf.DUMMYFUNCTION("""COMPUTED_VALUE"""),"No Corresp")</f>
        <v>No Corresp</v>
      </c>
      <c r="AF328" s="7"/>
    </row>
    <row r="329">
      <c r="A329" s="42">
        <f>IFERROR(__xludf.DUMMYFUNCTION("""COMPUTED_VALUE"""),45534.41866435185)</f>
        <v>45534.41866</v>
      </c>
      <c r="B329" s="43" t="str">
        <f>IFERROR(__xludf.DUMMYFUNCTION("""COMPUTED_VALUE"""),"Camila")</f>
        <v>Camila</v>
      </c>
      <c r="C329" s="43" t="str">
        <f>IFERROR(__xludf.DUMMYFUNCTION("""COMPUTED_VALUE"""),"Volco")</f>
        <v>Volco</v>
      </c>
      <c r="D329" s="43" t="str">
        <f>IFERROR(__xludf.DUMMYFUNCTION("""COMPUTED_VALUE"""),"CABA")</f>
        <v>CABA</v>
      </c>
      <c r="E329" s="45" t="str">
        <f>IFERROR(__xludf.DUMMYFUNCTION("""COMPUTED_VALUE"""),"ARG")</f>
        <v>ARG</v>
      </c>
      <c r="F329" s="45">
        <f>IFERROR(__xludf.DUMMYFUNCTION("""COMPUTED_VALUE"""),5.0580988E7)</f>
        <v>50580988</v>
      </c>
      <c r="G329" s="44">
        <f>IFERROR(__xludf.DUMMYFUNCTION("""COMPUTED_VALUE"""),40456.0)</f>
        <v>40456</v>
      </c>
      <c r="H329" s="45">
        <f>IFERROR(__xludf.DUMMYFUNCTION("""COMPUTED_VALUE"""),1.14073102E9)</f>
        <v>1140731020</v>
      </c>
      <c r="I329" s="45">
        <f>IFERROR(__xludf.DUMMYFUNCTION("""COMPUTED_VALUE"""),1.14073102E9)</f>
        <v>1140731020</v>
      </c>
      <c r="J329" s="45" t="str">
        <f>IFERROR(__xludf.DUMMYFUNCTION("""COMPUTED_VALUE"""),"federico.volco@gmail.com")</f>
        <v>federico.volco@gmail.com</v>
      </c>
      <c r="K329" s="45" t="str">
        <f>IFERROR(__xludf.DUMMYFUNCTION("""COMPUTED_VALUE"""),"Femenino")</f>
        <v>Femenino</v>
      </c>
      <c r="L329" s="45" t="str">
        <f>IFERROR(__xludf.DUMMYFUNCTION("""COMPUTED_VALUE"""),"CVB")</f>
        <v>CVB</v>
      </c>
      <c r="M329" s="45" t="str">
        <f>IFERROR(__xludf.DUMMYFUNCTION("""COMPUTED_VALUE"""),"Femenino")</f>
        <v>Femenino</v>
      </c>
      <c r="N329" s="7" t="str">
        <f>IFERROR(__xludf.DUMMYFUNCTION("""COMPUTED_VALUE"""),"OPTIMIST PRINCIPIANTES")</f>
        <v>OPTIMIST PRINCIPIANTES</v>
      </c>
      <c r="O329" s="7"/>
      <c r="P329" s="7">
        <f>IFERROR(__xludf.DUMMYFUNCTION("""COMPUTED_VALUE"""),3958.0)</f>
        <v>3958</v>
      </c>
      <c r="Q329" s="45"/>
      <c r="R329" s="45"/>
      <c r="S329" s="45"/>
      <c r="T329" s="45"/>
      <c r="U329" s="45"/>
      <c r="V329" s="45"/>
      <c r="W329" s="45"/>
      <c r="X329" s="47" t="str">
        <f>IFERROR(__xludf.DUMMYFUNCTION("""COMPUTED_VALUE"""),"OSDE")</f>
        <v>OSDE</v>
      </c>
      <c r="Y329" s="7" t="str">
        <f>IFERROR(__xludf.DUMMYFUNCTION("""COMPUTED_VALUE"""),"Si")</f>
        <v>Si</v>
      </c>
      <c r="Z329" s="45" t="str">
        <f>IFERROR(__xludf.DUMMYFUNCTION("""COMPUTED_VALUE"""),"Acepto")</f>
        <v>Acepto</v>
      </c>
      <c r="AA329" s="45" t="str">
        <f>IFERROR(__xludf.DUMMYFUNCTION("""COMPUTED_VALUE"""),"Terminado")</f>
        <v>Terminado</v>
      </c>
      <c r="AB329" s="45">
        <f>IFERROR(__xludf.DUMMYFUNCTION("""COMPUTED_VALUE"""),50000.0)</f>
        <v>50000</v>
      </c>
      <c r="AC329" s="7">
        <f>IFERROR(__xludf.DUMMYFUNCTION("""COMPUTED_VALUE"""),205076.0)</f>
        <v>205076</v>
      </c>
      <c r="AD329" s="7" t="str">
        <f>IFERROR(__xludf.DUMMYFUNCTION("""COMPUTED_VALUE"""),"Tarj 30-8")</f>
        <v>Tarj 30-8</v>
      </c>
      <c r="AE329" s="7" t="str">
        <f>IFERROR(__xludf.DUMMYFUNCTION("""COMPUTED_VALUE"""),"OK")</f>
        <v>OK</v>
      </c>
      <c r="AF329" s="7" t="str">
        <f>IFERROR(__xludf.DUMMYFUNCTION("""COMPUTED_VALUE"""),"SI")</f>
        <v>SI</v>
      </c>
    </row>
    <row r="330">
      <c r="A330" s="42">
        <f>IFERROR(__xludf.DUMMYFUNCTION("""COMPUTED_VALUE"""),45534.41953903935)</f>
        <v>45534.41954</v>
      </c>
      <c r="B330" s="43" t="str">
        <f>IFERROR(__xludf.DUMMYFUNCTION("""COMPUTED_VALUE"""),"Martina")</f>
        <v>Martina</v>
      </c>
      <c r="C330" s="43" t="str">
        <f>IFERROR(__xludf.DUMMYFUNCTION("""COMPUTED_VALUE"""),"Volco")</f>
        <v>Volco</v>
      </c>
      <c r="D330" s="43" t="str">
        <f>IFERROR(__xludf.DUMMYFUNCTION("""COMPUTED_VALUE"""),"CABA")</f>
        <v>CABA</v>
      </c>
      <c r="E330" s="45" t="str">
        <f>IFERROR(__xludf.DUMMYFUNCTION("""COMPUTED_VALUE"""),"ARG")</f>
        <v>ARG</v>
      </c>
      <c r="F330" s="45">
        <f>IFERROR(__xludf.DUMMYFUNCTION("""COMPUTED_VALUE"""),5.3474977E7)</f>
        <v>53474977</v>
      </c>
      <c r="G330" s="44">
        <f>IFERROR(__xludf.DUMMYFUNCTION("""COMPUTED_VALUE"""),41584.0)</f>
        <v>41584</v>
      </c>
      <c r="H330" s="45">
        <f>IFERROR(__xludf.DUMMYFUNCTION("""COMPUTED_VALUE"""),1.14073102E9)</f>
        <v>1140731020</v>
      </c>
      <c r="I330" s="45">
        <f>IFERROR(__xludf.DUMMYFUNCTION("""COMPUTED_VALUE"""),1.14073102E9)</f>
        <v>1140731020</v>
      </c>
      <c r="J330" s="45" t="str">
        <f>IFERROR(__xludf.DUMMYFUNCTION("""COMPUTED_VALUE"""),"federico.volco@gmail.com")</f>
        <v>federico.volco@gmail.com</v>
      </c>
      <c r="K330" s="45" t="str">
        <f>IFERROR(__xludf.DUMMYFUNCTION("""COMPUTED_VALUE"""),"Femenino")</f>
        <v>Femenino</v>
      </c>
      <c r="L330" s="45" t="str">
        <f>IFERROR(__xludf.DUMMYFUNCTION("""COMPUTED_VALUE"""),"CVB")</f>
        <v>CVB</v>
      </c>
      <c r="M330" s="45" t="str">
        <f>IFERROR(__xludf.DUMMYFUNCTION("""COMPUTED_VALUE"""),"Femenino")</f>
        <v>Femenino</v>
      </c>
      <c r="N330" s="7" t="str">
        <f>IFERROR(__xludf.DUMMYFUNCTION("""COMPUTED_VALUE"""),"OPTIMIST PRINCIPIANTES")</f>
        <v>OPTIMIST PRINCIPIANTES</v>
      </c>
      <c r="O330" s="7"/>
      <c r="P330" s="7">
        <f>IFERROR(__xludf.DUMMYFUNCTION("""COMPUTED_VALUE"""),3702.0)</f>
        <v>3702</v>
      </c>
      <c r="Q330" s="45"/>
      <c r="R330" s="45"/>
      <c r="S330" s="45"/>
      <c r="T330" s="45"/>
      <c r="U330" s="45"/>
      <c r="V330" s="45"/>
      <c r="W330" s="45"/>
      <c r="X330" s="47" t="str">
        <f>IFERROR(__xludf.DUMMYFUNCTION("""COMPUTED_VALUE"""),"OSDE")</f>
        <v>OSDE</v>
      </c>
      <c r="Y330" s="7" t="str">
        <f>IFERROR(__xludf.DUMMYFUNCTION("""COMPUTED_VALUE"""),"Si")</f>
        <v>Si</v>
      </c>
      <c r="Z330" s="45" t="str">
        <f>IFERROR(__xludf.DUMMYFUNCTION("""COMPUTED_VALUE"""),"Acepto")</f>
        <v>Acepto</v>
      </c>
      <c r="AA330" s="45" t="str">
        <f>IFERROR(__xludf.DUMMYFUNCTION("""COMPUTED_VALUE"""),"Terminado")</f>
        <v>Terminado</v>
      </c>
      <c r="AB330" s="45">
        <f>IFERROR(__xludf.DUMMYFUNCTION("""COMPUTED_VALUE"""),50000.0)</f>
        <v>50000</v>
      </c>
      <c r="AC330" s="7">
        <f>IFERROR(__xludf.DUMMYFUNCTION("""COMPUTED_VALUE"""),205076.0)</f>
        <v>205076</v>
      </c>
      <c r="AD330" s="7" t="str">
        <f>IFERROR(__xludf.DUMMYFUNCTION("""COMPUTED_VALUE"""),"Tarj 30-8")</f>
        <v>Tarj 30-8</v>
      </c>
      <c r="AE330" s="7" t="str">
        <f>IFERROR(__xludf.DUMMYFUNCTION("""COMPUTED_VALUE"""),"OK")</f>
        <v>OK</v>
      </c>
      <c r="AF330" s="7" t="str">
        <f>IFERROR(__xludf.DUMMYFUNCTION("""COMPUTED_VALUE"""),"SI")</f>
        <v>SI</v>
      </c>
    </row>
    <row r="331">
      <c r="A331" s="42">
        <f>IFERROR(__xludf.DUMMYFUNCTION("""COMPUTED_VALUE"""),45534.645651597224)</f>
        <v>45534.64565</v>
      </c>
      <c r="B331" s="43" t="str">
        <f>IFERROR(__xludf.DUMMYFUNCTION("""COMPUTED_VALUE"""),"Valentino")</f>
        <v>Valentino</v>
      </c>
      <c r="C331" s="43" t="str">
        <f>IFERROR(__xludf.DUMMYFUNCTION("""COMPUTED_VALUE"""),"Wenzel")</f>
        <v>Wenzel</v>
      </c>
      <c r="D331" s="43" t="str">
        <f>IFERROR(__xludf.DUMMYFUNCTION("""COMPUTED_VALUE"""),"La plata")</f>
        <v>La plata</v>
      </c>
      <c r="E331" s="45" t="str">
        <f>IFERROR(__xludf.DUMMYFUNCTION("""COMPUTED_VALUE"""),"ARG")</f>
        <v>ARG</v>
      </c>
      <c r="F331" s="45">
        <f>IFERROR(__xludf.DUMMYFUNCTION("""COMPUTED_VALUE"""),5.0609852E7)</f>
        <v>50609852</v>
      </c>
      <c r="G331" s="44">
        <f>IFERROR(__xludf.DUMMYFUNCTION("""COMPUTED_VALUE"""),40415.0)</f>
        <v>40415</v>
      </c>
      <c r="H331" s="45">
        <f>IFERROR(__xludf.DUMMYFUNCTION("""COMPUTED_VALUE"""),2.215485768E9)</f>
        <v>2215485768</v>
      </c>
      <c r="I331" s="45">
        <f>IFERROR(__xludf.DUMMYFUNCTION("""COMPUTED_VALUE"""),2.215033161E9)</f>
        <v>2215033161</v>
      </c>
      <c r="J331" s="45" t="str">
        <f>IFERROR(__xludf.DUMMYFUNCTION("""COMPUTED_VALUE"""),"Mariw_palumbo@hotmail.com")</f>
        <v>Mariw_palumbo@hotmail.com</v>
      </c>
      <c r="K331" s="45" t="str">
        <f>IFERROR(__xludf.DUMMYFUNCTION("""COMPUTED_VALUE"""),"Masculino")</f>
        <v>Masculino</v>
      </c>
      <c r="L331" s="45" t="str">
        <f>IFERROR(__xludf.DUMMYFUNCTION("""COMPUTED_VALUE"""),"CRLP")</f>
        <v>CRLP</v>
      </c>
      <c r="M331" s="45" t="str">
        <f>IFERROR(__xludf.DUMMYFUNCTION("""COMPUTED_VALUE"""),"Interior (Optimist)")</f>
        <v>Interior (Optimist)</v>
      </c>
      <c r="N331" s="7" t="str">
        <f>IFERROR(__xludf.DUMMYFUNCTION("""COMPUTED_VALUE"""),"OPTIMIST TIMONELES")</f>
        <v>OPTIMIST TIMONELES</v>
      </c>
      <c r="O331" s="7"/>
      <c r="P331" s="7">
        <f>IFERROR(__xludf.DUMMYFUNCTION("""COMPUTED_VALUE"""),3529.0)</f>
        <v>3529</v>
      </c>
      <c r="Q331" s="45"/>
      <c r="R331" s="45"/>
      <c r="S331" s="45"/>
      <c r="T331" s="45"/>
      <c r="U331" s="45"/>
      <c r="V331" s="45"/>
      <c r="W331" s="45"/>
      <c r="X331" s="47" t="str">
        <f>IFERROR(__xludf.DUMMYFUNCTION("""COMPUTED_VALUE"""),"Ioma ")</f>
        <v>Ioma </v>
      </c>
      <c r="Y331" s="7" t="str">
        <f>IFERROR(__xludf.DUMMYFUNCTION("""COMPUTED_VALUE"""),"Si")</f>
        <v>Si</v>
      </c>
      <c r="Z331" s="45" t="str">
        <f>IFERROR(__xludf.DUMMYFUNCTION("""COMPUTED_VALUE"""),"Acepto")</f>
        <v>Acepto</v>
      </c>
      <c r="AA331" s="45" t="str">
        <f>IFERROR(__xludf.DUMMYFUNCTION("""COMPUTED_VALUE"""),"Terminado")</f>
        <v>Terminado</v>
      </c>
      <c r="AB331" s="45">
        <f>IFERROR(__xludf.DUMMYFUNCTION("""COMPUTED_VALUE"""),50000.0)</f>
        <v>50000</v>
      </c>
      <c r="AC331" s="7">
        <f>IFERROR(__xludf.DUMMYFUNCTION("""COMPUTED_VALUE"""),205098.0)</f>
        <v>205098</v>
      </c>
      <c r="AD331" s="7" t="str">
        <f>IFERROR(__xludf.DUMMYFUNCTION("""COMPUTED_VALUE"""),"TRF 30-08 MP")</f>
        <v>TRF 30-08 MP</v>
      </c>
      <c r="AE331" s="7" t="str">
        <f>IFERROR(__xludf.DUMMYFUNCTION("""COMPUTED_VALUE"""),"OK")</f>
        <v>OK</v>
      </c>
      <c r="AF331" s="7"/>
    </row>
    <row r="332">
      <c r="A332" s="42">
        <f>IFERROR(__xludf.DUMMYFUNCTION("""COMPUTED_VALUE"""),45534.73292391204)</f>
        <v>45534.73292</v>
      </c>
      <c r="B332" s="43" t="str">
        <f>IFERROR(__xludf.DUMMYFUNCTION("""COMPUTED_VALUE"""),"Carolina")</f>
        <v>Carolina</v>
      </c>
      <c r="C332" s="43" t="str">
        <f>IFERROR(__xludf.DUMMYFUNCTION("""COMPUTED_VALUE"""),"Zardini Suarez")</f>
        <v>Zardini Suarez</v>
      </c>
      <c r="D332" s="43" t="str">
        <f>IFERROR(__xludf.DUMMYFUNCTION("""COMPUTED_VALUE"""),"Beccar")</f>
        <v>Beccar</v>
      </c>
      <c r="E332" s="45" t="str">
        <f>IFERROR(__xludf.DUMMYFUNCTION("""COMPUTED_VALUE"""),"ARG")</f>
        <v>ARG</v>
      </c>
      <c r="F332" s="45">
        <f>IFERROR(__xludf.DUMMYFUNCTION("""COMPUTED_VALUE"""),5.3336217E7)</f>
        <v>53336217</v>
      </c>
      <c r="G332" s="44">
        <f>IFERROR(__xludf.DUMMYFUNCTION("""COMPUTED_VALUE"""),41453.0)</f>
        <v>41453</v>
      </c>
      <c r="H332" s="45">
        <f>IFERROR(__xludf.DUMMYFUNCTION("""COMPUTED_VALUE"""),1.167930157E9)</f>
        <v>1167930157</v>
      </c>
      <c r="I332" s="45">
        <f>IFERROR(__xludf.DUMMYFUNCTION("""COMPUTED_VALUE"""),1.167930157E9)</f>
        <v>1167930157</v>
      </c>
      <c r="J332" s="45" t="str">
        <f>IFERROR(__xludf.DUMMYFUNCTION("""COMPUTED_VALUE"""),"rzardini@hotmail.com")</f>
        <v>rzardini@hotmail.com</v>
      </c>
      <c r="K332" s="45" t="str">
        <f>IFERROR(__xludf.DUMMYFUNCTION("""COMPUTED_VALUE"""),"Femenino")</f>
        <v>Femenino</v>
      </c>
      <c r="L332" s="45" t="str">
        <f>IFERROR(__xludf.DUMMYFUNCTION("""COMPUTED_VALUE"""),"CGLNM")</f>
        <v>CGLNM</v>
      </c>
      <c r="M332" s="45" t="str">
        <f>IFERROR(__xludf.DUMMYFUNCTION("""COMPUTED_VALUE"""),"Femenino")</f>
        <v>Femenino</v>
      </c>
      <c r="N332" s="7" t="str">
        <f>IFERROR(__xludf.DUMMYFUNCTION("""COMPUTED_VALUE"""),"OPTIMIST PRINCIPIANTES")</f>
        <v>OPTIMIST PRINCIPIANTES</v>
      </c>
      <c r="O332" s="7"/>
      <c r="P332" s="7">
        <f>IFERROR(__xludf.DUMMYFUNCTION("""COMPUTED_VALUE"""),3580.0)</f>
        <v>3580</v>
      </c>
      <c r="Q332" s="45" t="str">
        <f>IFERROR(__xludf.DUMMYFUNCTION("""COMPUTED_VALUE"""),"Millas")</f>
        <v>Millas</v>
      </c>
      <c r="R332" s="45"/>
      <c r="S332" s="45"/>
      <c r="T332" s="45"/>
      <c r="U332" s="45"/>
      <c r="V332" s="45"/>
      <c r="W332" s="45"/>
      <c r="X332" s="47" t="str">
        <f>IFERROR(__xludf.DUMMYFUNCTION("""COMPUTED_VALUE"""),"Osde 62902805104")</f>
        <v>Osde 62902805104</v>
      </c>
      <c r="Y332" s="7" t="str">
        <f>IFERROR(__xludf.DUMMYFUNCTION("""COMPUTED_VALUE"""),"Si")</f>
        <v>Si</v>
      </c>
      <c r="Z332" s="45" t="str">
        <f>IFERROR(__xludf.DUMMYFUNCTION("""COMPUTED_VALUE"""),"Acepto")</f>
        <v>Acepto</v>
      </c>
      <c r="AA332" s="45" t="str">
        <f>IFERROR(__xludf.DUMMYFUNCTION("""COMPUTED_VALUE"""),"Terminado")</f>
        <v>Terminado</v>
      </c>
      <c r="AB332" s="45">
        <f>IFERROR(__xludf.DUMMYFUNCTION("""COMPUTED_VALUE"""),50000.0)</f>
        <v>50000</v>
      </c>
      <c r="AC332" s="7">
        <f>IFERROR(__xludf.DUMMYFUNCTION("""COMPUTED_VALUE"""),205123.0)</f>
        <v>205123</v>
      </c>
      <c r="AD332" s="7" t="str">
        <f>IFERROR(__xludf.DUMMYFUNCTION("""COMPUTED_VALUE"""),"TRF 30-08")</f>
        <v>TRF 30-08</v>
      </c>
      <c r="AE332" s="7" t="str">
        <f>IFERROR(__xludf.DUMMYFUNCTION("""COMPUTED_VALUE"""),"OK")</f>
        <v>OK</v>
      </c>
      <c r="AF332" s="7"/>
    </row>
    <row r="333">
      <c r="A333" s="42">
        <f>IFERROR(__xludf.DUMMYFUNCTION("""COMPUTED_VALUE"""),45534.728305069446)</f>
        <v>45534.72831</v>
      </c>
      <c r="B333" s="43" t="str">
        <f>IFERROR(__xludf.DUMMYFUNCTION("""COMPUTED_VALUE"""),"Fernando")</f>
        <v>Fernando</v>
      </c>
      <c r="C333" s="43" t="str">
        <f>IFERROR(__xludf.DUMMYFUNCTION("""COMPUTED_VALUE"""),"Zardini Suárez ")</f>
        <v>Zardini Suárez </v>
      </c>
      <c r="D333" s="43" t="str">
        <f>IFERROR(__xludf.DUMMYFUNCTION("""COMPUTED_VALUE"""),"Beccar San Isidro")</f>
        <v>Beccar San Isidro</v>
      </c>
      <c r="E333" s="45" t="str">
        <f>IFERROR(__xludf.DUMMYFUNCTION("""COMPUTED_VALUE"""),"ARG")</f>
        <v>ARG</v>
      </c>
      <c r="F333" s="45">
        <f>IFERROR(__xludf.DUMMYFUNCTION("""COMPUTED_VALUE"""),5.2697717E7)</f>
        <v>52697717</v>
      </c>
      <c r="G333" s="44">
        <f>IFERROR(__xludf.DUMMYFUNCTION("""COMPUTED_VALUE"""),44429.0)</f>
        <v>44429</v>
      </c>
      <c r="H333" s="45">
        <f>IFERROR(__xludf.DUMMYFUNCTION("""COMPUTED_VALUE"""),1.167930157E9)</f>
        <v>1167930157</v>
      </c>
      <c r="I333" s="45">
        <f>IFERROR(__xludf.DUMMYFUNCTION("""COMPUTED_VALUE"""),1.167930157E9)</f>
        <v>1167930157</v>
      </c>
      <c r="J333" s="45" t="str">
        <f>IFERROR(__xludf.DUMMYFUNCTION("""COMPUTED_VALUE"""),"rzardini@hotmail.com")</f>
        <v>rzardini@hotmail.com</v>
      </c>
      <c r="K333" s="45" t="str">
        <f>IFERROR(__xludf.DUMMYFUNCTION("""COMPUTED_VALUE"""),"Masculino")</f>
        <v>Masculino</v>
      </c>
      <c r="L333" s="45" t="str">
        <f>IFERROR(__xludf.DUMMYFUNCTION("""COMPUTED_VALUE"""),"CGLNM")</f>
        <v>CGLNM</v>
      </c>
      <c r="M333" s="45" t="str">
        <f>IFERROR(__xludf.DUMMYFUNCTION("""COMPUTED_VALUE"""),"Interior (Optimist)")</f>
        <v>Interior (Optimist)</v>
      </c>
      <c r="N333" s="7" t="str">
        <f>IFERROR(__xludf.DUMMYFUNCTION("""COMPUTED_VALUE"""),"OPTIMIST PRINCIPIANTES")</f>
        <v>OPTIMIST PRINCIPIANTES</v>
      </c>
      <c r="O333" s="7"/>
      <c r="P333" s="7">
        <f>IFERROR(__xludf.DUMMYFUNCTION("""COMPUTED_VALUE"""),3554.0)</f>
        <v>3554</v>
      </c>
      <c r="Q333" s="45" t="str">
        <f>IFERROR(__xludf.DUMMYFUNCTION("""COMPUTED_VALUE"""),"Meteoro")</f>
        <v>Meteoro</v>
      </c>
      <c r="R333" s="45"/>
      <c r="S333" s="45"/>
      <c r="T333" s="45"/>
      <c r="U333" s="45"/>
      <c r="V333" s="45"/>
      <c r="W333" s="45"/>
      <c r="X333" s="47" t="str">
        <f>IFERROR(__xludf.DUMMYFUNCTION("""COMPUTED_VALUE"""),"Osde 62902805103")</f>
        <v>Osde 62902805103</v>
      </c>
      <c r="Y333" s="7" t="str">
        <f>IFERROR(__xludf.DUMMYFUNCTION("""COMPUTED_VALUE"""),"Si")</f>
        <v>Si</v>
      </c>
      <c r="Z333" s="45" t="str">
        <f>IFERROR(__xludf.DUMMYFUNCTION("""COMPUTED_VALUE"""),"Acepto")</f>
        <v>Acepto</v>
      </c>
      <c r="AA333" s="45" t="str">
        <f>IFERROR(__xludf.DUMMYFUNCTION("""COMPUTED_VALUE"""),"Terminado")</f>
        <v>Terminado</v>
      </c>
      <c r="AB333" s="45">
        <f>IFERROR(__xludf.DUMMYFUNCTION("""COMPUTED_VALUE"""),50000.0)</f>
        <v>50000</v>
      </c>
      <c r="AC333" s="7">
        <f>IFERROR(__xludf.DUMMYFUNCTION("""COMPUTED_VALUE"""),205125.0)</f>
        <v>205125</v>
      </c>
      <c r="AD333" s="7" t="str">
        <f>IFERROR(__xludf.DUMMYFUNCTION("""COMPUTED_VALUE"""),"TRF 30-08")</f>
        <v>TRF 30-08</v>
      </c>
      <c r="AE333" s="7" t="str">
        <f>IFERROR(__xludf.DUMMYFUNCTION("""COMPUTED_VALUE"""),"OK")</f>
        <v>OK</v>
      </c>
      <c r="AF333" s="7"/>
    </row>
    <row r="334">
      <c r="A334" s="42">
        <f>IFERROR(__xludf.DUMMYFUNCTION("""COMPUTED_VALUE"""),45534.76405247685)</f>
        <v>45534.76405</v>
      </c>
      <c r="B334" s="43" t="str">
        <f>IFERROR(__xludf.DUMMYFUNCTION("""COMPUTED_VALUE"""),"Facundo")</f>
        <v>Facundo</v>
      </c>
      <c r="C334" s="43" t="str">
        <f>IFERROR(__xludf.DUMMYFUNCTION("""COMPUTED_VALUE"""),"Zorraquin")</f>
        <v>Zorraquin</v>
      </c>
      <c r="D334" s="43" t="str">
        <f>IFERROR(__xludf.DUMMYFUNCTION("""COMPUTED_VALUE"""),"Buenos aires")</f>
        <v>Buenos aires</v>
      </c>
      <c r="E334" s="45" t="str">
        <f>IFERROR(__xludf.DUMMYFUNCTION("""COMPUTED_VALUE"""),"ARG")</f>
        <v>ARG</v>
      </c>
      <c r="F334" s="45">
        <f>IFERROR(__xludf.DUMMYFUNCTION("""COMPUTED_VALUE"""),5.007519E7)</f>
        <v>50075190</v>
      </c>
      <c r="G334" s="44">
        <f>IFERROR(__xludf.DUMMYFUNCTION("""COMPUTED_VALUE"""),40199.0)</f>
        <v>40199</v>
      </c>
      <c r="H334" s="45">
        <f>IFERROR(__xludf.DUMMYFUNCTION("""COMPUTED_VALUE"""),1.149365363E9)</f>
        <v>1149365363</v>
      </c>
      <c r="I334" s="45">
        <f>IFERROR(__xludf.DUMMYFUNCTION("""COMPUTED_VALUE"""),1.141773096E9)</f>
        <v>1141773096</v>
      </c>
      <c r="J334" s="45" t="str">
        <f>IFERROR(__xludf.DUMMYFUNCTION("""COMPUTED_VALUE"""),"gzorraquin@gmail.com")</f>
        <v>gzorraquin@gmail.com</v>
      </c>
      <c r="K334" s="45" t="str">
        <f>IFERROR(__xludf.DUMMYFUNCTION("""COMPUTED_VALUE"""),"Masculino")</f>
        <v>Masculino</v>
      </c>
      <c r="L334" s="45" t="str">
        <f>IFERROR(__xludf.DUMMYFUNCTION("""COMPUTED_VALUE"""),"CNSI")</f>
        <v>CNSI</v>
      </c>
      <c r="M334" s="45" t="str">
        <f>IFERROR(__xludf.DUMMYFUNCTION("""COMPUTED_VALUE"""),"Interior (Optimist)")</f>
        <v>Interior (Optimist)</v>
      </c>
      <c r="N334" s="7" t="str">
        <f>IFERROR(__xludf.DUMMYFUNCTION("""COMPUTED_VALUE"""),"OPTIMIST TIMONELES")</f>
        <v>OPTIMIST TIMONELES</v>
      </c>
      <c r="O334" s="7"/>
      <c r="P334" s="7">
        <f>IFERROR(__xludf.DUMMYFUNCTION("""COMPUTED_VALUE"""),4113.0)</f>
        <v>4113</v>
      </c>
      <c r="Q334" s="45"/>
      <c r="R334" s="45"/>
      <c r="S334" s="45"/>
      <c r="T334" s="45"/>
      <c r="U334" s="45"/>
      <c r="V334" s="45"/>
      <c r="W334" s="45"/>
      <c r="X334" s="47" t="str">
        <f>IFERROR(__xludf.DUMMYFUNCTION("""COMPUTED_VALUE"""),"Osde")</f>
        <v>Osde</v>
      </c>
      <c r="Y334" s="7" t="str">
        <f>IFERROR(__xludf.DUMMYFUNCTION("""COMPUTED_VALUE"""),"Si")</f>
        <v>Si</v>
      </c>
      <c r="Z334" s="45" t="str">
        <f>IFERROR(__xludf.DUMMYFUNCTION("""COMPUTED_VALUE"""),"Acepto")</f>
        <v>Acepto</v>
      </c>
      <c r="AA334" s="45" t="str">
        <f>IFERROR(__xludf.DUMMYFUNCTION("""COMPUTED_VALUE"""),"Terminado")</f>
        <v>Terminado</v>
      </c>
      <c r="AB334" s="45">
        <f>IFERROR(__xludf.DUMMYFUNCTION("""COMPUTED_VALUE"""),50000.0)</f>
        <v>50000</v>
      </c>
      <c r="AC334" s="7">
        <f>IFERROR(__xludf.DUMMYFUNCTION("""COMPUTED_VALUE"""),205130.0)</f>
        <v>205130</v>
      </c>
      <c r="AD334" s="7" t="str">
        <f>IFERROR(__xludf.DUMMYFUNCTION("""COMPUTED_VALUE"""),"TRF 30-08")</f>
        <v>TRF 30-08</v>
      </c>
      <c r="AE334" s="7" t="str">
        <f>IFERROR(__xludf.DUMMYFUNCTION("""COMPUTED_VALUE"""),"OK")</f>
        <v>OK</v>
      </c>
      <c r="AF334" s="7"/>
    </row>
    <row r="335">
      <c r="A335" s="42">
        <f>IFERROR(__xludf.DUMMYFUNCTION("""COMPUTED_VALUE"""),45534.76825375)</f>
        <v>45534.76825</v>
      </c>
      <c r="B335" s="43" t="str">
        <f>IFERROR(__xludf.DUMMYFUNCTION("""COMPUTED_VALUE"""),"Marcos")</f>
        <v>Marcos</v>
      </c>
      <c r="C335" s="43" t="str">
        <f>IFERROR(__xludf.DUMMYFUNCTION("""COMPUTED_VALUE"""),"Zorraquin")</f>
        <v>Zorraquin</v>
      </c>
      <c r="D335" s="43" t="str">
        <f>IFERROR(__xludf.DUMMYFUNCTION("""COMPUTED_VALUE"""),"Buenos Aires")</f>
        <v>Buenos Aires</v>
      </c>
      <c r="E335" s="45" t="str">
        <f>IFERROR(__xludf.DUMMYFUNCTION("""COMPUTED_VALUE"""),"ARG")</f>
        <v>ARG</v>
      </c>
      <c r="F335" s="45">
        <f>IFERROR(__xludf.DUMMYFUNCTION("""COMPUTED_VALUE"""),5.3878557E7)</f>
        <v>53878557</v>
      </c>
      <c r="G335" s="44">
        <f>IFERROR(__xludf.DUMMYFUNCTION("""COMPUTED_VALUE"""),41728.0)</f>
        <v>41728</v>
      </c>
      <c r="H335" s="45">
        <f>IFERROR(__xludf.DUMMYFUNCTION("""COMPUTED_VALUE"""),1.149365363E9)</f>
        <v>1149365363</v>
      </c>
      <c r="I335" s="45">
        <f>IFERROR(__xludf.DUMMYFUNCTION("""COMPUTED_VALUE"""),1.141773095E9)</f>
        <v>1141773095</v>
      </c>
      <c r="J335" s="45" t="str">
        <f>IFERROR(__xludf.DUMMYFUNCTION("""COMPUTED_VALUE"""),"gzorraquin@gmail.com")</f>
        <v>gzorraquin@gmail.com</v>
      </c>
      <c r="K335" s="45" t="str">
        <f>IFERROR(__xludf.DUMMYFUNCTION("""COMPUTED_VALUE"""),"Masculino")</f>
        <v>Masculino</v>
      </c>
      <c r="L335" s="45" t="str">
        <f>IFERROR(__xludf.DUMMYFUNCTION("""COMPUTED_VALUE"""),"CNSI")</f>
        <v>CNSI</v>
      </c>
      <c r="M335" s="45" t="str">
        <f>IFERROR(__xludf.DUMMYFUNCTION("""COMPUTED_VALUE"""),"Interior (Optimist)")</f>
        <v>Interior (Optimist)</v>
      </c>
      <c r="N335" s="7" t="str">
        <f>IFERROR(__xludf.DUMMYFUNCTION("""COMPUTED_VALUE"""),"OPTIMIST PRINCIPIANTES")</f>
        <v>OPTIMIST PRINCIPIANTES</v>
      </c>
      <c r="O335" s="7"/>
      <c r="P335" s="7">
        <f>IFERROR(__xludf.DUMMYFUNCTION("""COMPUTED_VALUE"""),3610.0)</f>
        <v>3610</v>
      </c>
      <c r="Q335" s="45"/>
      <c r="R335" s="45"/>
      <c r="S335" s="45"/>
      <c r="T335" s="45"/>
      <c r="U335" s="45"/>
      <c r="V335" s="45"/>
      <c r="W335" s="45"/>
      <c r="X335" s="47" t="str">
        <f>IFERROR(__xludf.DUMMYFUNCTION("""COMPUTED_VALUE"""),"Osde")</f>
        <v>Osde</v>
      </c>
      <c r="Y335" s="7" t="str">
        <f>IFERROR(__xludf.DUMMYFUNCTION("""COMPUTED_VALUE"""),"Si")</f>
        <v>Si</v>
      </c>
      <c r="Z335" s="45" t="str">
        <f>IFERROR(__xludf.DUMMYFUNCTION("""COMPUTED_VALUE"""),"Acepto")</f>
        <v>Acepto</v>
      </c>
      <c r="AA335" s="45" t="str">
        <f>IFERROR(__xludf.DUMMYFUNCTION("""COMPUTED_VALUE"""),"Terminado")</f>
        <v>Terminado</v>
      </c>
      <c r="AB335" s="45">
        <f>IFERROR(__xludf.DUMMYFUNCTION("""COMPUTED_VALUE"""),50000.0)</f>
        <v>50000</v>
      </c>
      <c r="AC335" s="7">
        <f>IFERROR(__xludf.DUMMYFUNCTION("""COMPUTED_VALUE"""),205131.0)</f>
        <v>205131</v>
      </c>
      <c r="AD335" s="7" t="str">
        <f>IFERROR(__xludf.DUMMYFUNCTION("""COMPUTED_VALUE"""),"TRF 30-08")</f>
        <v>TRF 30-08</v>
      </c>
      <c r="AE335" s="7" t="str">
        <f>IFERROR(__xludf.DUMMYFUNCTION("""COMPUTED_VALUE"""),"OK")</f>
        <v>OK</v>
      </c>
      <c r="AF335" s="7"/>
    </row>
    <row r="336">
      <c r="A336" s="42">
        <f>IFERROR(__xludf.DUMMYFUNCTION("""COMPUTED_VALUE"""),45532.92049820602)</f>
        <v>45532.9205</v>
      </c>
      <c r="B336" s="43" t="str">
        <f>IFERROR(__xludf.DUMMYFUNCTION("""COMPUTED_VALUE"""),"Roberto")</f>
        <v>Roberto</v>
      </c>
      <c r="C336" s="43" t="str">
        <f>IFERROR(__xludf.DUMMYFUNCTION("""COMPUTED_VALUE"""),"Zulli")</f>
        <v>Zulli</v>
      </c>
      <c r="D336" s="43" t="str">
        <f>IFERROR(__xludf.DUMMYFUNCTION("""COMPUTED_VALUE"""),"San isidro")</f>
        <v>San isidro</v>
      </c>
      <c r="E336" s="45" t="str">
        <f>IFERROR(__xludf.DUMMYFUNCTION("""COMPUTED_VALUE"""),"ARG")</f>
        <v>ARG</v>
      </c>
      <c r="F336" s="45">
        <f>IFERROR(__xludf.DUMMYFUNCTION("""COMPUTED_VALUE"""),2.2275715E7)</f>
        <v>22275715</v>
      </c>
      <c r="G336" s="44">
        <f>IFERROR(__xludf.DUMMYFUNCTION("""COMPUTED_VALUE"""),45511.0)</f>
        <v>45511</v>
      </c>
      <c r="H336" s="45">
        <f>IFERROR(__xludf.DUMMYFUNCTION("""COMPUTED_VALUE"""),1.149395391E9)</f>
        <v>1149395391</v>
      </c>
      <c r="I336" s="45"/>
      <c r="J336" s="45" t="str">
        <f>IFERROR(__xludf.DUMMYFUNCTION("""COMPUTED_VALUE"""),"Zullirobertog257@gmail.com")</f>
        <v>Zullirobertog257@gmail.com</v>
      </c>
      <c r="K336" s="45" t="str">
        <f>IFERROR(__xludf.DUMMYFUNCTION("""COMPUTED_VALUE"""),"Masculino")</f>
        <v>Masculino</v>
      </c>
      <c r="L336" s="45" t="str">
        <f>IFERROR(__xludf.DUMMYFUNCTION("""COMPUTED_VALUE"""),"Cnbd")</f>
        <v>Cnbd</v>
      </c>
      <c r="M336" s="45"/>
      <c r="N336" s="7" t="str">
        <f>IFERROR(__xludf.DUMMYFUNCTION("""COMPUTED_VALUE"""),"GRUMETE")</f>
        <v>GRUMETE</v>
      </c>
      <c r="O336" s="7" t="str">
        <f>IFERROR(__xludf.DUMMYFUNCTION("""COMPUTED_VALUE"""),"No")</f>
        <v>No</v>
      </c>
      <c r="P336" s="7" t="str">
        <f>IFERROR(__xludf.DUMMYFUNCTION("""COMPUTED_VALUE"""),"G117")</f>
        <v>G117</v>
      </c>
      <c r="Q336" s="45" t="str">
        <f>IFERROR(__xludf.DUMMYFUNCTION("""COMPUTED_VALUE"""),"Coya")</f>
        <v>Coya</v>
      </c>
      <c r="R336" s="45" t="str">
        <f>IFERROR(__xludf.DUMMYFUNCTION("""COMPUTED_VALUE"""),"Gerardo Della torre")</f>
        <v>Gerardo Della torre</v>
      </c>
      <c r="S336" s="45" t="str">
        <f>IFERROR(__xludf.DUMMYFUNCTION("""COMPUTED_VALUE"""),"Nicolás dono")</f>
        <v>Nicolás dono</v>
      </c>
      <c r="T336" s="45"/>
      <c r="U336" s="45"/>
      <c r="V336" s="45"/>
      <c r="W336" s="45"/>
      <c r="X336" s="47" t="str">
        <f>IFERROR(__xludf.DUMMYFUNCTION("""COMPUTED_VALUE"""),"Sume")</f>
        <v>Sume</v>
      </c>
      <c r="Y336" s="7" t="str">
        <f>IFERROR(__xludf.DUMMYFUNCTION("""COMPUTED_VALUE"""),"No")</f>
        <v>No</v>
      </c>
      <c r="Z336" s="45" t="str">
        <f>IFERROR(__xludf.DUMMYFUNCTION("""COMPUTED_VALUE"""),"Acepto")</f>
        <v>Acepto</v>
      </c>
      <c r="AA336" s="45" t="str">
        <f>IFERROR(__xludf.DUMMYFUNCTION("""COMPUTED_VALUE"""),"Terminado")</f>
        <v>Terminado</v>
      </c>
      <c r="AB336" s="45">
        <f>IFERROR(__xludf.DUMMYFUNCTION("""COMPUTED_VALUE"""),50000.0)</f>
        <v>50000</v>
      </c>
      <c r="AC336" s="7">
        <f>IFERROR(__xludf.DUMMYFUNCTION("""COMPUTED_VALUE"""),205514.0)</f>
        <v>205514</v>
      </c>
      <c r="AD336" s="7" t="str">
        <f>IFERROR(__xludf.DUMMYFUNCTION("""COMPUTED_VALUE"""),"TRF 05-09")</f>
        <v>TRF 05-09</v>
      </c>
      <c r="AE336" s="7" t="str">
        <f>IFERROR(__xludf.DUMMYFUNCTION("""COMPUTED_VALUE"""),"No Corresp")</f>
        <v>No Corresp</v>
      </c>
      <c r="AF336" s="7"/>
    </row>
    <row r="337">
      <c r="A337" s="42">
        <f>IFERROR(__xludf.DUMMYFUNCTION("""COMPUTED_VALUE"""),45540.904081319444)</f>
        <v>45540.90408</v>
      </c>
      <c r="B337" s="43" t="str">
        <f>IFERROR(__xludf.DUMMYFUNCTION("""COMPUTED_VALUE"""),"Tomás")</f>
        <v>Tomás</v>
      </c>
      <c r="C337" s="43" t="str">
        <f>IFERROR(__xludf.DUMMYFUNCTION("""COMPUTED_VALUE"""),"Nirich Smerling ")</f>
        <v>Nirich Smerling </v>
      </c>
      <c r="D337" s="43" t="str">
        <f>IFERROR(__xludf.DUMMYFUNCTION("""COMPUTED_VALUE"""),"SAN ISIDRO")</f>
        <v>SAN ISIDRO</v>
      </c>
      <c r="E337" s="45" t="str">
        <f>IFERROR(__xludf.DUMMYFUNCTION("""COMPUTED_VALUE"""),"ARG")</f>
        <v>ARG</v>
      </c>
      <c r="F337" s="45">
        <f>IFERROR(__xludf.DUMMYFUNCTION("""COMPUTED_VALUE"""),5.0509631E7)</f>
        <v>50509631</v>
      </c>
      <c r="G337" s="44">
        <f>IFERROR(__xludf.DUMMYFUNCTION("""COMPUTED_VALUE"""),40424.0)</f>
        <v>40424</v>
      </c>
      <c r="H337" s="45" t="str">
        <f>IFERROR(__xludf.DUMMYFUNCTION("""COMPUTED_VALUE"""),"11 40464258 ")</f>
        <v>11 40464258 </v>
      </c>
      <c r="I337" s="45" t="str">
        <f>IFERROR(__xludf.DUMMYFUNCTION("""COMPUTED_VALUE"""),"11 40464258 ")</f>
        <v>11 40464258 </v>
      </c>
      <c r="J337" s="45" t="str">
        <f>IFERROR(__xludf.DUMMYFUNCTION("""COMPUTED_VALUE"""),"Tamarasmerling@gmail.com")</f>
        <v>Tamarasmerling@gmail.com</v>
      </c>
      <c r="K337" s="45" t="str">
        <f>IFERROR(__xludf.DUMMYFUNCTION("""COMPUTED_VALUE"""),"Masculino")</f>
        <v>Masculino</v>
      </c>
      <c r="L337" s="45" t="str">
        <f>IFERROR(__xludf.DUMMYFUNCTION("""COMPUTED_VALUE"""),"CVSI ")</f>
        <v>CVSI </v>
      </c>
      <c r="M337" s="45" t="str">
        <f>IFERROR(__xludf.DUMMYFUNCTION("""COMPUTED_VALUE"""),"Interior (Optimist)")</f>
        <v>Interior (Optimist)</v>
      </c>
      <c r="N337" s="7" t="str">
        <f>IFERROR(__xludf.DUMMYFUNCTION("""COMPUTED_VALUE"""),"OPTIMIST PRINCIPIANTES")</f>
        <v>OPTIMIST PRINCIPIANTES</v>
      </c>
      <c r="O337" s="7"/>
      <c r="P337" s="7">
        <f>IFERROR(__xludf.DUMMYFUNCTION("""COMPUTED_VALUE"""),3919.0)</f>
        <v>3919</v>
      </c>
      <c r="Q337" s="45" t="str">
        <f>IFERROR(__xludf.DUMMYFUNCTION("""COMPUTED_VALUE"""),"Fresco ")</f>
        <v>Fresco </v>
      </c>
      <c r="R337" s="45"/>
      <c r="S337" s="45"/>
      <c r="T337" s="45"/>
      <c r="U337" s="45"/>
      <c r="V337" s="45"/>
      <c r="W337" s="45"/>
      <c r="X337" s="47"/>
      <c r="Y337" s="7" t="str">
        <f>IFERROR(__xludf.DUMMYFUNCTION("""COMPUTED_VALUE"""),"Si")</f>
        <v>Si</v>
      </c>
      <c r="Z337" s="45" t="str">
        <f>IFERROR(__xludf.DUMMYFUNCTION("""COMPUTED_VALUE"""),"Acepto")</f>
        <v>Acepto</v>
      </c>
      <c r="AA337" s="45" t="str">
        <f>IFERROR(__xludf.DUMMYFUNCTION("""COMPUTED_VALUE"""),"Pendiente")</f>
        <v>Pendiente</v>
      </c>
      <c r="AB337" s="45"/>
      <c r="AC337" s="7"/>
      <c r="AD337" s="7"/>
      <c r="AE337" s="7" t="str">
        <f>IFERROR(__xludf.DUMMYFUNCTION("""COMPUTED_VALUE"""),"OK")</f>
        <v>OK</v>
      </c>
      <c r="AF337" s="7"/>
    </row>
    <row r="338">
      <c r="A338" s="42">
        <f>IFERROR(__xludf.DUMMYFUNCTION("""COMPUTED_VALUE"""),45541.02893701389)</f>
        <v>45541.02894</v>
      </c>
      <c r="B338" s="43" t="str">
        <f>IFERROR(__xludf.DUMMYFUNCTION("""COMPUTED_VALUE"""),"Santino")</f>
        <v>Santino</v>
      </c>
      <c r="C338" s="43" t="str">
        <f>IFERROR(__xludf.DUMMYFUNCTION("""COMPUTED_VALUE"""),"Scuderi")</f>
        <v>Scuderi</v>
      </c>
      <c r="D338" s="43" t="str">
        <f>IFERROR(__xludf.DUMMYFUNCTION("""COMPUTED_VALUE"""),"Ciudad Autonoma de Buenos Aires")</f>
        <v>Ciudad Autonoma de Buenos Aires</v>
      </c>
      <c r="E338" s="45" t="str">
        <f>IFERROR(__xludf.DUMMYFUNCTION("""COMPUTED_VALUE"""),"ARG")</f>
        <v>ARG</v>
      </c>
      <c r="F338" s="45">
        <f>IFERROR(__xludf.DUMMYFUNCTION("""COMPUTED_VALUE"""),4.9092408E7)</f>
        <v>49092408</v>
      </c>
      <c r="G338" s="44">
        <f>IFERROR(__xludf.DUMMYFUNCTION("""COMPUTED_VALUE"""),39746.0)</f>
        <v>39746</v>
      </c>
      <c r="H338" s="45"/>
      <c r="I338" s="45"/>
      <c r="J338" s="45" t="str">
        <f>IFERROR(__xludf.DUMMYFUNCTION("""COMPUTED_VALUE"""),"scuderisantino39@gmail.com")</f>
        <v>scuderisantino39@gmail.com</v>
      </c>
      <c r="K338" s="45" t="str">
        <f>IFERROR(__xludf.DUMMYFUNCTION("""COMPUTED_VALUE"""),"Masculino")</f>
        <v>Masculino</v>
      </c>
      <c r="L338" s="45" t="str">
        <f>IFERROR(__xludf.DUMMYFUNCTION("""COMPUTED_VALUE"""),"YCO")</f>
        <v>YCO</v>
      </c>
      <c r="M338" s="45"/>
      <c r="N338" s="7" t="str">
        <f>IFERROR(__xludf.DUMMYFUNCTION("""COMPUTED_VALUE"""),"ILCA 6")</f>
        <v>ILCA 6</v>
      </c>
      <c r="O338" s="7"/>
      <c r="P338" s="7" t="str">
        <f>IFERROR(__xludf.DUMMYFUNCTION("""COMPUTED_VALUE"""),"49 092 408")</f>
        <v>49 092 408</v>
      </c>
      <c r="Q338" s="45"/>
      <c r="R338" s="45"/>
      <c r="S338" s="45"/>
      <c r="T338" s="45"/>
      <c r="U338" s="45"/>
      <c r="V338" s="45"/>
      <c r="W338" s="45"/>
      <c r="X338" s="47"/>
      <c r="Y338" s="7" t="str">
        <f>IFERROR(__xludf.DUMMYFUNCTION("""COMPUTED_VALUE"""),"Si")</f>
        <v>Si</v>
      </c>
      <c r="Z338" s="45" t="str">
        <f>IFERROR(__xludf.DUMMYFUNCTION("""COMPUTED_VALUE"""),"Acepto")</f>
        <v>Acepto</v>
      </c>
      <c r="AA338" s="45" t="str">
        <f>IFERROR(__xludf.DUMMYFUNCTION("""COMPUTED_VALUE"""),"Pendiente")</f>
        <v>Pendiente</v>
      </c>
      <c r="AB338" s="45"/>
      <c r="AC338" s="7"/>
      <c r="AD338" s="7"/>
      <c r="AE338" s="7" t="str">
        <f>IFERROR(__xludf.DUMMYFUNCTION("""COMPUTED_VALUE"""),"OK")</f>
        <v>OK</v>
      </c>
      <c r="AF338" s="7"/>
    </row>
    <row r="339">
      <c r="A339" s="42">
        <f>IFERROR(__xludf.DUMMYFUNCTION("""COMPUTED_VALUE"""),45541.312523518514)</f>
        <v>45541.31252</v>
      </c>
      <c r="B339" s="43" t="str">
        <f>IFERROR(__xludf.DUMMYFUNCTION("""COMPUTED_VALUE"""),"Felipe ")</f>
        <v>Felipe </v>
      </c>
      <c r="C339" s="43" t="str">
        <f>IFERROR(__xludf.DUMMYFUNCTION("""COMPUTED_VALUE"""),"Blas")</f>
        <v>Blas</v>
      </c>
      <c r="D339" s="43" t="str">
        <f>IFERROR(__xludf.DUMMYFUNCTION("""COMPUTED_VALUE"""),"San Pedro ")</f>
        <v>San Pedro </v>
      </c>
      <c r="E339" s="45" t="str">
        <f>IFERROR(__xludf.DUMMYFUNCTION("""COMPUTED_VALUE"""),"ARG")</f>
        <v>ARG</v>
      </c>
      <c r="F339" s="45">
        <f>IFERROR(__xludf.DUMMYFUNCTION("""COMPUTED_VALUE"""),5.2003396E7)</f>
        <v>52003396</v>
      </c>
      <c r="G339" s="44">
        <f>IFERROR(__xludf.DUMMYFUNCTION("""COMPUTED_VALUE"""),40952.0)</f>
        <v>40952</v>
      </c>
      <c r="H339" s="45">
        <f>IFERROR(__xludf.DUMMYFUNCTION("""COMPUTED_VALUE"""),3.329640146E9)</f>
        <v>3329640146</v>
      </c>
      <c r="I339" s="45">
        <f>IFERROR(__xludf.DUMMYFUNCTION("""COMPUTED_VALUE"""),3.329566454E9)</f>
        <v>3329566454</v>
      </c>
      <c r="J339" s="45" t="str">
        <f>IFERROR(__xludf.DUMMYFUNCTION("""COMPUTED_VALUE"""),"marucenturion1989@gmail.com")</f>
        <v>marucenturion1989@gmail.com</v>
      </c>
      <c r="K339" s="45" t="str">
        <f>IFERROR(__xludf.DUMMYFUNCTION("""COMPUTED_VALUE"""),"Masculino")</f>
        <v>Masculino</v>
      </c>
      <c r="L339" s="45" t="str">
        <f>IFERROR(__xludf.DUMMYFUNCTION("""COMPUTED_VALUE"""),"CNSP")</f>
        <v>CNSP</v>
      </c>
      <c r="M339" s="45" t="str">
        <f>IFERROR(__xludf.DUMMYFUNCTION("""COMPUTED_VALUE"""),"Interior (Optimist)")</f>
        <v>Interior (Optimist)</v>
      </c>
      <c r="N339" s="7" t="str">
        <f>IFERROR(__xludf.DUMMYFUNCTION("""COMPUTED_VALUE"""),"OPTIMIST TIMONELES")</f>
        <v>OPTIMIST TIMONELES</v>
      </c>
      <c r="O339" s="7"/>
      <c r="P339" s="7">
        <f>IFERROR(__xludf.DUMMYFUNCTION("""COMPUTED_VALUE"""),4152.0)</f>
        <v>4152</v>
      </c>
      <c r="Q339" s="45"/>
      <c r="R339" s="45"/>
      <c r="S339" s="45"/>
      <c r="T339" s="45"/>
      <c r="U339" s="45"/>
      <c r="V339" s="45"/>
      <c r="W339" s="45"/>
      <c r="X339" s="47" t="str">
        <f>IFERROR(__xludf.DUMMYFUNCTION("""COMPUTED_VALUE"""),"Ioma")</f>
        <v>Ioma</v>
      </c>
      <c r="Y339" s="7" t="str">
        <f>IFERROR(__xludf.DUMMYFUNCTION("""COMPUTED_VALUE"""),"Si")</f>
        <v>Si</v>
      </c>
      <c r="Z339" s="45" t="str">
        <f>IFERROR(__xludf.DUMMYFUNCTION("""COMPUTED_VALUE"""),"Acepto")</f>
        <v>Acepto</v>
      </c>
      <c r="AA339" s="45" t="str">
        <f>IFERROR(__xludf.DUMMYFUNCTION("""COMPUTED_VALUE"""),"Terminado")</f>
        <v>Terminado</v>
      </c>
      <c r="AB339" s="45">
        <f>IFERROR(__xludf.DUMMYFUNCTION("""COMPUTED_VALUE"""),42500.0)</f>
        <v>42500</v>
      </c>
      <c r="AC339" s="7">
        <f>IFERROR(__xludf.DUMMYFUNCTION("""COMPUTED_VALUE"""),205543.0)</f>
        <v>205543</v>
      </c>
      <c r="AD339" s="7" t="str">
        <f>IFERROR(__xludf.DUMMYFUNCTION("""COMPUTED_VALUE"""),"TRF 06-09")</f>
        <v>TRF 06-09</v>
      </c>
      <c r="AE339" s="7" t="str">
        <f>IFERROR(__xludf.DUMMYFUNCTION("""COMPUTED_VALUE"""),"OK")</f>
        <v>OK</v>
      </c>
      <c r="AF339" s="7"/>
    </row>
    <row r="340">
      <c r="A340" s="42">
        <f>IFERROR(__xludf.DUMMYFUNCTION("""COMPUTED_VALUE"""),45541.40578393519)</f>
        <v>45541.40578</v>
      </c>
      <c r="B340" s="43" t="str">
        <f>IFERROR(__xludf.DUMMYFUNCTION("""COMPUTED_VALUE"""),"Thomas ")</f>
        <v>Thomas </v>
      </c>
      <c r="C340" s="43" t="str">
        <f>IFERROR(__xludf.DUMMYFUNCTION("""COMPUTED_VALUE"""),"Deho")</f>
        <v>Deho</v>
      </c>
      <c r="D340" s="43" t="str">
        <f>IFERROR(__xludf.DUMMYFUNCTION("""COMPUTED_VALUE"""),"Buenos Aires")</f>
        <v>Buenos Aires</v>
      </c>
      <c r="E340" s="45" t="str">
        <f>IFERROR(__xludf.DUMMYFUNCTION("""COMPUTED_VALUE"""),"ARG")</f>
        <v>ARG</v>
      </c>
      <c r="F340" s="45">
        <f>IFERROR(__xludf.DUMMYFUNCTION("""COMPUTED_VALUE"""),4.6958758E7)</f>
        <v>46958758</v>
      </c>
      <c r="G340" s="44">
        <f>IFERROR(__xludf.DUMMYFUNCTION("""COMPUTED_VALUE"""),38600.0)</f>
        <v>38600</v>
      </c>
      <c r="H340" s="45">
        <f>IFERROR(__xludf.DUMMYFUNCTION("""COMPUTED_VALUE"""),1.169403645E9)</f>
        <v>1169403645</v>
      </c>
      <c r="I340" s="45">
        <f>IFERROR(__xludf.DUMMYFUNCTION("""COMPUTED_VALUE"""),1.160965644E9)</f>
        <v>1160965644</v>
      </c>
      <c r="J340" s="45" t="str">
        <f>IFERROR(__xludf.DUMMYFUNCTION("""COMPUTED_VALUE"""),"thomasdeho@gmail.com")</f>
        <v>thomasdeho@gmail.com</v>
      </c>
      <c r="K340" s="45" t="str">
        <f>IFERROR(__xludf.DUMMYFUNCTION("""COMPUTED_VALUE"""),"Masculino")</f>
        <v>Masculino</v>
      </c>
      <c r="L340" s="45" t="str">
        <f>IFERROR(__xludf.DUMMYFUNCTION("""COMPUTED_VALUE"""),"CNA")</f>
        <v>CNA</v>
      </c>
      <c r="M340" s="45" t="str">
        <f>IFERROR(__xludf.DUMMYFUNCTION("""COMPUTED_VALUE"""),"Master (ILCA)")</f>
        <v>Master (ILCA)</v>
      </c>
      <c r="N340" s="7" t="str">
        <f>IFERROR(__xludf.DUMMYFUNCTION("""COMPUTED_VALUE"""),"ILCA 7")</f>
        <v>ILCA 7</v>
      </c>
      <c r="O340" s="7"/>
      <c r="P340" s="7">
        <f>IFERROR(__xludf.DUMMYFUNCTION("""COMPUTED_VALUE"""),711.0)</f>
        <v>711</v>
      </c>
      <c r="Q340" s="45"/>
      <c r="R340" s="45"/>
      <c r="S340" s="45"/>
      <c r="T340" s="45"/>
      <c r="U340" s="45"/>
      <c r="V340" s="45"/>
      <c r="W340" s="45"/>
      <c r="X340" s="47"/>
      <c r="Y340" s="7" t="str">
        <f>IFERROR(__xludf.DUMMYFUNCTION("""COMPUTED_VALUE"""),"No")</f>
        <v>No</v>
      </c>
      <c r="Z340" s="45" t="str">
        <f>IFERROR(__xludf.DUMMYFUNCTION("""COMPUTED_VALUE"""),"Acepto")</f>
        <v>Acepto</v>
      </c>
      <c r="AA340" s="45" t="str">
        <f>IFERROR(__xludf.DUMMYFUNCTION("""COMPUTED_VALUE"""),"Terminado")</f>
        <v>Terminado</v>
      </c>
      <c r="AB340" s="45">
        <f>IFERROR(__xludf.DUMMYFUNCTION("""COMPUTED_VALUE"""),45000.0)</f>
        <v>45000</v>
      </c>
      <c r="AC340" s="7">
        <f>IFERROR(__xludf.DUMMYFUNCTION("""COMPUTED_VALUE"""),205576.0)</f>
        <v>205576</v>
      </c>
      <c r="AD340" s="7" t="str">
        <f>IFERROR(__xludf.DUMMYFUNCTION("""COMPUTED_VALUE"""),"TRF 07-09")</f>
        <v>TRF 07-09</v>
      </c>
      <c r="AE340" s="7" t="str">
        <f>IFERROR(__xludf.DUMMYFUNCTION("""COMPUTED_VALUE"""),"No Corresp")</f>
        <v>No Corresp</v>
      </c>
      <c r="AF340" s="7"/>
    </row>
    <row r="341">
      <c r="A341" s="42">
        <f>IFERROR(__xludf.DUMMYFUNCTION("""COMPUTED_VALUE"""),45541.41551767361)</f>
        <v>45541.41552</v>
      </c>
      <c r="B341" s="43" t="str">
        <f>IFERROR(__xludf.DUMMYFUNCTION("""COMPUTED_VALUE"""),"Marcos ")</f>
        <v>Marcos </v>
      </c>
      <c r="C341" s="43" t="str">
        <f>IFERROR(__xludf.DUMMYFUNCTION("""COMPUTED_VALUE"""),"Lewis")</f>
        <v>Lewis</v>
      </c>
      <c r="D341" s="43" t="str">
        <f>IFERROR(__xludf.DUMMYFUNCTION("""COMPUTED_VALUE"""),"Rosario")</f>
        <v>Rosario</v>
      </c>
      <c r="E341" s="45" t="str">
        <f>IFERROR(__xludf.DUMMYFUNCTION("""COMPUTED_VALUE"""),"ARG")</f>
        <v>ARG</v>
      </c>
      <c r="F341" s="45">
        <f>IFERROR(__xludf.DUMMYFUNCTION("""COMPUTED_VALUE"""),3.0048496E7)</f>
        <v>30048496</v>
      </c>
      <c r="G341" s="44">
        <f>IFERROR(__xludf.DUMMYFUNCTION("""COMPUTED_VALUE"""),30289.0)</f>
        <v>30289</v>
      </c>
      <c r="H341" s="45">
        <f>IFERROR(__xludf.DUMMYFUNCTION("""COMPUTED_VALUE"""),3.416192647E9)</f>
        <v>3416192647</v>
      </c>
      <c r="I341" s="45"/>
      <c r="J341" s="45" t="str">
        <f>IFERROR(__xludf.DUMMYFUNCTION("""COMPUTED_VALUE"""),"hattansailingteam@gmail.com")</f>
        <v>hattansailingteam@gmail.com</v>
      </c>
      <c r="K341" s="45" t="str">
        <f>IFERROR(__xludf.DUMMYFUNCTION("""COMPUTED_VALUE"""),"Masculino")</f>
        <v>Masculino</v>
      </c>
      <c r="L341" s="45" t="str">
        <f>IFERROR(__xludf.DUMMYFUNCTION("""COMPUTED_VALUE"""),"CVR")</f>
        <v>CVR</v>
      </c>
      <c r="M341" s="45" t="str">
        <f>IFERROR(__xludf.DUMMYFUNCTION("""COMPUTED_VALUE"""),"corinthians J70")</f>
        <v>corinthians J70</v>
      </c>
      <c r="N341" s="7" t="str">
        <f>IFERROR(__xludf.DUMMYFUNCTION("""COMPUTED_VALUE"""),"J 70")</f>
        <v>J 70</v>
      </c>
      <c r="O341" s="7">
        <f>IFERROR(__xludf.DUMMYFUNCTION("""COMPUTED_VALUE"""),47.0)</f>
        <v>47</v>
      </c>
      <c r="P341" s="7">
        <f>IFERROR(__xludf.DUMMYFUNCTION("""COMPUTED_VALUE"""),1559.0)</f>
        <v>1559</v>
      </c>
      <c r="Q341" s="45" t="str">
        <f>IFERROR(__xludf.DUMMYFUNCTION("""COMPUTED_VALUE"""),"HATTAN")</f>
        <v>HATTAN</v>
      </c>
      <c r="R341" s="45" t="str">
        <f>IFERROR(__xludf.DUMMYFUNCTION("""COMPUTED_VALUE"""),"MARCOS LEWIS")</f>
        <v>MARCOS LEWIS</v>
      </c>
      <c r="S341" s="45" t="str">
        <f>IFERROR(__xludf.DUMMYFUNCTION("""COMPUTED_VALUE"""),"Santiago Duncan")</f>
        <v>Santiago Duncan</v>
      </c>
      <c r="T341" s="45" t="str">
        <f>IFERROR(__xludf.DUMMYFUNCTION("""COMPUTED_VALUE"""),"Facundo Campaza")</f>
        <v>Facundo Campaza</v>
      </c>
      <c r="U341" s="45" t="str">
        <f>IFERROR(__xludf.DUMMYFUNCTION("""COMPUTED_VALUE"""),"Elias Dalli")</f>
        <v>Elias Dalli</v>
      </c>
      <c r="V341" s="45" t="str">
        <f>IFERROR(__xludf.DUMMYFUNCTION("""COMPUTED_VALUE"""),"Igor")</f>
        <v>Igor</v>
      </c>
      <c r="W341" s="45"/>
      <c r="X341" s="47" t="str">
        <f>IFERROR(__xludf.DUMMYFUNCTION("""COMPUTED_VALUE"""),"OSDE")</f>
        <v>OSDE</v>
      </c>
      <c r="Y341" s="7" t="str">
        <f>IFERROR(__xludf.DUMMYFUNCTION("""COMPUTED_VALUE"""),"No")</f>
        <v>No</v>
      </c>
      <c r="Z341" s="45" t="str">
        <f>IFERROR(__xludf.DUMMYFUNCTION("""COMPUTED_VALUE"""),"Acepto")</f>
        <v>Acepto</v>
      </c>
      <c r="AA341" s="45" t="str">
        <f>IFERROR(__xludf.DUMMYFUNCTION("""COMPUTED_VALUE"""),"Terminado")</f>
        <v>Terminado</v>
      </c>
      <c r="AB341" s="45">
        <f>IFERROR(__xludf.DUMMYFUNCTION("""COMPUTED_VALUE"""),72000.0)</f>
        <v>72000</v>
      </c>
      <c r="AC341" s="7">
        <f>IFERROR(__xludf.DUMMYFUNCTION("""COMPUTED_VALUE"""),205536.0)</f>
        <v>205536</v>
      </c>
      <c r="AD341" s="7" t="str">
        <f>IFERROR(__xludf.DUMMYFUNCTION("""COMPUTED_VALUE"""),"TRF 06-09")</f>
        <v>TRF 06-09</v>
      </c>
      <c r="AE341" s="7" t="str">
        <f>IFERROR(__xludf.DUMMYFUNCTION("""COMPUTED_VALUE"""),"No Corresp")</f>
        <v>No Corresp</v>
      </c>
      <c r="AF341" s="7"/>
    </row>
    <row r="342">
      <c r="A342" s="42">
        <f>IFERROR(__xludf.DUMMYFUNCTION("""COMPUTED_VALUE"""),45541.45556405092)</f>
        <v>45541.45556</v>
      </c>
      <c r="B342" s="43" t="str">
        <f>IFERROR(__xludf.DUMMYFUNCTION("""COMPUTED_VALUE"""),"Andres")</f>
        <v>Andres</v>
      </c>
      <c r="C342" s="43" t="str">
        <f>IFERROR(__xludf.DUMMYFUNCTION("""COMPUTED_VALUE"""),"Grasso")</f>
        <v>Grasso</v>
      </c>
      <c r="D342" s="43" t="str">
        <f>IFERROR(__xludf.DUMMYFUNCTION("""COMPUTED_VALUE"""),"CABA")</f>
        <v>CABA</v>
      </c>
      <c r="E342" s="45" t="str">
        <f>IFERROR(__xludf.DUMMYFUNCTION("""COMPUTED_VALUE"""),"ARG")</f>
        <v>ARG</v>
      </c>
      <c r="F342" s="45">
        <f>IFERROR(__xludf.DUMMYFUNCTION("""COMPUTED_VALUE"""),2.9435724E7)</f>
        <v>29435724</v>
      </c>
      <c r="G342" s="44">
        <f>IFERROR(__xludf.DUMMYFUNCTION("""COMPUTED_VALUE"""),30036.0)</f>
        <v>30036</v>
      </c>
      <c r="H342" s="45">
        <f>IFERROR(__xludf.DUMMYFUNCTION("""COMPUTED_VALUE"""),1.151521958E9)</f>
        <v>1151521958</v>
      </c>
      <c r="I342" s="45">
        <f>IFERROR(__xludf.DUMMYFUNCTION("""COMPUTED_VALUE"""),1.151521958E9)</f>
        <v>1151521958</v>
      </c>
      <c r="J342" s="45" t="str">
        <f>IFERROR(__xludf.DUMMYFUNCTION("""COMPUTED_VALUE"""),"grasso.andres@gmail.com")</f>
        <v>grasso.andres@gmail.com</v>
      </c>
      <c r="K342" s="45" t="str">
        <f>IFERROR(__xludf.DUMMYFUNCTION("""COMPUTED_VALUE"""),"Masculino")</f>
        <v>Masculino</v>
      </c>
      <c r="L342" s="45" t="str">
        <f>IFERROR(__xludf.DUMMYFUNCTION("""COMPUTED_VALUE"""),"CPNLB")</f>
        <v>CPNLB</v>
      </c>
      <c r="M342" s="45" t="str">
        <f>IFERROR(__xludf.DUMMYFUNCTION("""COMPUTED_VALUE"""),"GRUMETE")</f>
        <v>GRUMETE</v>
      </c>
      <c r="N342" s="7" t="str">
        <f>IFERROR(__xludf.DUMMYFUNCTION("""COMPUTED_VALUE"""),"GRUMETE")</f>
        <v>GRUMETE</v>
      </c>
      <c r="O342" s="7"/>
      <c r="P342" s="7">
        <f>IFERROR(__xludf.DUMMYFUNCTION("""COMPUTED_VALUE"""),84.0)</f>
        <v>84</v>
      </c>
      <c r="Q342" s="45" t="str">
        <f>IFERROR(__xludf.DUMMYFUNCTION("""COMPUTED_VALUE"""),"PETERIBI")</f>
        <v>PETERIBI</v>
      </c>
      <c r="R342" s="45"/>
      <c r="S342" s="45"/>
      <c r="T342" s="45"/>
      <c r="U342" s="45"/>
      <c r="V342" s="45"/>
      <c r="W342" s="45"/>
      <c r="X342" s="47" t="str">
        <f>IFERROR(__xludf.DUMMYFUNCTION("""COMPUTED_VALUE"""),"MEDICUS/1069739.002")</f>
        <v>MEDICUS/1069739.002</v>
      </c>
      <c r="Y342" s="7" t="str">
        <f>IFERROR(__xludf.DUMMYFUNCTION("""COMPUTED_VALUE"""),"No")</f>
        <v>No</v>
      </c>
      <c r="Z342" s="45" t="str">
        <f>IFERROR(__xludf.DUMMYFUNCTION("""COMPUTED_VALUE"""),"Acepto")</f>
        <v>Acepto</v>
      </c>
      <c r="AA342" s="45" t="str">
        <f>IFERROR(__xludf.DUMMYFUNCTION("""COMPUTED_VALUE"""),"Pendiente")</f>
        <v>Pendiente</v>
      </c>
      <c r="AB342" s="45">
        <f>IFERROR(__xludf.DUMMYFUNCTION("""COMPUTED_VALUE"""),50000.0)</f>
        <v>50000</v>
      </c>
      <c r="AC342" s="7">
        <f>IFERROR(__xludf.DUMMYFUNCTION("""COMPUTED_VALUE"""),205692.0)</f>
        <v>205692</v>
      </c>
      <c r="AD342" s="7" t="str">
        <f>IFERROR(__xludf.DUMMYFUNCTION("""COMPUTED_VALUE"""),"TRF 11-09")</f>
        <v>TRF 11-09</v>
      </c>
      <c r="AE342" s="7" t="str">
        <f>IFERROR(__xludf.DUMMYFUNCTION("""COMPUTED_VALUE"""),"No Corresp")</f>
        <v>No Corresp</v>
      </c>
      <c r="AF342" s="7"/>
    </row>
    <row r="343">
      <c r="A343" s="42">
        <f>IFERROR(__xludf.DUMMYFUNCTION("""COMPUTED_VALUE"""),45541.470252430554)</f>
        <v>45541.47025</v>
      </c>
      <c r="B343" s="43" t="str">
        <f>IFERROR(__xludf.DUMMYFUNCTION("""COMPUTED_VALUE"""),"Santiago")</f>
        <v>Santiago</v>
      </c>
      <c r="C343" s="43" t="str">
        <f>IFERROR(__xludf.DUMMYFUNCTION("""COMPUTED_VALUE"""),"Fabris")</f>
        <v>Fabris</v>
      </c>
      <c r="D343" s="43" t="str">
        <f>IFERROR(__xludf.DUMMYFUNCTION("""COMPUTED_VALUE"""),"Buenos Aires")</f>
        <v>Buenos Aires</v>
      </c>
      <c r="E343" s="45" t="str">
        <f>IFERROR(__xludf.DUMMYFUNCTION("""COMPUTED_VALUE"""),"ARG")</f>
        <v>ARG</v>
      </c>
      <c r="F343" s="45">
        <f>IFERROR(__xludf.DUMMYFUNCTION("""COMPUTED_VALUE"""),5.0416545E7)</f>
        <v>50416545</v>
      </c>
      <c r="G343" s="44">
        <f>IFERROR(__xludf.DUMMYFUNCTION("""COMPUTED_VALUE"""),40367.0)</f>
        <v>40367</v>
      </c>
      <c r="H343" s="45" t="str">
        <f>IFERROR(__xludf.DUMMYFUNCTION("""COMPUTED_VALUE"""),"+5491132008803")</f>
        <v>+5491132008803</v>
      </c>
      <c r="I343" s="45" t="str">
        <f>IFERROR(__xludf.DUMMYFUNCTION("""COMPUTED_VALUE"""),"+5491132008803")</f>
        <v>+5491132008803</v>
      </c>
      <c r="J343" s="45" t="str">
        <f>IFERROR(__xludf.DUMMYFUNCTION("""COMPUTED_VALUE"""),"german0669@gmail.com")</f>
        <v>german0669@gmail.com</v>
      </c>
      <c r="K343" s="45" t="str">
        <f>IFERROR(__xludf.DUMMYFUNCTION("""COMPUTED_VALUE"""),"Masculino")</f>
        <v>Masculino</v>
      </c>
      <c r="L343" s="45" t="str">
        <f>IFERROR(__xludf.DUMMYFUNCTION("""COMPUTED_VALUE"""),"YCCN")</f>
        <v>YCCN</v>
      </c>
      <c r="M343" s="45" t="str">
        <f>IFERROR(__xludf.DUMMYFUNCTION("""COMPUTED_VALUE"""),"Optimist - Timonel")</f>
        <v>Optimist - Timonel</v>
      </c>
      <c r="N343" s="7" t="str">
        <f>IFERROR(__xludf.DUMMYFUNCTION("""COMPUTED_VALUE"""),"OPTIMIST TIMONELES")</f>
        <v>OPTIMIST TIMONELES</v>
      </c>
      <c r="O343" s="7"/>
      <c r="P343" s="7">
        <f>IFERROR(__xludf.DUMMYFUNCTION("""COMPUTED_VALUE"""),3642.0)</f>
        <v>3642</v>
      </c>
      <c r="Q343" s="45"/>
      <c r="R343" s="45"/>
      <c r="S343" s="45"/>
      <c r="T343" s="45"/>
      <c r="U343" s="45"/>
      <c r="V343" s="45"/>
      <c r="W343" s="45"/>
      <c r="X343" s="47" t="str">
        <f>IFERROR(__xludf.DUMMYFUNCTION("""COMPUTED_VALUE"""),"OSDE")</f>
        <v>OSDE</v>
      </c>
      <c r="Y343" s="7" t="str">
        <f>IFERROR(__xludf.DUMMYFUNCTION("""COMPUTED_VALUE"""),"No")</f>
        <v>No</v>
      </c>
      <c r="Z343" s="45" t="str">
        <f>IFERROR(__xludf.DUMMYFUNCTION("""COMPUTED_VALUE"""),"Acepto")</f>
        <v>Acepto</v>
      </c>
      <c r="AA343" s="45" t="str">
        <f>IFERROR(__xludf.DUMMYFUNCTION("""COMPUTED_VALUE"""),"Terminado")</f>
        <v>Terminado</v>
      </c>
      <c r="AB343" s="45">
        <f>IFERROR(__xludf.DUMMYFUNCTION("""COMPUTED_VALUE"""),50000.0)</f>
        <v>50000</v>
      </c>
      <c r="AC343" s="7">
        <f>IFERROR(__xludf.DUMMYFUNCTION("""COMPUTED_VALUE"""),205534.0)</f>
        <v>205534</v>
      </c>
      <c r="AD343" s="7" t="str">
        <f>IFERROR(__xludf.DUMMYFUNCTION("""COMPUTED_VALUE"""),"TRF 06-09")</f>
        <v>TRF 06-09</v>
      </c>
      <c r="AE343" s="7" t="str">
        <f>IFERROR(__xludf.DUMMYFUNCTION("""COMPUTED_VALUE"""),"OK")</f>
        <v>OK</v>
      </c>
      <c r="AF343" s="7"/>
    </row>
    <row r="344">
      <c r="A344" s="42">
        <f>IFERROR(__xludf.DUMMYFUNCTION("""COMPUTED_VALUE"""),45541.49641850694)</f>
        <v>45541.49642</v>
      </c>
      <c r="B344" s="43" t="str">
        <f>IFERROR(__xludf.DUMMYFUNCTION("""COMPUTED_VALUE"""),"Alma ")</f>
        <v>Alma </v>
      </c>
      <c r="C344" s="43" t="str">
        <f>IFERROR(__xludf.DUMMYFUNCTION("""COMPUTED_VALUE"""),"Plou Peñafort")</f>
        <v>Plou Peñafort</v>
      </c>
      <c r="D344" s="43" t="str">
        <f>IFERROR(__xludf.DUMMYFUNCTION("""COMPUTED_VALUE"""),"San Isidro")</f>
        <v>San Isidro</v>
      </c>
      <c r="E344" s="45" t="str">
        <f>IFERROR(__xludf.DUMMYFUNCTION("""COMPUTED_VALUE"""),"ARG")</f>
        <v>ARG</v>
      </c>
      <c r="F344" s="45">
        <f>IFERROR(__xludf.DUMMYFUNCTION("""COMPUTED_VALUE"""),5.106968E7)</f>
        <v>51069680</v>
      </c>
      <c r="G344" s="44">
        <f>IFERROR(__xludf.DUMMYFUNCTION("""COMPUTED_VALUE"""),40630.0)</f>
        <v>40630</v>
      </c>
      <c r="H344" s="45">
        <f>IFERROR(__xludf.DUMMYFUNCTION("""COMPUTED_VALUE"""),1.167024533E9)</f>
        <v>1167024533</v>
      </c>
      <c r="I344" s="45">
        <f>IFERROR(__xludf.DUMMYFUNCTION("""COMPUTED_VALUE"""),1.167024533E9)</f>
        <v>1167024533</v>
      </c>
      <c r="J344" s="45" t="str">
        <f>IFERROR(__xludf.DUMMYFUNCTION("""COMPUTED_VALUE"""),"lilipenafort76@gmail.com ")</f>
        <v>lilipenafort76@gmail.com </v>
      </c>
      <c r="K344" s="45" t="str">
        <f>IFERROR(__xludf.DUMMYFUNCTION("""COMPUTED_VALUE"""),"Femenino")</f>
        <v>Femenino</v>
      </c>
      <c r="L344" s="45" t="str">
        <f>IFERROR(__xludf.DUMMYFUNCTION("""COMPUTED_VALUE"""),"CPNLB")</f>
        <v>CPNLB</v>
      </c>
      <c r="M344" s="45" t="str">
        <f>IFERROR(__xludf.DUMMYFUNCTION("""COMPUTED_VALUE"""),"Femenino")</f>
        <v>Femenino</v>
      </c>
      <c r="N344" s="7" t="str">
        <f>IFERROR(__xludf.DUMMYFUNCTION("""COMPUTED_VALUE"""),"OPTIMIST PRINCIPIANTES")</f>
        <v>OPTIMIST PRINCIPIANTES</v>
      </c>
      <c r="O344" s="7"/>
      <c r="P344" s="7">
        <f>IFERROR(__xludf.DUMMYFUNCTION("""COMPUTED_VALUE"""),18910.0)</f>
        <v>18910</v>
      </c>
      <c r="Q344" s="45"/>
      <c r="R344" s="45" t="str">
        <f>IFERROR(__xludf.DUMMYFUNCTION("""COMPUTED_VALUE"""),"Alma Plou Peñafort")</f>
        <v>Alma Plou Peñafort</v>
      </c>
      <c r="S344" s="45"/>
      <c r="T344" s="45"/>
      <c r="U344" s="45"/>
      <c r="V344" s="45"/>
      <c r="W344" s="45"/>
      <c r="X344" s="47" t="str">
        <f>IFERROR(__xludf.DUMMYFUNCTION("""COMPUTED_VALUE"""),"OSDE")</f>
        <v>OSDE</v>
      </c>
      <c r="Y344" s="7" t="str">
        <f>IFERROR(__xludf.DUMMYFUNCTION("""COMPUTED_VALUE"""),"Si")</f>
        <v>Si</v>
      </c>
      <c r="Z344" s="45" t="str">
        <f>IFERROR(__xludf.DUMMYFUNCTION("""COMPUTED_VALUE"""),"Acepto")</f>
        <v>Acepto</v>
      </c>
      <c r="AA344" s="45" t="str">
        <f>IFERROR(__xludf.DUMMYFUNCTION("""COMPUTED_VALUE"""),"Terminado")</f>
        <v>Terminado</v>
      </c>
      <c r="AB344" s="45">
        <f>IFERROR(__xludf.DUMMYFUNCTION("""COMPUTED_VALUE"""),50000.0)</f>
        <v>50000</v>
      </c>
      <c r="AC344" s="7">
        <f>IFERROR(__xludf.DUMMYFUNCTION("""COMPUTED_VALUE"""),205670.0)</f>
        <v>205670</v>
      </c>
      <c r="AD344" s="7" t="str">
        <f>IFERROR(__xludf.DUMMYFUNCTION("""COMPUTED_VALUE"""),"TRF 10-09")</f>
        <v>TRF 10-09</v>
      </c>
      <c r="AE344" s="7" t="str">
        <f>IFERROR(__xludf.DUMMYFUNCTION("""COMPUTED_VALUE"""),"OK")</f>
        <v>OK</v>
      </c>
      <c r="AF344" s="7" t="str">
        <f>IFERROR(__xludf.DUMMYFUNCTION("""COMPUTED_VALUE"""),"SI")</f>
        <v>SI</v>
      </c>
    </row>
    <row r="345">
      <c r="A345" s="42">
        <f>IFERROR(__xludf.DUMMYFUNCTION("""COMPUTED_VALUE"""),45541.61351056713)</f>
        <v>45541.61351</v>
      </c>
      <c r="B345" s="43" t="str">
        <f>IFERROR(__xludf.DUMMYFUNCTION("""COMPUTED_VALUE"""),"Tomás ")</f>
        <v>Tomás </v>
      </c>
      <c r="C345" s="43" t="str">
        <f>IFERROR(__xludf.DUMMYFUNCTION("""COMPUTED_VALUE"""),"Calvo")</f>
        <v>Calvo</v>
      </c>
      <c r="D345" s="43" t="str">
        <f>IFERROR(__xludf.DUMMYFUNCTION("""COMPUTED_VALUE"""),"Victoria")</f>
        <v>Victoria</v>
      </c>
      <c r="E345" s="45" t="str">
        <f>IFERROR(__xludf.DUMMYFUNCTION("""COMPUTED_VALUE"""),"ARG")</f>
        <v>ARG</v>
      </c>
      <c r="F345" s="45">
        <f>IFERROR(__xludf.DUMMYFUNCTION("""COMPUTED_VALUE"""),5.1431844E7)</f>
        <v>51431844</v>
      </c>
      <c r="G345" s="44">
        <f>IFERROR(__xludf.DUMMYFUNCTION("""COMPUTED_VALUE"""),40828.0)</f>
        <v>40828</v>
      </c>
      <c r="H345" s="45">
        <f>IFERROR(__xludf.DUMMYFUNCTION("""COMPUTED_VALUE"""),9.1159278173E10)</f>
        <v>91159278173</v>
      </c>
      <c r="I345" s="45">
        <f>IFERROR(__xludf.DUMMYFUNCTION("""COMPUTED_VALUE"""),9.1159278173E10)</f>
        <v>91159278173</v>
      </c>
      <c r="J345" s="45" t="str">
        <f>IFERROR(__xludf.DUMMYFUNCTION("""COMPUTED_VALUE"""),"sabhidalgo21@gmail.com")</f>
        <v>sabhidalgo21@gmail.com</v>
      </c>
      <c r="K345" s="45" t="str">
        <f>IFERROR(__xludf.DUMMYFUNCTION("""COMPUTED_VALUE"""),"Masculino")</f>
        <v>Masculino</v>
      </c>
      <c r="L345" s="45" t="str">
        <f>IFERROR(__xludf.DUMMYFUNCTION("""COMPUTED_VALUE"""),"CVB")</f>
        <v>CVB</v>
      </c>
      <c r="M345" s="45" t="str">
        <f>IFERROR(__xludf.DUMMYFUNCTION("""COMPUTED_VALUE"""),"Interior (Optimist)")</f>
        <v>Interior (Optimist)</v>
      </c>
      <c r="N345" s="7" t="str">
        <f>IFERROR(__xludf.DUMMYFUNCTION("""COMPUTED_VALUE"""),"OPTIMIST TIMONELES")</f>
        <v>OPTIMIST TIMONELES</v>
      </c>
      <c r="O345" s="7"/>
      <c r="P345" s="7">
        <f>IFERROR(__xludf.DUMMYFUNCTION("""COMPUTED_VALUE"""),4133.0)</f>
        <v>4133</v>
      </c>
      <c r="Q345" s="45"/>
      <c r="R345" s="45"/>
      <c r="S345" s="45"/>
      <c r="T345" s="45"/>
      <c r="U345" s="45"/>
      <c r="V345" s="45"/>
      <c r="W345" s="45"/>
      <c r="X345" s="47" t="str">
        <f>IFERROR(__xludf.DUMMYFUNCTION("""COMPUTED_VALUE"""),"61 790187 1 02")</f>
        <v>61 790187 1 02</v>
      </c>
      <c r="Y345" s="7" t="str">
        <f>IFERROR(__xludf.DUMMYFUNCTION("""COMPUTED_VALUE"""),"Si")</f>
        <v>Si</v>
      </c>
      <c r="Z345" s="45" t="str">
        <f>IFERROR(__xludf.DUMMYFUNCTION("""COMPUTED_VALUE"""),"Acepto")</f>
        <v>Acepto</v>
      </c>
      <c r="AA345" s="45" t="str">
        <f>IFERROR(__xludf.DUMMYFUNCTION("""COMPUTED_VALUE"""),"Terminado")</f>
        <v>Terminado</v>
      </c>
      <c r="AB345" s="45">
        <f>IFERROR(__xludf.DUMMYFUNCTION("""COMPUTED_VALUE"""),50000.0)</f>
        <v>50000</v>
      </c>
      <c r="AC345" s="7">
        <f>IFERROR(__xludf.DUMMYFUNCTION("""COMPUTED_VALUE"""),205539.0)</f>
        <v>205539</v>
      </c>
      <c r="AD345" s="7" t="str">
        <f>IFERROR(__xludf.DUMMYFUNCTION("""COMPUTED_VALUE"""),"Tarj 06-09")</f>
        <v>Tarj 06-09</v>
      </c>
      <c r="AE345" s="7" t="str">
        <f>IFERROR(__xludf.DUMMYFUNCTION("""COMPUTED_VALUE"""),"OK")</f>
        <v>OK</v>
      </c>
      <c r="AF345" s="7" t="str">
        <f>IFERROR(__xludf.DUMMYFUNCTION("""COMPUTED_VALUE"""),"SI")</f>
        <v>SI</v>
      </c>
    </row>
    <row r="346">
      <c r="A346" s="42">
        <f>IFERROR(__xludf.DUMMYFUNCTION("""COMPUTED_VALUE"""),45541.66109850694)</f>
        <v>45541.6611</v>
      </c>
      <c r="B346" s="43" t="str">
        <f>IFERROR(__xludf.DUMMYFUNCTION("""COMPUTED_VALUE"""),"EMILIA")</f>
        <v>EMILIA</v>
      </c>
      <c r="C346" s="43" t="str">
        <f>IFERROR(__xludf.DUMMYFUNCTION("""COMPUTED_VALUE"""),"VUGDELIJA")</f>
        <v>VUGDELIJA</v>
      </c>
      <c r="D346" s="43" t="str">
        <f>IFERROR(__xludf.DUMMYFUNCTION("""COMPUTED_VALUE"""),"CABA")</f>
        <v>CABA</v>
      </c>
      <c r="E346" s="45" t="str">
        <f>IFERROR(__xludf.DUMMYFUNCTION("""COMPUTED_VALUE"""),"ARG")</f>
        <v>ARG</v>
      </c>
      <c r="F346" s="45">
        <f>IFERROR(__xludf.DUMMYFUNCTION("""COMPUTED_VALUE"""),5.3083955E7)</f>
        <v>53083955</v>
      </c>
      <c r="G346" s="44">
        <f>IFERROR(__xludf.DUMMYFUNCTION("""COMPUTED_VALUE"""),41342.0)</f>
        <v>41342</v>
      </c>
      <c r="H346" s="45">
        <f>IFERROR(__xludf.DUMMYFUNCTION("""COMPUTED_VALUE"""),1.140304773E9)</f>
        <v>1140304773</v>
      </c>
      <c r="I346" s="45">
        <f>IFERROR(__xludf.DUMMYFUNCTION("""COMPUTED_VALUE"""),1.140304773E9)</f>
        <v>1140304773</v>
      </c>
      <c r="J346" s="45" t="str">
        <f>IFERROR(__xludf.DUMMYFUNCTION("""COMPUTED_VALUE"""),"ppvugde@gmail.com")</f>
        <v>ppvugde@gmail.com</v>
      </c>
      <c r="K346" s="45" t="str">
        <f>IFERROR(__xludf.DUMMYFUNCTION("""COMPUTED_VALUE"""),"Femenino")</f>
        <v>Femenino</v>
      </c>
      <c r="L346" s="45" t="str">
        <f>IFERROR(__xludf.DUMMYFUNCTION("""COMPUTED_VALUE"""),"CUBA")</f>
        <v>CUBA</v>
      </c>
      <c r="M346" s="45" t="str">
        <f>IFERROR(__xludf.DUMMYFUNCTION("""COMPUTED_VALUE"""),"Femenino")</f>
        <v>Femenino</v>
      </c>
      <c r="N346" s="45" t="str">
        <f>IFERROR(__xludf.DUMMYFUNCTION("""COMPUTED_VALUE"""),"OPTIMIST TIMONELES")</f>
        <v>OPTIMIST TIMONELES</v>
      </c>
      <c r="O346" s="7"/>
      <c r="P346" s="7">
        <f>IFERROR(__xludf.DUMMYFUNCTION("""COMPUTED_VALUE"""),3872.0)</f>
        <v>3872</v>
      </c>
      <c r="Q346" s="45"/>
      <c r="R346" s="45"/>
      <c r="S346" s="45"/>
      <c r="T346" s="45"/>
      <c r="U346" s="45"/>
      <c r="V346" s="45"/>
      <c r="W346" s="45"/>
      <c r="X346" s="47" t="str">
        <f>IFERROR(__xludf.DUMMYFUNCTION("""COMPUTED_VALUE"""),"OESDE  61 472762 5 02")</f>
        <v>OESDE  61 472762 5 02</v>
      </c>
      <c r="Y346" s="7" t="str">
        <f>IFERROR(__xludf.DUMMYFUNCTION("""COMPUTED_VALUE"""),"Si")</f>
        <v>Si</v>
      </c>
      <c r="Z346" s="45" t="str">
        <f>IFERROR(__xludf.DUMMYFUNCTION("""COMPUTED_VALUE"""),"Acepto")</f>
        <v>Acepto</v>
      </c>
      <c r="AA346" s="45" t="str">
        <f>IFERROR(__xludf.DUMMYFUNCTION("""COMPUTED_VALUE"""),"Terminado")</f>
        <v>Terminado</v>
      </c>
      <c r="AB346" s="45">
        <f>IFERROR(__xludf.DUMMYFUNCTION("""COMPUTED_VALUE"""),50000.0)</f>
        <v>50000</v>
      </c>
      <c r="AC346" s="7">
        <f>IFERROR(__xludf.DUMMYFUNCTION("""COMPUTED_VALUE"""),205547.0)</f>
        <v>205547</v>
      </c>
      <c r="AD346" s="7" t="str">
        <f>IFERROR(__xludf.DUMMYFUNCTION("""COMPUTED_VALUE"""),"TRF 06-09")</f>
        <v>TRF 06-09</v>
      </c>
      <c r="AE346" s="7" t="str">
        <f>IFERROR(__xludf.DUMMYFUNCTION("""COMPUTED_VALUE"""),"OK")</f>
        <v>OK</v>
      </c>
      <c r="AF346" s="7"/>
    </row>
    <row r="347">
      <c r="A347" s="42">
        <f>IFERROR(__xludf.DUMMYFUNCTION("""COMPUTED_VALUE"""),45541.66124997685)</f>
        <v>45541.66125</v>
      </c>
      <c r="B347" s="43" t="str">
        <f>IFERROR(__xludf.DUMMYFUNCTION("""COMPUTED_VALUE"""),"Felipe")</f>
        <v>Felipe</v>
      </c>
      <c r="C347" s="43" t="str">
        <f>IFERROR(__xludf.DUMMYFUNCTION("""COMPUTED_VALUE"""),"Caivano")</f>
        <v>Caivano</v>
      </c>
      <c r="D347" s="43" t="str">
        <f>IFERROR(__xludf.DUMMYFUNCTION("""COMPUTED_VALUE"""),"Buenos aires")</f>
        <v>Buenos aires</v>
      </c>
      <c r="E347" s="45" t="str">
        <f>IFERROR(__xludf.DUMMYFUNCTION("""COMPUTED_VALUE"""),"ARG")</f>
        <v>ARG</v>
      </c>
      <c r="F347" s="45">
        <f>IFERROR(__xludf.DUMMYFUNCTION("""COMPUTED_VALUE"""),3.2133238E7)</f>
        <v>32133238</v>
      </c>
      <c r="G347" s="44">
        <f>IFERROR(__xludf.DUMMYFUNCTION("""COMPUTED_VALUE"""),31461.0)</f>
        <v>31461</v>
      </c>
      <c r="H347" s="45">
        <f>IFERROR(__xludf.DUMMYFUNCTION("""COMPUTED_VALUE"""),1.557930144E9)</f>
        <v>1557930144</v>
      </c>
      <c r="I347" s="45"/>
      <c r="J347" s="45" t="str">
        <f>IFERROR(__xludf.DUMMYFUNCTION("""COMPUTED_VALUE"""),"felipecaivano @gmail.con")</f>
        <v>felipecaivano @gmail.con</v>
      </c>
      <c r="K347" s="45" t="str">
        <f>IFERROR(__xludf.DUMMYFUNCTION("""COMPUTED_VALUE"""),"Masculino")</f>
        <v>Masculino</v>
      </c>
      <c r="L347" s="45" t="str">
        <f>IFERROR(__xludf.DUMMYFUNCTION("""COMPUTED_VALUE"""),"No")</f>
        <v>No</v>
      </c>
      <c r="M347" s="45"/>
      <c r="N347" s="45" t="str">
        <f>IFERROR(__xludf.DUMMYFUNCTION("""COMPUTED_VALUE"""),"Star")</f>
        <v>Star</v>
      </c>
      <c r="O347" s="7"/>
      <c r="P347" s="7">
        <f>IFERROR(__xludf.DUMMYFUNCTION("""COMPUTED_VALUE"""),8551.0)</f>
        <v>8551</v>
      </c>
      <c r="Q347" s="45" t="str">
        <f>IFERROR(__xludf.DUMMYFUNCTION("""COMPUTED_VALUE"""),"Little italo ")</f>
        <v>Little italo </v>
      </c>
      <c r="R347" s="45" t="str">
        <f>IFERROR(__xludf.DUMMYFUNCTION("""COMPUTED_VALUE"""),"Juan Pablo percossi")</f>
        <v>Juan Pablo percossi</v>
      </c>
      <c r="S347" s="45" t="str">
        <f>IFERROR(__xludf.DUMMYFUNCTION("""COMPUTED_VALUE"""),"Felipe caivano")</f>
        <v>Felipe caivano</v>
      </c>
      <c r="T347" s="45"/>
      <c r="U347" s="45"/>
      <c r="V347" s="45"/>
      <c r="W347" s="45"/>
      <c r="X347" s="47"/>
      <c r="Y347" s="7" t="str">
        <f>IFERROR(__xludf.DUMMYFUNCTION("""COMPUTED_VALUE"""),"No")</f>
        <v>No</v>
      </c>
      <c r="Z347" s="45" t="str">
        <f>IFERROR(__xludf.DUMMYFUNCTION("""COMPUTED_VALUE"""),"Acepto")</f>
        <v>Acepto</v>
      </c>
      <c r="AA347" s="45" t="str">
        <f>IFERROR(__xludf.DUMMYFUNCTION("""COMPUTED_VALUE"""),"Repetido")</f>
        <v>Repetido</v>
      </c>
      <c r="AB347" s="45"/>
      <c r="AC347" s="7"/>
      <c r="AD347" s="7"/>
      <c r="AE347" s="7" t="str">
        <f>IFERROR(__xludf.DUMMYFUNCTION("""COMPUTED_VALUE"""),"No Corresp")</f>
        <v>No Corresp</v>
      </c>
      <c r="AF347" s="7"/>
    </row>
    <row r="348">
      <c r="A348" s="42">
        <f>IFERROR(__xludf.DUMMYFUNCTION("""COMPUTED_VALUE"""),45541.69972192129)</f>
        <v>45541.69972</v>
      </c>
      <c r="B348" s="43" t="str">
        <f>IFERROR(__xludf.DUMMYFUNCTION("""COMPUTED_VALUE"""),"Joaquin ")</f>
        <v>Joaquin </v>
      </c>
      <c r="C348" s="43" t="str">
        <f>IFERROR(__xludf.DUMMYFUNCTION("""COMPUTED_VALUE"""),"Dono")</f>
        <v>Dono</v>
      </c>
      <c r="D348" s="43" t="str">
        <f>IFERROR(__xludf.DUMMYFUNCTION("""COMPUTED_VALUE"""),"Bs As")</f>
        <v>Bs As</v>
      </c>
      <c r="E348" s="45" t="str">
        <f>IFERROR(__xludf.DUMMYFUNCTION("""COMPUTED_VALUE"""),"ARG")</f>
        <v>ARG</v>
      </c>
      <c r="F348" s="45">
        <f>IFERROR(__xludf.DUMMYFUNCTION("""COMPUTED_VALUE"""),5.0320674E7)</f>
        <v>50320674</v>
      </c>
      <c r="G348" s="44">
        <f>IFERROR(__xludf.DUMMYFUNCTION("""COMPUTED_VALUE"""),40341.0)</f>
        <v>40341</v>
      </c>
      <c r="H348" s="45">
        <f>IFERROR(__xludf.DUMMYFUNCTION("""COMPUTED_VALUE"""),1.165078788E9)</f>
        <v>1165078788</v>
      </c>
      <c r="I348" s="45">
        <f>IFERROR(__xludf.DUMMYFUNCTION("""COMPUTED_VALUE"""),1.165078788E9)</f>
        <v>1165078788</v>
      </c>
      <c r="J348" s="45" t="str">
        <f>IFERROR(__xludf.DUMMYFUNCTION("""COMPUTED_VALUE"""),"hechi2000@yahoo.com.ar ")</f>
        <v>hechi2000@yahoo.com.ar </v>
      </c>
      <c r="K348" s="45" t="str">
        <f>IFERROR(__xludf.DUMMYFUNCTION("""COMPUTED_VALUE"""),"Masculino")</f>
        <v>Masculino</v>
      </c>
      <c r="L348" s="45" t="str">
        <f>IFERROR(__xludf.DUMMYFUNCTION("""COMPUTED_VALUE"""),"CVSI")</f>
        <v>CVSI</v>
      </c>
      <c r="M348" s="45"/>
      <c r="N348" s="45" t="str">
        <f>IFERROR(__xludf.DUMMYFUNCTION("""COMPUTED_VALUE"""),"OPTIMIST TIMONELES")</f>
        <v>OPTIMIST TIMONELES</v>
      </c>
      <c r="O348" s="7"/>
      <c r="P348" s="7">
        <f>IFERROR(__xludf.DUMMYFUNCTION("""COMPUTED_VALUE"""),3713.0)</f>
        <v>3713</v>
      </c>
      <c r="Q348" s="45"/>
      <c r="R348" s="45"/>
      <c r="S348" s="45"/>
      <c r="T348" s="45"/>
      <c r="U348" s="45"/>
      <c r="V348" s="45"/>
      <c r="W348" s="45"/>
      <c r="X348" s="47" t="str">
        <f>IFERROR(__xludf.DUMMYFUNCTION("""COMPUTED_VALUE"""),"Accord salud")</f>
        <v>Accord salud</v>
      </c>
      <c r="Y348" s="7" t="str">
        <f>IFERROR(__xludf.DUMMYFUNCTION("""COMPUTED_VALUE"""),"No")</f>
        <v>No</v>
      </c>
      <c r="Z348" s="45" t="str">
        <f>IFERROR(__xludf.DUMMYFUNCTION("""COMPUTED_VALUE"""),"Acepto")</f>
        <v>Acepto</v>
      </c>
      <c r="AA348" s="45" t="str">
        <f>IFERROR(__xludf.DUMMYFUNCTION("""COMPUTED_VALUE"""),"Terminado")</f>
        <v>Terminado</v>
      </c>
      <c r="AB348" s="45">
        <f>IFERROR(__xludf.DUMMYFUNCTION("""COMPUTED_VALUE"""),50000.0)</f>
        <v>50000</v>
      </c>
      <c r="AC348" s="7">
        <f>IFERROR(__xludf.DUMMYFUNCTION("""COMPUTED_VALUE"""),205556.0)</f>
        <v>205556</v>
      </c>
      <c r="AD348" s="7" t="str">
        <f>IFERROR(__xludf.DUMMYFUNCTION("""COMPUTED_VALUE"""),"TRF 06-09")</f>
        <v>TRF 06-09</v>
      </c>
      <c r="AE348" s="7" t="str">
        <f>IFERROR(__xludf.DUMMYFUNCTION("""COMPUTED_VALUE"""),"OK")</f>
        <v>OK</v>
      </c>
      <c r="AF348" s="7"/>
    </row>
    <row r="349">
      <c r="A349" s="42">
        <f>IFERROR(__xludf.DUMMYFUNCTION("""COMPUTED_VALUE"""),45541.7099878125)</f>
        <v>45541.70999</v>
      </c>
      <c r="B349" s="43" t="str">
        <f>IFERROR(__xludf.DUMMYFUNCTION("""COMPUTED_VALUE"""),"Manu")</f>
        <v>Manu</v>
      </c>
      <c r="C349" s="43" t="str">
        <f>IFERROR(__xludf.DUMMYFUNCTION("""COMPUTED_VALUE"""),"Cichowolski")</f>
        <v>Cichowolski</v>
      </c>
      <c r="D349" s="43" t="str">
        <f>IFERROR(__xludf.DUMMYFUNCTION("""COMPUTED_VALUE"""),"CABA")</f>
        <v>CABA</v>
      </c>
      <c r="E349" s="45" t="str">
        <f>IFERROR(__xludf.DUMMYFUNCTION("""COMPUTED_VALUE"""),"ARG")</f>
        <v>ARG</v>
      </c>
      <c r="F349" s="45">
        <f>IFERROR(__xludf.DUMMYFUNCTION("""COMPUTED_VALUE"""),5.0155666E7)</f>
        <v>50155666</v>
      </c>
      <c r="G349" s="44">
        <f>IFERROR(__xludf.DUMMYFUNCTION("""COMPUTED_VALUE"""),40202.0)</f>
        <v>40202</v>
      </c>
      <c r="H349" s="45">
        <f>IFERROR(__xludf.DUMMYFUNCTION("""COMPUTED_VALUE"""),1.132341376E9)</f>
        <v>1132341376</v>
      </c>
      <c r="I349" s="45">
        <f>IFERROR(__xludf.DUMMYFUNCTION("""COMPUTED_VALUE"""),1.156419068E9)</f>
        <v>1156419068</v>
      </c>
      <c r="J349" s="45" t="str">
        <f>IFERROR(__xludf.DUMMYFUNCTION("""COMPUTED_VALUE"""),"miguelcicho@gmail.com")</f>
        <v>miguelcicho@gmail.com</v>
      </c>
      <c r="K349" s="45" t="str">
        <f>IFERROR(__xludf.DUMMYFUNCTION("""COMPUTED_VALUE"""),"Masculino")</f>
        <v>Masculino</v>
      </c>
      <c r="L349" s="45" t="str">
        <f>IFERROR(__xludf.DUMMYFUNCTION("""COMPUTED_VALUE"""),"CPNLB")</f>
        <v>CPNLB</v>
      </c>
      <c r="M349" s="45"/>
      <c r="N349" s="45" t="str">
        <f>IFERROR(__xludf.DUMMYFUNCTION("""COMPUTED_VALUE"""),"OPTIMIST TIMONELES")</f>
        <v>OPTIMIST TIMONELES</v>
      </c>
      <c r="O349" s="7"/>
      <c r="P349" s="7">
        <f>IFERROR(__xludf.DUMMYFUNCTION("""COMPUTED_VALUE"""),3889.0)</f>
        <v>3889</v>
      </c>
      <c r="Q349" s="45"/>
      <c r="R349" s="45"/>
      <c r="S349" s="45"/>
      <c r="T349" s="45"/>
      <c r="U349" s="45"/>
      <c r="V349" s="45"/>
      <c r="W349" s="45"/>
      <c r="X349" s="47" t="str">
        <f>IFERROR(__xludf.DUMMYFUNCTION("""COMPUTED_VALUE"""),"Dosuba")</f>
        <v>Dosuba</v>
      </c>
      <c r="Y349" s="7" t="str">
        <f>IFERROR(__xludf.DUMMYFUNCTION("""COMPUTED_VALUE"""),"Si")</f>
        <v>Si</v>
      </c>
      <c r="Z349" s="45" t="str">
        <f>IFERROR(__xludf.DUMMYFUNCTION("""COMPUTED_VALUE"""),"Acepto")</f>
        <v>Acepto</v>
      </c>
      <c r="AA349" s="45" t="str">
        <f>IFERROR(__xludf.DUMMYFUNCTION("""COMPUTED_VALUE"""),"Terminado")</f>
        <v>Terminado</v>
      </c>
      <c r="AB349" s="45">
        <f>IFERROR(__xludf.DUMMYFUNCTION("""COMPUTED_VALUE"""),50000.0)</f>
        <v>50000</v>
      </c>
      <c r="AC349" s="7">
        <f>IFERROR(__xludf.DUMMYFUNCTION("""COMPUTED_VALUE"""),205557.0)</f>
        <v>205557</v>
      </c>
      <c r="AD349" s="7" t="str">
        <f>IFERROR(__xludf.DUMMYFUNCTION("""COMPUTED_VALUE"""),"TRF 06-09")</f>
        <v>TRF 06-09</v>
      </c>
      <c r="AE349" s="7" t="str">
        <f>IFERROR(__xludf.DUMMYFUNCTION("""COMPUTED_VALUE"""),"Pendiente")</f>
        <v>Pendiente</v>
      </c>
      <c r="AF349" s="7" t="str">
        <f>IFERROR(__xludf.DUMMYFUNCTION("""COMPUTED_VALUE"""),"SI")</f>
        <v>SI</v>
      </c>
    </row>
    <row r="350">
      <c r="A350" s="42">
        <f>IFERROR(__xludf.DUMMYFUNCTION("""COMPUTED_VALUE"""),45541.711307488426)</f>
        <v>45541.71131</v>
      </c>
      <c r="B350" s="43" t="str">
        <f>IFERROR(__xludf.DUMMYFUNCTION("""COMPUTED_VALUE"""),"Santi")</f>
        <v>Santi</v>
      </c>
      <c r="C350" s="43" t="str">
        <f>IFERROR(__xludf.DUMMYFUNCTION("""COMPUTED_VALUE"""),"Cichowolski")</f>
        <v>Cichowolski</v>
      </c>
      <c r="D350" s="43" t="str">
        <f>IFERROR(__xludf.DUMMYFUNCTION("""COMPUTED_VALUE"""),"caba")</f>
        <v>caba</v>
      </c>
      <c r="E350" s="45" t="str">
        <f>IFERROR(__xludf.DUMMYFUNCTION("""COMPUTED_VALUE"""),"ARG")</f>
        <v>ARG</v>
      </c>
      <c r="F350" s="45">
        <f>IFERROR(__xludf.DUMMYFUNCTION("""COMPUTED_VALUE"""),5.3236907E7)</f>
        <v>53236907</v>
      </c>
      <c r="G350" s="44">
        <f>IFERROR(__xludf.DUMMYFUNCTION("""COMPUTED_VALUE"""),41375.0)</f>
        <v>41375</v>
      </c>
      <c r="H350" s="45">
        <f>IFERROR(__xludf.DUMMYFUNCTION("""COMPUTED_VALUE"""),1.132341376E9)</f>
        <v>1132341376</v>
      </c>
      <c r="I350" s="45">
        <f>IFERROR(__xludf.DUMMYFUNCTION("""COMPUTED_VALUE"""),1.156419068E9)</f>
        <v>1156419068</v>
      </c>
      <c r="J350" s="45" t="str">
        <f>IFERROR(__xludf.DUMMYFUNCTION("""COMPUTED_VALUE"""),"miguelcicho@gmail.com")</f>
        <v>miguelcicho@gmail.com</v>
      </c>
      <c r="K350" s="45" t="str">
        <f>IFERROR(__xludf.DUMMYFUNCTION("""COMPUTED_VALUE"""),"Masculino")</f>
        <v>Masculino</v>
      </c>
      <c r="L350" s="45" t="str">
        <f>IFERROR(__xludf.DUMMYFUNCTION("""COMPUTED_VALUE"""),"CPNLB")</f>
        <v>CPNLB</v>
      </c>
      <c r="M350" s="45"/>
      <c r="N350" s="45" t="str">
        <f>IFERROR(__xludf.DUMMYFUNCTION("""COMPUTED_VALUE"""),"OPTIMIST TIMONELES")</f>
        <v>OPTIMIST TIMONELES</v>
      </c>
      <c r="O350" s="7"/>
      <c r="P350" s="7">
        <f>IFERROR(__xludf.DUMMYFUNCTION("""COMPUTED_VALUE"""),3992.0)</f>
        <v>3992</v>
      </c>
      <c r="Q350" s="45"/>
      <c r="R350" s="45"/>
      <c r="S350" s="45"/>
      <c r="T350" s="45"/>
      <c r="U350" s="45"/>
      <c r="V350" s="45"/>
      <c r="W350" s="45"/>
      <c r="X350" s="47" t="str">
        <f>IFERROR(__xludf.DUMMYFUNCTION("""COMPUTED_VALUE"""),"Dosuba")</f>
        <v>Dosuba</v>
      </c>
      <c r="Y350" s="7" t="str">
        <f>IFERROR(__xludf.DUMMYFUNCTION("""COMPUTED_VALUE"""),"Si")</f>
        <v>Si</v>
      </c>
      <c r="Z350" s="45" t="str">
        <f>IFERROR(__xludf.DUMMYFUNCTION("""COMPUTED_VALUE"""),"Acepto")</f>
        <v>Acepto</v>
      </c>
      <c r="AA350" s="45" t="str">
        <f>IFERROR(__xludf.DUMMYFUNCTION("""COMPUTED_VALUE"""),"Terminado")</f>
        <v>Terminado</v>
      </c>
      <c r="AB350" s="45">
        <f>IFERROR(__xludf.DUMMYFUNCTION("""COMPUTED_VALUE"""),50000.0)</f>
        <v>50000</v>
      </c>
      <c r="AC350" s="7">
        <f>IFERROR(__xludf.DUMMYFUNCTION("""COMPUTED_VALUE"""),205557.0)</f>
        <v>205557</v>
      </c>
      <c r="AD350" s="7" t="str">
        <f>IFERROR(__xludf.DUMMYFUNCTION("""COMPUTED_VALUE"""),"TRF 06-09")</f>
        <v>TRF 06-09</v>
      </c>
      <c r="AE350" s="7" t="str">
        <f>IFERROR(__xludf.DUMMYFUNCTION("""COMPUTED_VALUE"""),"OK")</f>
        <v>OK</v>
      </c>
      <c r="AF350" s="7" t="str">
        <f>IFERROR(__xludf.DUMMYFUNCTION("""COMPUTED_VALUE"""),"SI")</f>
        <v>SI</v>
      </c>
    </row>
    <row r="351">
      <c r="A351" s="42">
        <f>IFERROR(__xludf.DUMMYFUNCTION("""COMPUTED_VALUE"""),45541.771075833334)</f>
        <v>45541.77108</v>
      </c>
      <c r="B351" s="43" t="str">
        <f>IFERROR(__xludf.DUMMYFUNCTION("""COMPUTED_VALUE"""),"Abril")</f>
        <v>Abril</v>
      </c>
      <c r="C351" s="43" t="str">
        <f>IFERROR(__xludf.DUMMYFUNCTION("""COMPUTED_VALUE"""),"Baldi")</f>
        <v>Baldi</v>
      </c>
      <c r="D351" s="43" t="str">
        <f>IFERROR(__xludf.DUMMYFUNCTION("""COMPUTED_VALUE"""),"CABA")</f>
        <v>CABA</v>
      </c>
      <c r="E351" s="45" t="str">
        <f>IFERROR(__xludf.DUMMYFUNCTION("""COMPUTED_VALUE"""),"ARG")</f>
        <v>ARG</v>
      </c>
      <c r="F351" s="45">
        <f>IFERROR(__xludf.DUMMYFUNCTION("""COMPUTED_VALUE"""),5.1123601E7)</f>
        <v>51123601</v>
      </c>
      <c r="G351" s="44">
        <f>IFERROR(__xludf.DUMMYFUNCTION("""COMPUTED_VALUE"""),40658.0)</f>
        <v>40658</v>
      </c>
      <c r="H351" s="45">
        <f>IFERROR(__xludf.DUMMYFUNCTION("""COMPUTED_VALUE"""),5.61273635E8)</f>
        <v>561273635</v>
      </c>
      <c r="I351" s="45">
        <f>IFERROR(__xludf.DUMMYFUNCTION("""COMPUTED_VALUE"""),5.61273635E8)</f>
        <v>561273635</v>
      </c>
      <c r="J351" s="45" t="str">
        <f>IFERROR(__xludf.DUMMYFUNCTION("""COMPUTED_VALUE"""),"baldijulio@hotmail.com")</f>
        <v>baldijulio@hotmail.com</v>
      </c>
      <c r="K351" s="45" t="str">
        <f>IFERROR(__xludf.DUMMYFUNCTION("""COMPUTED_VALUE"""),"Femenino")</f>
        <v>Femenino</v>
      </c>
      <c r="L351" s="45" t="str">
        <f>IFERROR(__xludf.DUMMYFUNCTION("""COMPUTED_VALUE"""),"YCA")</f>
        <v>YCA</v>
      </c>
      <c r="M351" s="45" t="str">
        <f>IFERROR(__xludf.DUMMYFUNCTION("""COMPUTED_VALUE"""),"Femenino")</f>
        <v>Femenino</v>
      </c>
      <c r="N351" s="45" t="str">
        <f>IFERROR(__xludf.DUMMYFUNCTION("""COMPUTED_VALUE"""),"OPTIMIST TIMONELES")</f>
        <v>OPTIMIST TIMONELES</v>
      </c>
      <c r="O351" s="7"/>
      <c r="P351" s="7">
        <f>IFERROR(__xludf.DUMMYFUNCTION("""COMPUTED_VALUE"""),4082.0)</f>
        <v>4082</v>
      </c>
      <c r="Q351" s="45" t="str">
        <f>IFERROR(__xludf.DUMMYFUNCTION("""COMPUTED_VALUE"""),"Madame Queen")</f>
        <v>Madame Queen</v>
      </c>
      <c r="R351" s="45"/>
      <c r="S351" s="45"/>
      <c r="T351" s="45"/>
      <c r="U351" s="45"/>
      <c r="V351" s="45"/>
      <c r="W351" s="45"/>
      <c r="X351" s="47" t="str">
        <f>IFERROR(__xludf.DUMMYFUNCTION("""COMPUTED_VALUE"""),"DOSUBA")</f>
        <v>DOSUBA</v>
      </c>
      <c r="Y351" s="7" t="str">
        <f>IFERROR(__xludf.DUMMYFUNCTION("""COMPUTED_VALUE"""),"No")</f>
        <v>No</v>
      </c>
      <c r="Z351" s="45" t="str">
        <f>IFERROR(__xludf.DUMMYFUNCTION("""COMPUTED_VALUE"""),"Acepto")</f>
        <v>Acepto</v>
      </c>
      <c r="AA351" s="45" t="str">
        <f>IFERROR(__xludf.DUMMYFUNCTION("""COMPUTED_VALUE"""),"Terminado")</f>
        <v>Terminado</v>
      </c>
      <c r="AB351" s="45">
        <f>IFERROR(__xludf.DUMMYFUNCTION("""COMPUTED_VALUE"""),50000.0)</f>
        <v>50000</v>
      </c>
      <c r="AC351" s="7">
        <f>IFERROR(__xludf.DUMMYFUNCTION("""COMPUTED_VALUE"""),205558.0)</f>
        <v>205558</v>
      </c>
      <c r="AD351" s="7" t="str">
        <f>IFERROR(__xludf.DUMMYFUNCTION("""COMPUTED_VALUE"""),"TRF 06-09")</f>
        <v>TRF 06-09</v>
      </c>
      <c r="AE351" s="7" t="str">
        <f>IFERROR(__xludf.DUMMYFUNCTION("""COMPUTED_VALUE"""),"OK")</f>
        <v>OK</v>
      </c>
      <c r="AF351" s="7"/>
    </row>
    <row r="352">
      <c r="A352" s="42">
        <f>IFERROR(__xludf.DUMMYFUNCTION("""COMPUTED_VALUE"""),45541.772605266204)</f>
        <v>45541.77261</v>
      </c>
      <c r="B352" s="43" t="str">
        <f>IFERROR(__xludf.DUMMYFUNCTION("""COMPUTED_VALUE"""),"Franco ")</f>
        <v>Franco </v>
      </c>
      <c r="C352" s="43" t="str">
        <f>IFERROR(__xludf.DUMMYFUNCTION("""COMPUTED_VALUE"""),"Baldi")</f>
        <v>Baldi</v>
      </c>
      <c r="D352" s="43" t="str">
        <f>IFERROR(__xludf.DUMMYFUNCTION("""COMPUTED_VALUE"""),"CABA")</f>
        <v>CABA</v>
      </c>
      <c r="E352" s="45" t="str">
        <f>IFERROR(__xludf.DUMMYFUNCTION("""COMPUTED_VALUE"""),"ARG")</f>
        <v>ARG</v>
      </c>
      <c r="F352" s="45">
        <f>IFERROR(__xludf.DUMMYFUNCTION("""COMPUTED_VALUE"""),5.3722572E7)</f>
        <v>53722572</v>
      </c>
      <c r="G352" s="44">
        <f>IFERROR(__xludf.DUMMYFUNCTION("""COMPUTED_VALUE"""),41677.0)</f>
        <v>41677</v>
      </c>
      <c r="H352" s="45">
        <f>IFERROR(__xludf.DUMMYFUNCTION("""COMPUTED_VALUE"""),5.61273635E8)</f>
        <v>561273635</v>
      </c>
      <c r="I352" s="45">
        <f>IFERROR(__xludf.DUMMYFUNCTION("""COMPUTED_VALUE"""),5.61273635E8)</f>
        <v>561273635</v>
      </c>
      <c r="J352" s="45" t="str">
        <f>IFERROR(__xludf.DUMMYFUNCTION("""COMPUTED_VALUE"""),"baldijulio@hotmail.com")</f>
        <v>baldijulio@hotmail.com</v>
      </c>
      <c r="K352" s="45" t="str">
        <f>IFERROR(__xludf.DUMMYFUNCTION("""COMPUTED_VALUE"""),"Masculino")</f>
        <v>Masculino</v>
      </c>
      <c r="L352" s="45" t="str">
        <f>IFERROR(__xludf.DUMMYFUNCTION("""COMPUTED_VALUE"""),"YCA")</f>
        <v>YCA</v>
      </c>
      <c r="M352" s="45" t="str">
        <f>IFERROR(__xludf.DUMMYFUNCTION("""COMPUTED_VALUE"""),"Interior (Optimist)")</f>
        <v>Interior (Optimist)</v>
      </c>
      <c r="N352" s="45" t="str">
        <f>IFERROR(__xludf.DUMMYFUNCTION("""COMPUTED_VALUE"""),"OPTIMIST PRINCIPIANTES")</f>
        <v>OPTIMIST PRINCIPIANTES</v>
      </c>
      <c r="O352" s="7"/>
      <c r="P352" s="7">
        <f>IFERROR(__xludf.DUMMYFUNCTION("""COMPUTED_VALUE"""),3532.0)</f>
        <v>3532</v>
      </c>
      <c r="Q352" s="45" t="str">
        <f>IFERROR(__xludf.DUMMYFUNCTION("""COMPUTED_VALUE"""),"FENIX")</f>
        <v>FENIX</v>
      </c>
      <c r="R352" s="45"/>
      <c r="S352" s="45"/>
      <c r="T352" s="45"/>
      <c r="U352" s="45"/>
      <c r="V352" s="45"/>
      <c r="W352" s="45"/>
      <c r="X352" s="47" t="str">
        <f>IFERROR(__xludf.DUMMYFUNCTION("""COMPUTED_VALUE"""),"DOSUBA")</f>
        <v>DOSUBA</v>
      </c>
      <c r="Y352" s="7" t="str">
        <f>IFERROR(__xludf.DUMMYFUNCTION("""COMPUTED_VALUE"""),"No")</f>
        <v>No</v>
      </c>
      <c r="Z352" s="45" t="str">
        <f>IFERROR(__xludf.DUMMYFUNCTION("""COMPUTED_VALUE"""),"Acepto")</f>
        <v>Acepto</v>
      </c>
      <c r="AA352" s="45" t="str">
        <f>IFERROR(__xludf.DUMMYFUNCTION("""COMPUTED_VALUE"""),"Terminado")</f>
        <v>Terminado</v>
      </c>
      <c r="AB352" s="45">
        <f>IFERROR(__xludf.DUMMYFUNCTION("""COMPUTED_VALUE"""),50000.0)</f>
        <v>50000</v>
      </c>
      <c r="AC352" s="7">
        <f>IFERROR(__xludf.DUMMYFUNCTION("""COMPUTED_VALUE"""),205558.0)</f>
        <v>205558</v>
      </c>
      <c r="AD352" s="7" t="str">
        <f>IFERROR(__xludf.DUMMYFUNCTION("""COMPUTED_VALUE"""),"TRF 06-09")</f>
        <v>TRF 06-09</v>
      </c>
      <c r="AE352" s="7" t="str">
        <f>IFERROR(__xludf.DUMMYFUNCTION("""COMPUTED_VALUE"""),"OK")</f>
        <v>OK</v>
      </c>
      <c r="AF352" s="7"/>
    </row>
    <row r="353">
      <c r="A353" s="42">
        <f>IFERROR(__xludf.DUMMYFUNCTION("""COMPUTED_VALUE"""),45541.819056319444)</f>
        <v>45541.81906</v>
      </c>
      <c r="B353" s="43" t="str">
        <f>IFERROR(__xludf.DUMMYFUNCTION("""COMPUTED_VALUE"""),"GIULIANA")</f>
        <v>GIULIANA</v>
      </c>
      <c r="C353" s="43" t="str">
        <f>IFERROR(__xludf.DUMMYFUNCTION("""COMPUTED_VALUE"""),"CAREAGA COTTINI")</f>
        <v>CAREAGA COTTINI</v>
      </c>
      <c r="D353" s="43" t="str">
        <f>IFERROR(__xludf.DUMMYFUNCTION("""COMPUTED_VALUE"""),"SAN ISIDRO")</f>
        <v>SAN ISIDRO</v>
      </c>
      <c r="E353" s="45" t="str">
        <f>IFERROR(__xludf.DUMMYFUNCTION("""COMPUTED_VALUE"""),"ARG")</f>
        <v>ARG</v>
      </c>
      <c r="F353" s="45">
        <f>IFERROR(__xludf.DUMMYFUNCTION("""COMPUTED_VALUE"""),5.3208064E7)</f>
        <v>53208064</v>
      </c>
      <c r="G353" s="44">
        <f>IFERROR(__xludf.DUMMYFUNCTION("""COMPUTED_VALUE"""),41417.0)</f>
        <v>41417</v>
      </c>
      <c r="H353" s="45" t="str">
        <f>IFERROR(__xludf.DUMMYFUNCTION("""COMPUTED_VALUE"""),"0111555026751")</f>
        <v>0111555026751</v>
      </c>
      <c r="I353" s="45" t="str">
        <f>IFERROR(__xludf.DUMMYFUNCTION("""COMPUTED_VALUE"""),"0111555026751")</f>
        <v>0111555026751</v>
      </c>
      <c r="J353" s="45" t="str">
        <f>IFERROR(__xludf.DUMMYFUNCTION("""COMPUTED_VALUE"""),"estudiocareaga@gmail.com")</f>
        <v>estudiocareaga@gmail.com</v>
      </c>
      <c r="K353" s="45" t="str">
        <f>IFERROR(__xludf.DUMMYFUNCTION("""COMPUTED_VALUE"""),"Femenino")</f>
        <v>Femenino</v>
      </c>
      <c r="L353" s="45" t="str">
        <f>IFERROR(__xludf.DUMMYFUNCTION("""COMPUTED_VALUE"""),"CNSE")</f>
        <v>CNSE</v>
      </c>
      <c r="M353" s="45" t="str">
        <f>IFERROR(__xludf.DUMMYFUNCTION("""COMPUTED_VALUE"""),"Femenino")</f>
        <v>Femenino</v>
      </c>
      <c r="N353" s="45" t="str">
        <f>IFERROR(__xludf.DUMMYFUNCTION("""COMPUTED_VALUE"""),"OPTIMIST PRINCIPIANTES")</f>
        <v>OPTIMIST PRINCIPIANTES</v>
      </c>
      <c r="O353" s="7"/>
      <c r="P353" s="7">
        <f>IFERROR(__xludf.DUMMYFUNCTION("""COMPUTED_VALUE"""),3458.0)</f>
        <v>3458</v>
      </c>
      <c r="Q353" s="45" t="str">
        <f>IFERROR(__xludf.DUMMYFUNCTION("""COMPUTED_VALUE"""),"FLASHITO")</f>
        <v>FLASHITO</v>
      </c>
      <c r="R353" s="45"/>
      <c r="S353" s="45"/>
      <c r="T353" s="45"/>
      <c r="U353" s="45"/>
      <c r="V353" s="45"/>
      <c r="W353" s="45"/>
      <c r="X353" s="47" t="str">
        <f>IFERROR(__xludf.DUMMYFUNCTION("""COMPUTED_VALUE"""),"OMINT")</f>
        <v>OMINT</v>
      </c>
      <c r="Y353" s="7" t="str">
        <f>IFERROR(__xludf.DUMMYFUNCTION("""COMPUTED_VALUE"""),"Si")</f>
        <v>Si</v>
      </c>
      <c r="Z353" s="45" t="str">
        <f>IFERROR(__xludf.DUMMYFUNCTION("""COMPUTED_VALUE"""),"Acepto")</f>
        <v>Acepto</v>
      </c>
      <c r="AA353" s="45" t="str">
        <f>IFERROR(__xludf.DUMMYFUNCTION("""COMPUTED_VALUE"""),"Terminado")</f>
        <v>Terminado</v>
      </c>
      <c r="AB353" s="45">
        <f>IFERROR(__xludf.DUMMYFUNCTION("""COMPUTED_VALUE"""),50000.0)</f>
        <v>50000</v>
      </c>
      <c r="AC353" s="7">
        <f>IFERROR(__xludf.DUMMYFUNCTION("""COMPUTED_VALUE"""),205650.0)</f>
        <v>205650</v>
      </c>
      <c r="AD353" s="7" t="str">
        <f>IFERROR(__xludf.DUMMYFUNCTION("""COMPUTED_VALUE"""),"TRF 10-09")</f>
        <v>TRF 10-09</v>
      </c>
      <c r="AE353" s="7" t="str">
        <f>IFERROR(__xludf.DUMMYFUNCTION("""COMPUTED_VALUE"""),"OK")</f>
        <v>OK</v>
      </c>
      <c r="AF353" s="7"/>
    </row>
    <row r="354">
      <c r="A354" s="42">
        <f>IFERROR(__xludf.DUMMYFUNCTION("""COMPUTED_VALUE"""),45541.82024916667)</f>
        <v>45541.82025</v>
      </c>
      <c r="B354" s="43" t="str">
        <f>IFERROR(__xludf.DUMMYFUNCTION("""COMPUTED_VALUE"""),"Maria Dolores")</f>
        <v>Maria Dolores</v>
      </c>
      <c r="C354" s="43" t="str">
        <f>IFERROR(__xludf.DUMMYFUNCTION("""COMPUTED_VALUE"""),"Azar")</f>
        <v>Azar</v>
      </c>
      <c r="D354" s="43" t="str">
        <f>IFERROR(__xludf.DUMMYFUNCTION("""COMPUTED_VALUE"""),"La Plata")</f>
        <v>La Plata</v>
      </c>
      <c r="E354" s="45" t="str">
        <f>IFERROR(__xludf.DUMMYFUNCTION("""COMPUTED_VALUE"""),"ARG")</f>
        <v>ARG</v>
      </c>
      <c r="F354" s="45">
        <f>IFERROR(__xludf.DUMMYFUNCTION("""COMPUTED_VALUE"""),5.0653382E7)</f>
        <v>50653382</v>
      </c>
      <c r="G354" s="44">
        <f>IFERROR(__xludf.DUMMYFUNCTION("""COMPUTED_VALUE"""),40478.0)</f>
        <v>40478</v>
      </c>
      <c r="H354" s="45">
        <f>IFERROR(__xludf.DUMMYFUNCTION("""COMPUTED_VALUE"""),2.215749477E9)</f>
        <v>2215749477</v>
      </c>
      <c r="I354" s="45">
        <f>IFERROR(__xludf.DUMMYFUNCTION("""COMPUTED_VALUE"""),2.216426873E9)</f>
        <v>2216426873</v>
      </c>
      <c r="J354" s="45" t="str">
        <f>IFERROR(__xludf.DUMMYFUNCTION("""COMPUTED_VALUE"""),"od.emilioazar@gmail.com")</f>
        <v>od.emilioazar@gmail.com</v>
      </c>
      <c r="K354" s="45" t="str">
        <f>IFERROR(__xludf.DUMMYFUNCTION("""COMPUTED_VALUE"""),"Femenino")</f>
        <v>Femenino</v>
      </c>
      <c r="L354" s="45" t="str">
        <f>IFERROR(__xludf.DUMMYFUNCTION("""COMPUTED_VALUE"""),"CRLP")</f>
        <v>CRLP</v>
      </c>
      <c r="M354" s="45" t="str">
        <f>IFERROR(__xludf.DUMMYFUNCTION("""COMPUTED_VALUE"""),"Femenino, Interior (Optimist)")</f>
        <v>Femenino, Interior (Optimist)</v>
      </c>
      <c r="N354" s="45" t="str">
        <f>IFERROR(__xludf.DUMMYFUNCTION("""COMPUTED_VALUE"""),"OPTIMIST PRINCIPIANTES")</f>
        <v>OPTIMIST PRINCIPIANTES</v>
      </c>
      <c r="O354" s="7"/>
      <c r="P354" s="7">
        <f>IFERROR(__xludf.DUMMYFUNCTION("""COMPUTED_VALUE"""),3402.0)</f>
        <v>3402</v>
      </c>
      <c r="Q354" s="45"/>
      <c r="R354" s="45" t="str">
        <f>IFERROR(__xludf.DUMMYFUNCTION("""COMPUTED_VALUE"""),"Maria Dolores Azar")</f>
        <v>Maria Dolores Azar</v>
      </c>
      <c r="S354" s="45"/>
      <c r="T354" s="45"/>
      <c r="U354" s="45"/>
      <c r="V354" s="45"/>
      <c r="W354" s="45"/>
      <c r="X354" s="47"/>
      <c r="Y354" s="7" t="str">
        <f>IFERROR(__xludf.DUMMYFUNCTION("""COMPUTED_VALUE"""),"Si")</f>
        <v>Si</v>
      </c>
      <c r="Z354" s="45" t="str">
        <f>IFERROR(__xludf.DUMMYFUNCTION("""COMPUTED_VALUE"""),"Acepto")</f>
        <v>Acepto</v>
      </c>
      <c r="AA354" s="45" t="str">
        <f>IFERROR(__xludf.DUMMYFUNCTION("""COMPUTED_VALUE"""),"Terminado")</f>
        <v>Terminado</v>
      </c>
      <c r="AB354" s="45">
        <f>IFERROR(__xludf.DUMMYFUNCTION("""COMPUTED_VALUE"""),70000.0)</f>
        <v>70000</v>
      </c>
      <c r="AC354" s="7">
        <f>IFERROR(__xludf.DUMMYFUNCTION("""COMPUTED_VALUE"""),205559.0)</f>
        <v>205559</v>
      </c>
      <c r="AD354" s="7" t="str">
        <f>IFERROR(__xludf.DUMMYFUNCTION("""COMPUTED_VALUE"""),"TRF 06-09")</f>
        <v>TRF 06-09</v>
      </c>
      <c r="AE354" s="7" t="str">
        <f>IFERROR(__xludf.DUMMYFUNCTION("""COMPUTED_VALUE"""),"OK")</f>
        <v>OK</v>
      </c>
      <c r="AF354" s="7"/>
    </row>
    <row r="355">
      <c r="A355" s="42">
        <f>IFERROR(__xludf.DUMMYFUNCTION("""COMPUTED_VALUE"""),45541.82257010417)</f>
        <v>45541.82257</v>
      </c>
      <c r="B355" s="43" t="str">
        <f>IFERROR(__xludf.DUMMYFUNCTION("""COMPUTED_VALUE"""),"Maria Josefina")</f>
        <v>Maria Josefina</v>
      </c>
      <c r="C355" s="43" t="str">
        <f>IFERROR(__xludf.DUMMYFUNCTION("""COMPUTED_VALUE"""),"Azar")</f>
        <v>Azar</v>
      </c>
      <c r="D355" s="43" t="str">
        <f>IFERROR(__xludf.DUMMYFUNCTION("""COMPUTED_VALUE"""),"La Plata")</f>
        <v>La Plata</v>
      </c>
      <c r="E355" s="45" t="str">
        <f>IFERROR(__xludf.DUMMYFUNCTION("""COMPUTED_VALUE"""),"ARG")</f>
        <v>ARG</v>
      </c>
      <c r="F355" s="45">
        <f>IFERROR(__xludf.DUMMYFUNCTION("""COMPUTED_VALUE"""),5.3301205E7)</f>
        <v>53301205</v>
      </c>
      <c r="G355" s="44">
        <f>IFERROR(__xludf.DUMMYFUNCTION("""COMPUTED_VALUE"""),41454.0)</f>
        <v>41454</v>
      </c>
      <c r="H355" s="45">
        <f>IFERROR(__xludf.DUMMYFUNCTION("""COMPUTED_VALUE"""),2.215749477E9)</f>
        <v>2215749477</v>
      </c>
      <c r="I355" s="45">
        <f>IFERROR(__xludf.DUMMYFUNCTION("""COMPUTED_VALUE"""),2.216426873E9)</f>
        <v>2216426873</v>
      </c>
      <c r="J355" s="45" t="str">
        <f>IFERROR(__xludf.DUMMYFUNCTION("""COMPUTED_VALUE"""),"od.emilioazar@gmail.com")</f>
        <v>od.emilioazar@gmail.com</v>
      </c>
      <c r="K355" s="45" t="str">
        <f>IFERROR(__xludf.DUMMYFUNCTION("""COMPUTED_VALUE"""),"Femenino")</f>
        <v>Femenino</v>
      </c>
      <c r="L355" s="45" t="str">
        <f>IFERROR(__xludf.DUMMYFUNCTION("""COMPUTED_VALUE"""),"CRLP")</f>
        <v>CRLP</v>
      </c>
      <c r="M355" s="45" t="str">
        <f>IFERROR(__xludf.DUMMYFUNCTION("""COMPUTED_VALUE"""),"Femenino, Interior (Optimist)")</f>
        <v>Femenino, Interior (Optimist)</v>
      </c>
      <c r="N355" s="45" t="str">
        <f>IFERROR(__xludf.DUMMYFUNCTION("""COMPUTED_VALUE"""),"OPTIMIST PRINCIPIANTES")</f>
        <v>OPTIMIST PRINCIPIANTES</v>
      </c>
      <c r="O355" s="7"/>
      <c r="P355" s="7">
        <f>IFERROR(__xludf.DUMMYFUNCTION("""COMPUTED_VALUE"""),3203.0)</f>
        <v>3203</v>
      </c>
      <c r="Q355" s="45"/>
      <c r="R355" s="45" t="str">
        <f>IFERROR(__xludf.DUMMYFUNCTION("""COMPUTED_VALUE"""),"Maria Josefina Azar")</f>
        <v>Maria Josefina Azar</v>
      </c>
      <c r="S355" s="45"/>
      <c r="T355" s="45"/>
      <c r="U355" s="45"/>
      <c r="V355" s="45"/>
      <c r="W355" s="45"/>
      <c r="X355" s="47"/>
      <c r="Y355" s="7" t="str">
        <f>IFERROR(__xludf.DUMMYFUNCTION("""COMPUTED_VALUE"""),"Si")</f>
        <v>Si</v>
      </c>
      <c r="Z355" s="45" t="str">
        <f>IFERROR(__xludf.DUMMYFUNCTION("""COMPUTED_VALUE"""),"Acepto")</f>
        <v>Acepto</v>
      </c>
      <c r="AA355" s="45" t="str">
        <f>IFERROR(__xludf.DUMMYFUNCTION("""COMPUTED_VALUE"""),"Terminado")</f>
        <v>Terminado</v>
      </c>
      <c r="AB355" s="45">
        <f>IFERROR(__xludf.DUMMYFUNCTION("""COMPUTED_VALUE"""),70000.0)</f>
        <v>70000</v>
      </c>
      <c r="AC355" s="7">
        <f>IFERROR(__xludf.DUMMYFUNCTION("""COMPUTED_VALUE"""),205559.0)</f>
        <v>205559</v>
      </c>
      <c r="AD355" s="7" t="str">
        <f>IFERROR(__xludf.DUMMYFUNCTION("""COMPUTED_VALUE"""),"TRF 06-09")</f>
        <v>TRF 06-09</v>
      </c>
      <c r="AE355" s="7" t="str">
        <f>IFERROR(__xludf.DUMMYFUNCTION("""COMPUTED_VALUE"""),"OK")</f>
        <v>OK</v>
      </c>
      <c r="AF355" s="7"/>
    </row>
    <row r="356">
      <c r="A356" s="42">
        <f>IFERROR(__xludf.DUMMYFUNCTION("""COMPUTED_VALUE"""),45541.82541612269)</f>
        <v>45541.82542</v>
      </c>
      <c r="B356" s="43" t="str">
        <f>IFERROR(__xludf.DUMMYFUNCTION("""COMPUTED_VALUE"""),"Catalina")</f>
        <v>Catalina</v>
      </c>
      <c r="C356" s="43" t="str">
        <f>IFERROR(__xludf.DUMMYFUNCTION("""COMPUTED_VALUE"""),"Gomez")</f>
        <v>Gomez</v>
      </c>
      <c r="D356" s="43" t="str">
        <f>IFERROR(__xludf.DUMMYFUNCTION("""COMPUTED_VALUE"""),"San Pedro")</f>
        <v>San Pedro</v>
      </c>
      <c r="E356" s="45" t="str">
        <f>IFERROR(__xludf.DUMMYFUNCTION("""COMPUTED_VALUE"""),"ARG")</f>
        <v>ARG</v>
      </c>
      <c r="F356" s="45">
        <f>IFERROR(__xludf.DUMMYFUNCTION("""COMPUTED_VALUE"""),5.1049622E7)</f>
        <v>51049622</v>
      </c>
      <c r="G356" s="44">
        <f>IFERROR(__xludf.DUMMYFUNCTION("""COMPUTED_VALUE"""),40751.0)</f>
        <v>40751</v>
      </c>
      <c r="H356" s="45">
        <f>IFERROR(__xludf.DUMMYFUNCTION("""COMPUTED_VALUE"""),3.329310498E9)</f>
        <v>3329310498</v>
      </c>
      <c r="I356" s="45">
        <f>IFERROR(__xludf.DUMMYFUNCTION("""COMPUTED_VALUE"""),1.5605497E7)</f>
        <v>15605497</v>
      </c>
      <c r="J356" s="45" t="str">
        <f>IFERROR(__xludf.DUMMYFUNCTION("""COMPUTED_VALUE"""),"noelmuntane@yahoo.es")</f>
        <v>noelmuntane@yahoo.es</v>
      </c>
      <c r="K356" s="45" t="str">
        <f>IFERROR(__xludf.DUMMYFUNCTION("""COMPUTED_VALUE"""),"Femenino")</f>
        <v>Femenino</v>
      </c>
      <c r="L356" s="45" t="str">
        <f>IFERROR(__xludf.DUMMYFUNCTION("""COMPUTED_VALUE"""),"CNSP")</f>
        <v>CNSP</v>
      </c>
      <c r="M356" s="45" t="str">
        <f>IFERROR(__xludf.DUMMYFUNCTION("""COMPUTED_VALUE"""),"Femenino, Interior (Optimist)")</f>
        <v>Femenino, Interior (Optimist)</v>
      </c>
      <c r="N356" s="45" t="str">
        <f>IFERROR(__xludf.DUMMYFUNCTION("""COMPUTED_VALUE"""),"OPTIMIST TIMONELES")</f>
        <v>OPTIMIST TIMONELES</v>
      </c>
      <c r="O356" s="7"/>
      <c r="P356" s="7">
        <f>IFERROR(__xludf.DUMMYFUNCTION("""COMPUTED_VALUE"""),3954.0)</f>
        <v>3954</v>
      </c>
      <c r="Q356" s="45"/>
      <c r="R356" s="45"/>
      <c r="S356" s="45"/>
      <c r="T356" s="45"/>
      <c r="U356" s="45"/>
      <c r="V356" s="45"/>
      <c r="W356" s="45"/>
      <c r="X356" s="47">
        <f>IFERROR(__xludf.DUMMYFUNCTION("""COMPUTED_VALUE"""),2.26524238203E11)</f>
        <v>226524238203</v>
      </c>
      <c r="Y356" s="7" t="str">
        <f>IFERROR(__xludf.DUMMYFUNCTION("""COMPUTED_VALUE"""),"Si")</f>
        <v>Si</v>
      </c>
      <c r="Z356" s="45" t="str">
        <f>IFERROR(__xludf.DUMMYFUNCTION("""COMPUTED_VALUE"""),"Acepto")</f>
        <v>Acepto</v>
      </c>
      <c r="AA356" s="45" t="str">
        <f>IFERROR(__xludf.DUMMYFUNCTION("""COMPUTED_VALUE"""),"Terminado")</f>
        <v>Terminado</v>
      </c>
      <c r="AB356" s="45">
        <f>IFERROR(__xludf.DUMMYFUNCTION("""COMPUTED_VALUE"""),42500.0)</f>
        <v>42500</v>
      </c>
      <c r="AC356" s="7">
        <f>IFERROR(__xludf.DUMMYFUNCTION("""COMPUTED_VALUE"""),205574.0)</f>
        <v>205574</v>
      </c>
      <c r="AD356" s="7" t="str">
        <f>IFERROR(__xludf.DUMMYFUNCTION("""COMPUTED_VALUE"""),"TRF 07-09")</f>
        <v>TRF 07-09</v>
      </c>
      <c r="AE356" s="7" t="str">
        <f>IFERROR(__xludf.DUMMYFUNCTION("""COMPUTED_VALUE"""),"OK")</f>
        <v>OK</v>
      </c>
      <c r="AF356" s="7"/>
    </row>
    <row r="357">
      <c r="A357" s="42">
        <f>IFERROR(__xludf.DUMMYFUNCTION("""COMPUTED_VALUE"""),45541.862908634255)</f>
        <v>45541.86291</v>
      </c>
      <c r="B357" s="43" t="str">
        <f>IFERROR(__xludf.DUMMYFUNCTION("""COMPUTED_VALUE"""),"Félix ")</f>
        <v>Félix </v>
      </c>
      <c r="C357" s="43" t="str">
        <f>IFERROR(__xludf.DUMMYFUNCTION("""COMPUTED_VALUE"""),"Ballestrin")</f>
        <v>Ballestrin</v>
      </c>
      <c r="D357" s="43" t="str">
        <f>IFERROR(__xludf.DUMMYFUNCTION("""COMPUTED_VALUE"""),"CABA")</f>
        <v>CABA</v>
      </c>
      <c r="E357" s="45" t="str">
        <f>IFERROR(__xludf.DUMMYFUNCTION("""COMPUTED_VALUE"""),"ARG")</f>
        <v>ARG</v>
      </c>
      <c r="F357" s="45">
        <f>IFERROR(__xludf.DUMMYFUNCTION("""COMPUTED_VALUE"""),4.786693E7)</f>
        <v>47866930</v>
      </c>
      <c r="G357" s="44">
        <f>IFERROR(__xludf.DUMMYFUNCTION("""COMPUTED_VALUE"""),39310.0)</f>
        <v>39310</v>
      </c>
      <c r="H357" s="45">
        <f>IFERROR(__xludf.DUMMYFUNCTION("""COMPUTED_VALUE"""),9.1128805595E10)</f>
        <v>91128805595</v>
      </c>
      <c r="I357" s="45">
        <f>IFERROR(__xludf.DUMMYFUNCTION("""COMPUTED_VALUE"""),9.1128805595E10)</f>
        <v>91128805595</v>
      </c>
      <c r="J357" s="45" t="str">
        <f>IFERROR(__xludf.DUMMYFUNCTION("""COMPUTED_VALUE"""),"felixballestrin2@gmail.com")</f>
        <v>felixballestrin2@gmail.com</v>
      </c>
      <c r="K357" s="45" t="str">
        <f>IFERROR(__xludf.DUMMYFUNCTION("""COMPUTED_VALUE"""),"Masculino")</f>
        <v>Masculino</v>
      </c>
      <c r="L357" s="45" t="str">
        <f>IFERROR(__xludf.DUMMYFUNCTION("""COMPUTED_VALUE"""),"CUBA")</f>
        <v>CUBA</v>
      </c>
      <c r="M357" s="45"/>
      <c r="N357" s="45">
        <f>IFERROR(__xludf.DUMMYFUNCTION("""COMPUTED_VALUE"""),420.0)</f>
        <v>420</v>
      </c>
      <c r="O357" s="7">
        <f>IFERROR(__xludf.DUMMYFUNCTION("""COMPUTED_VALUE"""),70.0)</f>
        <v>70</v>
      </c>
      <c r="P357" s="7">
        <f>IFERROR(__xludf.DUMMYFUNCTION("""COMPUTED_VALUE"""),55345.0)</f>
        <v>55345</v>
      </c>
      <c r="Q357" s="45"/>
      <c r="R357" s="45" t="str">
        <f>IFERROR(__xludf.DUMMYFUNCTION("""COMPUTED_VALUE"""),"Alejo stern")</f>
        <v>Alejo stern</v>
      </c>
      <c r="S357" s="45" t="str">
        <f>IFERROR(__xludf.DUMMYFUNCTION("""COMPUTED_VALUE"""),"Félix Ballestrin")</f>
        <v>Félix Ballestrin</v>
      </c>
      <c r="T357" s="45"/>
      <c r="U357" s="45"/>
      <c r="V357" s="45"/>
      <c r="W357" s="45"/>
      <c r="X357" s="47" t="str">
        <f>IFERROR(__xludf.DUMMYFUNCTION("""COMPUTED_VALUE"""),"Osde ")</f>
        <v>Osde </v>
      </c>
      <c r="Y357" s="7" t="str">
        <f>IFERROR(__xludf.DUMMYFUNCTION("""COMPUTED_VALUE"""),"No")</f>
        <v>No</v>
      </c>
      <c r="Z357" s="45" t="str">
        <f>IFERROR(__xludf.DUMMYFUNCTION("""COMPUTED_VALUE"""),"Acepto")</f>
        <v>Acepto</v>
      </c>
      <c r="AA357" s="45" t="str">
        <f>IFERROR(__xludf.DUMMYFUNCTION("""COMPUTED_VALUE"""),"Terminado")</f>
        <v>Terminado</v>
      </c>
      <c r="AB357" s="45">
        <f>IFERROR(__xludf.DUMMYFUNCTION("""COMPUTED_VALUE"""),65000.0)</f>
        <v>65000</v>
      </c>
      <c r="AC357" s="7">
        <f>IFERROR(__xludf.DUMMYFUNCTION("""COMPUTED_VALUE"""),205688.0)</f>
        <v>205688</v>
      </c>
      <c r="AD357" s="7" t="str">
        <f>IFERROR(__xludf.DUMMYFUNCTION("""COMPUTED_VALUE"""),"TRF 11-09")</f>
        <v>TRF 11-09</v>
      </c>
      <c r="AE357" s="7" t="str">
        <f>IFERROR(__xludf.DUMMYFUNCTION("""COMPUTED_VALUE"""),"OK")</f>
        <v>OK</v>
      </c>
      <c r="AF357" s="7" t="str">
        <f>IFERROR(__xludf.DUMMYFUNCTION("""COMPUTED_VALUE"""),"Si")</f>
        <v>Si</v>
      </c>
    </row>
    <row r="358">
      <c r="A358" s="42">
        <f>IFERROR(__xludf.DUMMYFUNCTION("""COMPUTED_VALUE"""),45541.88373035879)</f>
        <v>45541.88373</v>
      </c>
      <c r="B358" s="43" t="str">
        <f>IFERROR(__xludf.DUMMYFUNCTION("""COMPUTED_VALUE"""),"Augusto")</f>
        <v>Augusto</v>
      </c>
      <c r="C358" s="43" t="str">
        <f>IFERROR(__xludf.DUMMYFUNCTION("""COMPUTED_VALUE"""),"Amato")</f>
        <v>Amato</v>
      </c>
      <c r="D358" s="43" t="str">
        <f>IFERROR(__xludf.DUMMYFUNCTION("""COMPUTED_VALUE"""),"Olivos")</f>
        <v>Olivos</v>
      </c>
      <c r="E358" s="45" t="str">
        <f>IFERROR(__xludf.DUMMYFUNCTION("""COMPUTED_VALUE"""),"ARG")</f>
        <v>ARG</v>
      </c>
      <c r="F358" s="45">
        <f>IFERROR(__xludf.DUMMYFUNCTION("""COMPUTED_VALUE"""),2.2847701E7)</f>
        <v>22847701</v>
      </c>
      <c r="G358" s="44">
        <f>IFERROR(__xludf.DUMMYFUNCTION("""COMPUTED_VALUE"""),26492.0)</f>
        <v>26492</v>
      </c>
      <c r="H358" s="45">
        <f>IFERROR(__xludf.DUMMYFUNCTION("""COMPUTED_VALUE"""),1.135726575E9)</f>
        <v>1135726575</v>
      </c>
      <c r="I358" s="45"/>
      <c r="J358" s="45" t="str">
        <f>IFERROR(__xludf.DUMMYFUNCTION("""COMPUTED_VALUE"""),"augusto_amato@hotmail.com")</f>
        <v>augusto_amato@hotmail.com</v>
      </c>
      <c r="K358" s="45" t="str">
        <f>IFERROR(__xludf.DUMMYFUNCTION("""COMPUTED_VALUE"""),"Masculino")</f>
        <v>Masculino</v>
      </c>
      <c r="L358" s="45" t="str">
        <f>IFERROR(__xludf.DUMMYFUNCTION("""COMPUTED_VALUE"""),"CNO")</f>
        <v>CNO</v>
      </c>
      <c r="M358" s="45"/>
      <c r="N358" s="45" t="str">
        <f>IFERROR(__xludf.DUMMYFUNCTION("""COMPUTED_VALUE"""),"SNIPE")</f>
        <v>SNIPE</v>
      </c>
      <c r="O358" s="7"/>
      <c r="P358" s="7" t="str">
        <f>IFERROR(__xludf.DUMMYFUNCTION("""COMPUTED_VALUE"""),"ARG 31752")</f>
        <v>ARG 31752</v>
      </c>
      <c r="Q358" s="45" t="str">
        <f>IFERROR(__xludf.DUMMYFUNCTION("""COMPUTED_VALUE"""),"Lightning McQueen")</f>
        <v>Lightning McQueen</v>
      </c>
      <c r="R358" s="45" t="str">
        <f>IFERROR(__xludf.DUMMYFUNCTION("""COMPUTED_VALUE"""),"Constanza Alvarez")</f>
        <v>Constanza Alvarez</v>
      </c>
      <c r="S358" s="45"/>
      <c r="T358" s="45"/>
      <c r="U358" s="45"/>
      <c r="V358" s="45"/>
      <c r="W358" s="45"/>
      <c r="X358" s="47" t="str">
        <f>IFERROR(__xludf.DUMMYFUNCTION("""COMPUTED_VALUE"""),"Obra Social del Poder Judicial ")</f>
        <v>Obra Social del Poder Judicial </v>
      </c>
      <c r="Y358" s="7" t="str">
        <f>IFERROR(__xludf.DUMMYFUNCTION("""COMPUTED_VALUE"""),"No")</f>
        <v>No</v>
      </c>
      <c r="Z358" s="45" t="str">
        <f>IFERROR(__xludf.DUMMYFUNCTION("""COMPUTED_VALUE"""),"Acepto")</f>
        <v>Acepto</v>
      </c>
      <c r="AA358" s="45" t="str">
        <f>IFERROR(__xludf.DUMMYFUNCTION("""COMPUTED_VALUE"""),"Terminado")</f>
        <v>Terminado</v>
      </c>
      <c r="AB358" s="45">
        <f>IFERROR(__xludf.DUMMYFUNCTION("""COMPUTED_VALUE"""),60000.0)</f>
        <v>60000</v>
      </c>
      <c r="AC358" s="7">
        <f>IFERROR(__xludf.DUMMYFUNCTION("""COMPUTED_VALUE"""),205561.0)</f>
        <v>205561</v>
      </c>
      <c r="AD358" s="7" t="str">
        <f>IFERROR(__xludf.DUMMYFUNCTION("""COMPUTED_VALUE"""),"TRF 06-09")</f>
        <v>TRF 06-09</v>
      </c>
      <c r="AE358" s="7" t="str">
        <f>IFERROR(__xludf.DUMMYFUNCTION("""COMPUTED_VALUE"""),"No Corresp")</f>
        <v>No Corresp</v>
      </c>
      <c r="AF358" s="7"/>
    </row>
    <row r="359">
      <c r="A359" s="42">
        <f>IFERROR(__xludf.DUMMYFUNCTION("""COMPUTED_VALUE"""),45542.5371641088)</f>
        <v>45542.53716</v>
      </c>
      <c r="B359" s="43" t="str">
        <f>IFERROR(__xludf.DUMMYFUNCTION("""COMPUTED_VALUE"""),"Simón ")</f>
        <v>Simón </v>
      </c>
      <c r="C359" s="43" t="str">
        <f>IFERROR(__xludf.DUMMYFUNCTION("""COMPUTED_VALUE"""),"Acosta")</f>
        <v>Acosta</v>
      </c>
      <c r="D359" s="43" t="str">
        <f>IFERROR(__xludf.DUMMYFUNCTION("""COMPUTED_VALUE"""),"Buenos Aires")</f>
        <v>Buenos Aires</v>
      </c>
      <c r="E359" s="45" t="str">
        <f>IFERROR(__xludf.DUMMYFUNCTION("""COMPUTED_VALUE"""),"ARG")</f>
        <v>ARG</v>
      </c>
      <c r="F359" s="45">
        <f>IFERROR(__xludf.DUMMYFUNCTION("""COMPUTED_VALUE"""),4.8461733E7)</f>
        <v>48461733</v>
      </c>
      <c r="G359" s="44">
        <f>IFERROR(__xludf.DUMMYFUNCTION("""COMPUTED_VALUE"""),39500.0)</f>
        <v>39500</v>
      </c>
      <c r="H359" s="45">
        <f>IFERROR(__xludf.DUMMYFUNCTION("""COMPUTED_VALUE"""),1.154055655E9)</f>
        <v>1154055655</v>
      </c>
      <c r="I359" s="45"/>
      <c r="J359" s="45" t="str">
        <f>IFERROR(__xludf.DUMMYFUNCTION("""COMPUTED_VALUE"""),"simonacosta3231@gmail.com")</f>
        <v>simonacosta3231@gmail.com</v>
      </c>
      <c r="K359" s="45" t="str">
        <f>IFERROR(__xludf.DUMMYFUNCTION("""COMPUTED_VALUE"""),"Masculino")</f>
        <v>Masculino</v>
      </c>
      <c r="L359" s="45" t="str">
        <f>IFERROR(__xludf.DUMMYFUNCTION("""COMPUTED_VALUE"""),"YCO")</f>
        <v>YCO</v>
      </c>
      <c r="M359" s="45"/>
      <c r="N359" s="45" t="str">
        <f>IFERROR(__xludf.DUMMYFUNCTION("""COMPUTED_VALUE"""),"SNIPE")</f>
        <v>SNIPE</v>
      </c>
      <c r="O359" s="7"/>
      <c r="P359" s="7">
        <f>IFERROR(__xludf.DUMMYFUNCTION("""COMPUTED_VALUE"""),2982.0)</f>
        <v>2982</v>
      </c>
      <c r="Q359" s="45"/>
      <c r="R359" s="45" t="str">
        <f>IFERROR(__xludf.DUMMYFUNCTION("""COMPUTED_VALUE"""),"Simón Acosta")</f>
        <v>Simón Acosta</v>
      </c>
      <c r="S359" s="45" t="str">
        <f>IFERROR(__xludf.DUMMYFUNCTION("""COMPUTED_VALUE"""),"Juan Cruz García Quiroga")</f>
        <v>Juan Cruz García Quiroga</v>
      </c>
      <c r="T359" s="45"/>
      <c r="U359" s="45"/>
      <c r="V359" s="45"/>
      <c r="W359" s="45"/>
      <c r="X359" s="47" t="str">
        <f>IFERROR(__xludf.DUMMYFUNCTION("""COMPUTED_VALUE"""),"MEDICUS")</f>
        <v>MEDICUS</v>
      </c>
      <c r="Y359" s="7" t="str">
        <f>IFERROR(__xludf.DUMMYFUNCTION("""COMPUTED_VALUE"""),"Si")</f>
        <v>Si</v>
      </c>
      <c r="Z359" s="45" t="str">
        <f>IFERROR(__xludf.DUMMYFUNCTION("""COMPUTED_VALUE"""),"Acepto")</f>
        <v>Acepto</v>
      </c>
      <c r="AA359" s="45" t="str">
        <f>IFERROR(__xludf.DUMMYFUNCTION("""COMPUTED_VALUE"""),"Terminado")</f>
        <v>Terminado</v>
      </c>
      <c r="AB359" s="45">
        <f>IFERROR(__xludf.DUMMYFUNCTION("""COMPUTED_VALUE"""),60000.0)</f>
        <v>60000</v>
      </c>
      <c r="AC359" s="7"/>
      <c r="AD359" s="7" t="str">
        <f>IFERROR(__xludf.DUMMYFUNCTION("""COMPUTED_VALUE"""),"AF")</f>
        <v>AF</v>
      </c>
      <c r="AE359" s="7" t="str">
        <f>IFERROR(__xludf.DUMMYFUNCTION("""COMPUTED_VALUE"""),"OK")</f>
        <v>OK</v>
      </c>
      <c r="AF359" s="7"/>
    </row>
    <row r="360">
      <c r="A360" s="42">
        <f>IFERROR(__xludf.DUMMYFUNCTION("""COMPUTED_VALUE"""),45542.74855215278)</f>
        <v>45542.74855</v>
      </c>
      <c r="B360" s="43" t="str">
        <f>IFERROR(__xludf.DUMMYFUNCTION("""COMPUTED_VALUE"""),"Félix ")</f>
        <v>Félix </v>
      </c>
      <c r="C360" s="43" t="str">
        <f>IFERROR(__xludf.DUMMYFUNCTION("""COMPUTED_VALUE"""),"Bürg")</f>
        <v>Bürg</v>
      </c>
      <c r="D360" s="43" t="str">
        <f>IFERROR(__xludf.DUMMYFUNCTION("""COMPUTED_VALUE"""),"Martinez")</f>
        <v>Martinez</v>
      </c>
      <c r="E360" s="45" t="str">
        <f>IFERROR(__xludf.DUMMYFUNCTION("""COMPUTED_VALUE"""),"ARG")</f>
        <v>ARG</v>
      </c>
      <c r="F360" s="45">
        <f>IFERROR(__xludf.DUMMYFUNCTION("""COMPUTED_VALUE"""),4.9588515E7)</f>
        <v>49588515</v>
      </c>
      <c r="G360" s="44">
        <f>IFERROR(__xludf.DUMMYFUNCTION("""COMPUTED_VALUE"""),40308.0)</f>
        <v>40308</v>
      </c>
      <c r="H360" s="45">
        <f>IFERROR(__xludf.DUMMYFUNCTION("""COMPUTED_VALUE"""),1.150127302E9)</f>
        <v>1150127302</v>
      </c>
      <c r="I360" s="45">
        <f>IFERROR(__xludf.DUMMYFUNCTION("""COMPUTED_VALUE"""),1.150127302E9)</f>
        <v>1150127302</v>
      </c>
      <c r="J360" s="45" t="str">
        <f>IFERROR(__xludf.DUMMYFUNCTION("""COMPUTED_VALUE"""),"Feliiiixbuurg@gmail.com")</f>
        <v>Feliiiixbuurg@gmail.com</v>
      </c>
      <c r="K360" s="45" t="str">
        <f>IFERROR(__xludf.DUMMYFUNCTION("""COMPUTED_VALUE"""),"Masculino")</f>
        <v>Masculino</v>
      </c>
      <c r="L360" s="45" t="str">
        <f>IFERROR(__xludf.DUMMYFUNCTION("""COMPUTED_VALUE"""),"CPNLB")</f>
        <v>CPNLB</v>
      </c>
      <c r="M360" s="45"/>
      <c r="N360" s="45">
        <f>IFERROR(__xludf.DUMMYFUNCTION("""COMPUTED_VALUE"""),420.0)</f>
        <v>420</v>
      </c>
      <c r="O360" s="7">
        <f>IFERROR(__xludf.DUMMYFUNCTION("""COMPUTED_VALUE"""),72.0)</f>
        <v>72</v>
      </c>
      <c r="P360" s="7">
        <f>IFERROR(__xludf.DUMMYFUNCTION("""COMPUTED_VALUE"""),55348.0)</f>
        <v>55348</v>
      </c>
      <c r="Q360" s="45"/>
      <c r="R360" s="45" t="str">
        <f>IFERROR(__xludf.DUMMYFUNCTION("""COMPUTED_VALUE"""),"Félix Bürg")</f>
        <v>Félix Bürg</v>
      </c>
      <c r="S360" s="45" t="str">
        <f>IFERROR(__xludf.DUMMYFUNCTION("""COMPUTED_VALUE"""),"Matias Fernandez ")</f>
        <v>Matias Fernandez </v>
      </c>
      <c r="T360" s="45"/>
      <c r="U360" s="45"/>
      <c r="V360" s="45"/>
      <c r="W360" s="45"/>
      <c r="X360" s="47" t="str">
        <f>IFERROR(__xludf.DUMMYFUNCTION("""COMPUTED_VALUE"""),"OSDE 60858218104")</f>
        <v>OSDE 60858218104</v>
      </c>
      <c r="Y360" s="7" t="str">
        <f>IFERROR(__xludf.DUMMYFUNCTION("""COMPUTED_VALUE"""),"No")</f>
        <v>No</v>
      </c>
      <c r="Z360" s="45" t="str">
        <f>IFERROR(__xludf.DUMMYFUNCTION("""COMPUTED_VALUE"""),"Acepto")</f>
        <v>Acepto</v>
      </c>
      <c r="AA360" s="45" t="str">
        <f>IFERROR(__xludf.DUMMYFUNCTION("""COMPUTED_VALUE"""),"Pendiente")</f>
        <v>Pendiente</v>
      </c>
      <c r="AB360" s="45"/>
      <c r="AC360" s="7"/>
      <c r="AD360" s="7"/>
      <c r="AE360" s="7" t="str">
        <f>IFERROR(__xludf.DUMMYFUNCTION("""COMPUTED_VALUE"""),"OK")</f>
        <v>OK</v>
      </c>
      <c r="AF360" s="7"/>
    </row>
    <row r="361">
      <c r="A361" s="42">
        <f>IFERROR(__xludf.DUMMYFUNCTION("""COMPUTED_VALUE"""),45542.798295995366)</f>
        <v>45542.7983</v>
      </c>
      <c r="B361" s="43" t="str">
        <f>IFERROR(__xludf.DUMMYFUNCTION("""COMPUTED_VALUE"""),"ASTOR")</f>
        <v>ASTOR</v>
      </c>
      <c r="C361" s="43" t="str">
        <f>IFERROR(__xludf.DUMMYFUNCTION("""COMPUTED_VALUE"""),"CUESTAS")</f>
        <v>CUESTAS</v>
      </c>
      <c r="D361" s="43" t="str">
        <f>IFERROR(__xludf.DUMMYFUNCTION("""COMPUTED_VALUE"""),"SAN NICOLAS DE LOS ARROYOS")</f>
        <v>SAN NICOLAS DE LOS ARROYOS</v>
      </c>
      <c r="E361" s="45" t="str">
        <f>IFERROR(__xludf.DUMMYFUNCTION("""COMPUTED_VALUE"""),"ARG")</f>
        <v>ARG</v>
      </c>
      <c r="F361" s="45">
        <f>IFERROR(__xludf.DUMMYFUNCTION("""COMPUTED_VALUE"""),5.2118147E7)</f>
        <v>52118147</v>
      </c>
      <c r="G361" s="44">
        <f>IFERROR(__xludf.DUMMYFUNCTION("""COMPUTED_VALUE"""),40986.0)</f>
        <v>40986</v>
      </c>
      <c r="H361" s="45">
        <f>IFERROR(__xludf.DUMMYFUNCTION("""COMPUTED_VALUE"""),3.364580195E9)</f>
        <v>3364580195</v>
      </c>
      <c r="I361" s="45">
        <f>IFERROR(__xludf.DUMMYFUNCTION("""COMPUTED_VALUE"""),3.36459924E9)</f>
        <v>3364599240</v>
      </c>
      <c r="J361" s="45" t="str">
        <f>IFERROR(__xludf.DUMMYFUNCTION("""COMPUTED_VALUE"""),"m.a.cuestas@live.com.ar")</f>
        <v>m.a.cuestas@live.com.ar</v>
      </c>
      <c r="K361" s="45" t="str">
        <f>IFERROR(__xludf.DUMMYFUNCTION("""COMPUTED_VALUE"""),"Masculino")</f>
        <v>Masculino</v>
      </c>
      <c r="L361" s="45" t="str">
        <f>IFERROR(__xludf.DUMMYFUNCTION("""COMPUTED_VALUE"""),"CRSN-CVR")</f>
        <v>CRSN-CVR</v>
      </c>
      <c r="M361" s="45" t="str">
        <f>IFERROR(__xludf.DUMMYFUNCTION("""COMPUTED_VALUE"""),"Interior (Optimist)")</f>
        <v>Interior (Optimist)</v>
      </c>
      <c r="N361" s="45" t="str">
        <f>IFERROR(__xludf.DUMMYFUNCTION("""COMPUTED_VALUE"""),"OPTIMIST TIMONELES")</f>
        <v>OPTIMIST TIMONELES</v>
      </c>
      <c r="O361" s="7"/>
      <c r="P361" s="7">
        <f>IFERROR(__xludf.DUMMYFUNCTION("""COMPUTED_VALUE"""),3793.0)</f>
        <v>3793</v>
      </c>
      <c r="Q361" s="45" t="str">
        <f>IFERROR(__xludf.DUMMYFUNCTION("""COMPUTED_VALUE"""),"ASTOR")</f>
        <v>ASTOR</v>
      </c>
      <c r="R361" s="45"/>
      <c r="S361" s="45"/>
      <c r="T361" s="45"/>
      <c r="U361" s="45"/>
      <c r="V361" s="45"/>
      <c r="W361" s="45"/>
      <c r="X361" s="47" t="str">
        <f>IFERROR(__xludf.DUMMYFUNCTION("""COMPUTED_VALUE"""),"IOMA / MEDIFE")</f>
        <v>IOMA / MEDIFE</v>
      </c>
      <c r="Y361" s="7" t="str">
        <f>IFERROR(__xludf.DUMMYFUNCTION("""COMPUTED_VALUE"""),"Si")</f>
        <v>Si</v>
      </c>
      <c r="Z361" s="45" t="str">
        <f>IFERROR(__xludf.DUMMYFUNCTION("""COMPUTED_VALUE"""),"Acepto")</f>
        <v>Acepto</v>
      </c>
      <c r="AA361" s="45" t="str">
        <f>IFERROR(__xludf.DUMMYFUNCTION("""COMPUTED_VALUE"""),"Terminado")</f>
        <v>Terminado</v>
      </c>
      <c r="AB361" s="45">
        <f>IFERROR(__xludf.DUMMYFUNCTION("""COMPUTED_VALUE"""),42500.0)</f>
        <v>42500</v>
      </c>
      <c r="AC361" s="7">
        <f>IFERROR(__xludf.DUMMYFUNCTION("""COMPUTED_VALUE"""),205578.0)</f>
        <v>205578</v>
      </c>
      <c r="AD361" s="7" t="str">
        <f>IFERROR(__xludf.DUMMYFUNCTION("""COMPUTED_VALUE"""),"TRF 07-09")</f>
        <v>TRF 07-09</v>
      </c>
      <c r="AE361" s="7" t="str">
        <f>IFERROR(__xludf.DUMMYFUNCTION("""COMPUTED_VALUE"""),"OK")</f>
        <v>OK</v>
      </c>
      <c r="AF361" s="7"/>
    </row>
    <row r="362">
      <c r="A362" s="42">
        <f>IFERROR(__xludf.DUMMYFUNCTION("""COMPUTED_VALUE"""),45542.8085775463)</f>
        <v>45542.80858</v>
      </c>
      <c r="B362" s="43" t="str">
        <f>IFERROR(__xludf.DUMMYFUNCTION("""COMPUTED_VALUE"""),"Lorenzo")</f>
        <v>Lorenzo</v>
      </c>
      <c r="C362" s="43" t="str">
        <f>IFERROR(__xludf.DUMMYFUNCTION("""COMPUTED_VALUE"""),"Kaplun")</f>
        <v>Kaplun</v>
      </c>
      <c r="D362" s="43" t="str">
        <f>IFERROR(__xludf.DUMMYFUNCTION("""COMPUTED_VALUE"""),"CABA")</f>
        <v>CABA</v>
      </c>
      <c r="E362" s="45" t="str">
        <f>IFERROR(__xludf.DUMMYFUNCTION("""COMPUTED_VALUE"""),"ARG")</f>
        <v>ARG</v>
      </c>
      <c r="F362" s="45">
        <f>IFERROR(__xludf.DUMMYFUNCTION("""COMPUTED_VALUE"""),5.4794764E7)</f>
        <v>54794764</v>
      </c>
      <c r="G362" s="44">
        <f>IFERROR(__xludf.DUMMYFUNCTION("""COMPUTED_VALUE"""),42162.0)</f>
        <v>42162</v>
      </c>
      <c r="H362" s="45">
        <f>IFERROR(__xludf.DUMMYFUNCTION("""COMPUTED_VALUE"""),1.160069263E9)</f>
        <v>1160069263</v>
      </c>
      <c r="I362" s="45">
        <f>IFERROR(__xludf.DUMMYFUNCTION("""COMPUTED_VALUE"""),1.16423591E9)</f>
        <v>1164235910</v>
      </c>
      <c r="J362" s="45" t="str">
        <f>IFERROR(__xludf.DUMMYFUNCTION("""COMPUTED_VALUE"""),"vanesa.sangoi@gmail.com")</f>
        <v>vanesa.sangoi@gmail.com</v>
      </c>
      <c r="K362" s="45" t="str">
        <f>IFERROR(__xludf.DUMMYFUNCTION("""COMPUTED_VALUE"""),"Masculino")</f>
        <v>Masculino</v>
      </c>
      <c r="L362" s="45" t="str">
        <f>IFERROR(__xludf.DUMMYFUNCTION("""COMPUTED_VALUE"""),"CVSI")</f>
        <v>CVSI</v>
      </c>
      <c r="M362" s="45" t="str">
        <f>IFERROR(__xludf.DUMMYFUNCTION("""COMPUTED_VALUE"""),"Interior (Optimist)")</f>
        <v>Interior (Optimist)</v>
      </c>
      <c r="N362" s="45" t="str">
        <f>IFERROR(__xludf.DUMMYFUNCTION("""COMPUTED_VALUE"""),"OPTIMIST PRINCIPIANTES")</f>
        <v>OPTIMIST PRINCIPIANTES</v>
      </c>
      <c r="O362" s="7"/>
      <c r="P362" s="7">
        <f>IFERROR(__xludf.DUMMYFUNCTION("""COMPUTED_VALUE"""),2631.0)</f>
        <v>2631</v>
      </c>
      <c r="Q362" s="45" t="str">
        <f>IFERROR(__xludf.DUMMYFUNCTION("""COMPUTED_VALUE"""),"Tormenta ")</f>
        <v>Tormenta </v>
      </c>
      <c r="R362" s="45"/>
      <c r="S362" s="45"/>
      <c r="T362" s="45"/>
      <c r="U362" s="45"/>
      <c r="V362" s="45"/>
      <c r="W362" s="45"/>
      <c r="X362" s="47" t="str">
        <f>IFERROR(__xludf.DUMMYFUNCTION("""COMPUTED_VALUE"""),"Hospital Italiano, Plan de Salud N°448082")</f>
        <v>Hospital Italiano, Plan de Salud N°448082</v>
      </c>
      <c r="Y362" s="7" t="str">
        <f>IFERROR(__xludf.DUMMYFUNCTION("""COMPUTED_VALUE"""),"No")</f>
        <v>No</v>
      </c>
      <c r="Z362" s="45" t="str">
        <f>IFERROR(__xludf.DUMMYFUNCTION("""COMPUTED_VALUE"""),"Acepto")</f>
        <v>Acepto</v>
      </c>
      <c r="AA362" s="45" t="str">
        <f>IFERROR(__xludf.DUMMYFUNCTION("""COMPUTED_VALUE"""),"Terminado")</f>
        <v>Terminado</v>
      </c>
      <c r="AB362" s="45">
        <f>IFERROR(__xludf.DUMMYFUNCTION("""COMPUTED_VALUE"""),50000.0)</f>
        <v>50000</v>
      </c>
      <c r="AC362" s="7">
        <f>IFERROR(__xludf.DUMMYFUNCTION("""COMPUTED_VALUE"""),205579.0)</f>
        <v>205579</v>
      </c>
      <c r="AD362" s="7" t="str">
        <f>IFERROR(__xludf.DUMMYFUNCTION("""COMPUTED_VALUE"""),"TRF 07-09")</f>
        <v>TRF 07-09</v>
      </c>
      <c r="AE362" s="7" t="str">
        <f>IFERROR(__xludf.DUMMYFUNCTION("""COMPUTED_VALUE"""),"Pendiente")</f>
        <v>Pendiente</v>
      </c>
      <c r="AF362" s="7"/>
    </row>
    <row r="363">
      <c r="A363" s="42">
        <f>IFERROR(__xludf.DUMMYFUNCTION("""COMPUTED_VALUE"""),45542.8562689699)</f>
        <v>45542.85627</v>
      </c>
      <c r="B363" s="43" t="str">
        <f>IFERROR(__xludf.DUMMYFUNCTION("""COMPUTED_VALUE"""),"Marcos")</f>
        <v>Marcos</v>
      </c>
      <c r="C363" s="43" t="str">
        <f>IFERROR(__xludf.DUMMYFUNCTION("""COMPUTED_VALUE"""),"Amespil")</f>
        <v>Amespil</v>
      </c>
      <c r="D363" s="43" t="str">
        <f>IFERROR(__xludf.DUMMYFUNCTION("""COMPUTED_VALUE"""),"Buenos Aires")</f>
        <v>Buenos Aires</v>
      </c>
      <c r="E363" s="45" t="str">
        <f>IFERROR(__xludf.DUMMYFUNCTION("""COMPUTED_VALUE"""),"ARG")</f>
        <v>ARG</v>
      </c>
      <c r="F363" s="45">
        <f>IFERROR(__xludf.DUMMYFUNCTION("""COMPUTED_VALUE"""),5.489259E7)</f>
        <v>54892590</v>
      </c>
      <c r="G363" s="44">
        <f>IFERROR(__xludf.DUMMYFUNCTION("""COMPUTED_VALUE"""),42157.0)</f>
        <v>42157</v>
      </c>
      <c r="H363" s="45">
        <f>IFERROR(__xludf.DUMMYFUNCTION("""COMPUTED_VALUE"""),1.144447565E9)</f>
        <v>1144447565</v>
      </c>
      <c r="I363" s="45">
        <f>IFERROR(__xludf.DUMMYFUNCTION("""COMPUTED_VALUE"""),1.157511245E9)</f>
        <v>1157511245</v>
      </c>
      <c r="J363" s="45" t="str">
        <f>IFERROR(__xludf.DUMMYFUNCTION("""COMPUTED_VALUE"""),"josetanoue@gmail.com")</f>
        <v>josetanoue@gmail.com</v>
      </c>
      <c r="K363" s="45" t="str">
        <f>IFERROR(__xludf.DUMMYFUNCTION("""COMPUTED_VALUE"""),"Masculino")</f>
        <v>Masculino</v>
      </c>
      <c r="L363" s="45" t="str">
        <f>IFERROR(__xludf.DUMMYFUNCTION("""COMPUTED_VALUE"""),"CUBA")</f>
        <v>CUBA</v>
      </c>
      <c r="M363" s="45"/>
      <c r="N363" s="45" t="str">
        <f>IFERROR(__xludf.DUMMYFUNCTION("""COMPUTED_VALUE"""),"OPTIMIST PRINCIPIANTES")</f>
        <v>OPTIMIST PRINCIPIANTES</v>
      </c>
      <c r="O363" s="7"/>
      <c r="P363" s="7">
        <f>IFERROR(__xludf.DUMMYFUNCTION("""COMPUTED_VALUE"""),3860.0)</f>
        <v>3860</v>
      </c>
      <c r="Q363" s="45"/>
      <c r="R363" s="45" t="str">
        <f>IFERROR(__xludf.DUMMYFUNCTION("""COMPUTED_VALUE"""),"Marcos Amespil")</f>
        <v>Marcos Amespil</v>
      </c>
      <c r="S363" s="45"/>
      <c r="T363" s="45"/>
      <c r="U363" s="45"/>
      <c r="V363" s="45"/>
      <c r="W363" s="45"/>
      <c r="X363" s="47" t="str">
        <f>IFERROR(__xludf.DUMMYFUNCTION("""COMPUTED_VALUE"""),"Osde 61586412004")</f>
        <v>Osde 61586412004</v>
      </c>
      <c r="Y363" s="7" t="str">
        <f>IFERROR(__xludf.DUMMYFUNCTION("""COMPUTED_VALUE"""),"No")</f>
        <v>No</v>
      </c>
      <c r="Z363" s="45" t="str">
        <f>IFERROR(__xludf.DUMMYFUNCTION("""COMPUTED_VALUE"""),"Acepto")</f>
        <v>Acepto</v>
      </c>
      <c r="AA363" s="45" t="str">
        <f>IFERROR(__xludf.DUMMYFUNCTION("""COMPUTED_VALUE"""),"Terminado")</f>
        <v>Terminado</v>
      </c>
      <c r="AB363" s="45">
        <f>IFERROR(__xludf.DUMMYFUNCTION("""COMPUTED_VALUE"""),60000.0)</f>
        <v>60000</v>
      </c>
      <c r="AC363" s="7">
        <f>IFERROR(__xludf.DUMMYFUNCTION("""COMPUTED_VALUE"""),205582.0)</f>
        <v>205582</v>
      </c>
      <c r="AD363" s="7" t="str">
        <f>IFERROR(__xludf.DUMMYFUNCTION("""COMPUTED_VALUE"""),"TRF 07-09")</f>
        <v>TRF 07-09</v>
      </c>
      <c r="AE363" s="7" t="str">
        <f>IFERROR(__xludf.DUMMYFUNCTION("""COMPUTED_VALUE"""),"OK")</f>
        <v>OK</v>
      </c>
      <c r="AF363" s="7"/>
    </row>
    <row r="364">
      <c r="A364" s="42">
        <f>IFERROR(__xludf.DUMMYFUNCTION("""COMPUTED_VALUE"""),45542.85817928241)</f>
        <v>45542.85818</v>
      </c>
      <c r="B364" s="43" t="str">
        <f>IFERROR(__xludf.DUMMYFUNCTION("""COMPUTED_VALUE"""),"Joaquin ")</f>
        <v>Joaquin </v>
      </c>
      <c r="C364" s="43" t="str">
        <f>IFERROR(__xludf.DUMMYFUNCTION("""COMPUTED_VALUE"""),"Lopez Tilli ")</f>
        <v>Lopez Tilli </v>
      </c>
      <c r="D364" s="43" t="str">
        <f>IFERROR(__xludf.DUMMYFUNCTION("""COMPUTED_VALUE"""),"CABA")</f>
        <v>CABA</v>
      </c>
      <c r="E364" s="45" t="str">
        <f>IFERROR(__xludf.DUMMYFUNCTION("""COMPUTED_VALUE"""),"ARG")</f>
        <v>ARG</v>
      </c>
      <c r="F364" s="45">
        <f>IFERROR(__xludf.DUMMYFUNCTION("""COMPUTED_VALUE"""),4.8860728E7)</f>
        <v>48860728</v>
      </c>
      <c r="G364" s="44">
        <f>IFERROR(__xludf.DUMMYFUNCTION("""COMPUTED_VALUE"""),39675.0)</f>
        <v>39675</v>
      </c>
      <c r="H364" s="45" t="str">
        <f>IFERROR(__xludf.DUMMYFUNCTION("""COMPUTED_VALUE"""),"11 5501 5252")</f>
        <v>11 5501 5252</v>
      </c>
      <c r="I364" s="45" t="str">
        <f>IFERROR(__xludf.DUMMYFUNCTION("""COMPUTED_VALUE"""),"11 5953 8203")</f>
        <v>11 5953 8203</v>
      </c>
      <c r="J364" s="45" t="str">
        <f>IFERROR(__xludf.DUMMYFUNCTION("""COMPUTED_VALUE"""),"jmlopeztilli@gmail.com")</f>
        <v>jmlopeztilli@gmail.com</v>
      </c>
      <c r="K364" s="45" t="str">
        <f>IFERROR(__xludf.DUMMYFUNCTION("""COMPUTED_VALUE"""),"Masculino")</f>
        <v>Masculino</v>
      </c>
      <c r="L364" s="45" t="str">
        <f>IFERROR(__xludf.DUMMYFUNCTION("""COMPUTED_VALUE"""),"CUBA")</f>
        <v>CUBA</v>
      </c>
      <c r="M364" s="45">
        <f>IFERROR(__xludf.DUMMYFUNCTION("""COMPUTED_VALUE"""),420.0)</f>
        <v>420</v>
      </c>
      <c r="N364" s="45">
        <f>IFERROR(__xludf.DUMMYFUNCTION("""COMPUTED_VALUE"""),420.0)</f>
        <v>420</v>
      </c>
      <c r="O364" s="7">
        <f>IFERROR(__xludf.DUMMYFUNCTION("""COMPUTED_VALUE"""),40.0)</f>
        <v>40</v>
      </c>
      <c r="P364" s="7">
        <f>IFERROR(__xludf.DUMMYFUNCTION("""COMPUTED_VALUE"""),57445.0)</f>
        <v>57445</v>
      </c>
      <c r="Q364" s="45"/>
      <c r="R364" s="45" t="str">
        <f>IFERROR(__xludf.DUMMYFUNCTION("""COMPUTED_VALUE"""),"Claire Lopez Tilli ")</f>
        <v>Claire Lopez Tilli </v>
      </c>
      <c r="S364" s="45" t="str">
        <f>IFERROR(__xludf.DUMMYFUNCTION("""COMPUTED_VALUE"""),"Joaquin Lopez Tilli ")</f>
        <v>Joaquin Lopez Tilli </v>
      </c>
      <c r="T364" s="45"/>
      <c r="U364" s="45"/>
      <c r="V364" s="45"/>
      <c r="W364" s="45"/>
      <c r="X364" s="47" t="str">
        <f>IFERROR(__xludf.DUMMYFUNCTION("""COMPUTED_VALUE"""),"OSDE 310")</f>
        <v>OSDE 310</v>
      </c>
      <c r="Y364" s="7" t="str">
        <f>IFERROR(__xludf.DUMMYFUNCTION("""COMPUTED_VALUE"""),"No")</f>
        <v>No</v>
      </c>
      <c r="Z364" s="45" t="str">
        <f>IFERROR(__xludf.DUMMYFUNCTION("""COMPUTED_VALUE"""),"Acepto")</f>
        <v>Acepto</v>
      </c>
      <c r="AA364" s="45" t="str">
        <f>IFERROR(__xludf.DUMMYFUNCTION("""COMPUTED_VALUE"""),"Terminado")</f>
        <v>Terminado</v>
      </c>
      <c r="AB364" s="45">
        <f>IFERROR(__xludf.DUMMYFUNCTION("""COMPUTED_VALUE"""),65000.0)</f>
        <v>65000</v>
      </c>
      <c r="AC364" s="7">
        <f>IFERROR(__xludf.DUMMYFUNCTION("""COMPUTED_VALUE"""),205632.0)</f>
        <v>205632</v>
      </c>
      <c r="AD364" s="7" t="str">
        <f>IFERROR(__xludf.DUMMYFUNCTION("""COMPUTED_VALUE"""),"TRF 09-09")</f>
        <v>TRF 09-09</v>
      </c>
      <c r="AE364" s="7" t="str">
        <f>IFERROR(__xludf.DUMMYFUNCTION("""COMPUTED_VALUE"""),"OK")</f>
        <v>OK</v>
      </c>
      <c r="AF364" s="7" t="str">
        <f>IFERROR(__xludf.DUMMYFUNCTION("""COMPUTED_VALUE"""),"Si")</f>
        <v>Si</v>
      </c>
    </row>
    <row r="365">
      <c r="A365" s="42">
        <f>IFERROR(__xludf.DUMMYFUNCTION("""COMPUTED_VALUE"""),45542.92700847222)</f>
        <v>45542.92701</v>
      </c>
      <c r="B365" s="43" t="str">
        <f>IFERROR(__xludf.DUMMYFUNCTION("""COMPUTED_VALUE"""),"Lolo")</f>
        <v>Lolo</v>
      </c>
      <c r="C365" s="43" t="str">
        <f>IFERROR(__xludf.DUMMYFUNCTION("""COMPUTED_VALUE"""),"Roccatagliata ")</f>
        <v>Roccatagliata </v>
      </c>
      <c r="D365" s="43" t="str">
        <f>IFERROR(__xludf.DUMMYFUNCTION("""COMPUTED_VALUE"""),"Caba")</f>
        <v>Caba</v>
      </c>
      <c r="E365" s="45" t="str">
        <f>IFERROR(__xludf.DUMMYFUNCTION("""COMPUTED_VALUE"""),"ARG")</f>
        <v>ARG</v>
      </c>
      <c r="F365" s="45">
        <f>IFERROR(__xludf.DUMMYFUNCTION("""COMPUTED_VALUE"""),5.2647669E7)</f>
        <v>52647669</v>
      </c>
      <c r="G365" s="44">
        <f>IFERROR(__xludf.DUMMYFUNCTION("""COMPUTED_VALUE"""),41136.0)</f>
        <v>41136</v>
      </c>
      <c r="H365" s="45">
        <f>IFERROR(__xludf.DUMMYFUNCTION("""COMPUTED_VALUE"""),1.165373499E9)</f>
        <v>1165373499</v>
      </c>
      <c r="I365" s="45">
        <f>IFERROR(__xludf.DUMMYFUNCTION("""COMPUTED_VALUE"""),1.156373499E9)</f>
        <v>1156373499</v>
      </c>
      <c r="J365" s="45" t="str">
        <f>IFERROR(__xludf.DUMMYFUNCTION("""COMPUTED_VALUE"""),"miaschmitz@gmail.com")</f>
        <v>miaschmitz@gmail.com</v>
      </c>
      <c r="K365" s="45" t="str">
        <f>IFERROR(__xludf.DUMMYFUNCTION("""COMPUTED_VALUE"""),"Masculino")</f>
        <v>Masculino</v>
      </c>
      <c r="L365" s="45" t="str">
        <f>IFERROR(__xludf.DUMMYFUNCTION("""COMPUTED_VALUE"""),"CUBA")</f>
        <v>CUBA</v>
      </c>
      <c r="M365" s="45"/>
      <c r="N365" s="45" t="str">
        <f>IFERROR(__xludf.DUMMYFUNCTION("""COMPUTED_VALUE"""),"OPTIMIST TIMONELES")</f>
        <v>OPTIMIST TIMONELES</v>
      </c>
      <c r="O365" s="7"/>
      <c r="P365" s="7">
        <f>IFERROR(__xludf.DUMMYFUNCTION("""COMPUTED_VALUE"""),3795.0)</f>
        <v>3795</v>
      </c>
      <c r="Q365" s="45"/>
      <c r="R365" s="45"/>
      <c r="S365" s="45"/>
      <c r="T365" s="45"/>
      <c r="U365" s="45"/>
      <c r="V365" s="45"/>
      <c r="W365" s="45"/>
      <c r="X365" s="47" t="str">
        <f>IFERROR(__xludf.DUMMYFUNCTION("""COMPUTED_VALUE"""),"Swiss Medical")</f>
        <v>Swiss Medical</v>
      </c>
      <c r="Y365" s="7" t="str">
        <f>IFERROR(__xludf.DUMMYFUNCTION("""COMPUTED_VALUE"""),"Si")</f>
        <v>Si</v>
      </c>
      <c r="Z365" s="45" t="str">
        <f>IFERROR(__xludf.DUMMYFUNCTION("""COMPUTED_VALUE"""),"Acepto")</f>
        <v>Acepto</v>
      </c>
      <c r="AA365" s="45" t="str">
        <f>IFERROR(__xludf.DUMMYFUNCTION("""COMPUTED_VALUE"""),"Terminado")</f>
        <v>Terminado</v>
      </c>
      <c r="AB365" s="45">
        <f>IFERROR(__xludf.DUMMYFUNCTION("""COMPUTED_VALUE"""),50000.0)</f>
        <v>50000</v>
      </c>
      <c r="AC365" s="7"/>
      <c r="AD365" s="7" t="str">
        <f>IFERROR(__xludf.DUMMYFUNCTION("""COMPUTED_VALUE"""),"TRF 07-09")</f>
        <v>TRF 07-09</v>
      </c>
      <c r="AE365" s="7" t="str">
        <f>IFERROR(__xludf.DUMMYFUNCTION("""COMPUTED_VALUE"""),"OK")</f>
        <v>OK</v>
      </c>
      <c r="AF365" s="7"/>
    </row>
    <row r="366">
      <c r="A366" s="42">
        <f>IFERROR(__xludf.DUMMYFUNCTION("""COMPUTED_VALUE"""),45543.36194070602)</f>
        <v>45543.36194</v>
      </c>
      <c r="B366" s="43" t="str">
        <f>IFERROR(__xludf.DUMMYFUNCTION("""COMPUTED_VALUE"""),"Cami")</f>
        <v>Cami</v>
      </c>
      <c r="C366" s="43" t="str">
        <f>IFERROR(__xludf.DUMMYFUNCTION("""COMPUTED_VALUE"""),"García Laborde")</f>
        <v>García Laborde</v>
      </c>
      <c r="D366" s="43" t="str">
        <f>IFERROR(__xludf.DUMMYFUNCTION("""COMPUTED_VALUE"""),"CABA")</f>
        <v>CABA</v>
      </c>
      <c r="E366" s="45" t="str">
        <f>IFERROR(__xludf.DUMMYFUNCTION("""COMPUTED_VALUE"""),"ARG")</f>
        <v>ARG</v>
      </c>
      <c r="F366" s="45">
        <f>IFERROR(__xludf.DUMMYFUNCTION("""COMPUTED_VALUE"""),2.7728004E7)</f>
        <v>27728004</v>
      </c>
      <c r="G366" s="44">
        <f>IFERROR(__xludf.DUMMYFUNCTION("""COMPUTED_VALUE"""),41218.0)</f>
        <v>41218</v>
      </c>
      <c r="H366" s="45">
        <f>IFERROR(__xludf.DUMMYFUNCTION("""COMPUTED_VALUE"""),1.140624064E9)</f>
        <v>1140624064</v>
      </c>
      <c r="I366" s="45">
        <f>IFERROR(__xludf.DUMMYFUNCTION("""COMPUTED_VALUE"""),1.140624064E9)</f>
        <v>1140624064</v>
      </c>
      <c r="J366" s="45" t="str">
        <f>IFERROR(__xludf.DUMMYFUNCTION("""COMPUTED_VALUE"""),"Igarcialaborde@gmail.com")</f>
        <v>Igarcialaborde@gmail.com</v>
      </c>
      <c r="K366" s="45" t="str">
        <f>IFERROR(__xludf.DUMMYFUNCTION("""COMPUTED_VALUE"""),"Femenino")</f>
        <v>Femenino</v>
      </c>
      <c r="L366" s="45" t="str">
        <f>IFERROR(__xludf.DUMMYFUNCTION("""COMPUTED_VALUE"""),"CNSI")</f>
        <v>CNSI</v>
      </c>
      <c r="M366" s="45" t="str">
        <f>IFERROR(__xludf.DUMMYFUNCTION("""COMPUTED_VALUE"""),"Femenino")</f>
        <v>Femenino</v>
      </c>
      <c r="N366" s="45" t="str">
        <f>IFERROR(__xludf.DUMMYFUNCTION("""COMPUTED_VALUE"""),"OPTIMIST TIMONELES")</f>
        <v>OPTIMIST TIMONELES</v>
      </c>
      <c r="O366" s="7"/>
      <c r="P366" s="7" t="str">
        <f>IFERROR(__xludf.DUMMYFUNCTION("""COMPUTED_VALUE"""),"ARG 4100")</f>
        <v>ARG 4100</v>
      </c>
      <c r="Q366" s="45"/>
      <c r="R366" s="45"/>
      <c r="S366" s="45"/>
      <c r="T366" s="45"/>
      <c r="U366" s="45"/>
      <c r="V366" s="45"/>
      <c r="W366" s="45"/>
      <c r="X366" s="47" t="str">
        <f>IFERROR(__xludf.DUMMYFUNCTION("""COMPUTED_VALUE"""),"Swiss Medical ")</f>
        <v>Swiss Medical </v>
      </c>
      <c r="Y366" s="7" t="str">
        <f>IFERROR(__xludf.DUMMYFUNCTION("""COMPUTED_VALUE"""),"Si")</f>
        <v>Si</v>
      </c>
      <c r="Z366" s="45" t="str">
        <f>IFERROR(__xludf.DUMMYFUNCTION("""COMPUTED_VALUE"""),"Acepto")</f>
        <v>Acepto</v>
      </c>
      <c r="AA366" s="45" t="str">
        <f>IFERROR(__xludf.DUMMYFUNCTION("""COMPUTED_VALUE"""),"Pendiente")</f>
        <v>Pendiente</v>
      </c>
      <c r="AB366" s="45"/>
      <c r="AC366" s="7"/>
      <c r="AD366" s="7"/>
      <c r="AE366" s="7" t="str">
        <f>IFERROR(__xludf.DUMMYFUNCTION("""COMPUTED_VALUE"""),"OK")</f>
        <v>OK</v>
      </c>
      <c r="AF366" s="7"/>
    </row>
    <row r="367">
      <c r="A367" s="42">
        <f>IFERROR(__xludf.DUMMYFUNCTION("""COMPUTED_VALUE"""),45543.38278989583)</f>
        <v>45543.38279</v>
      </c>
      <c r="B367" s="43" t="str">
        <f>IFERROR(__xludf.DUMMYFUNCTION("""COMPUTED_VALUE"""),"Esmeralda")</f>
        <v>Esmeralda</v>
      </c>
      <c r="C367" s="43" t="str">
        <f>IFERROR(__xludf.DUMMYFUNCTION("""COMPUTED_VALUE"""),"Molinari")</f>
        <v>Molinari</v>
      </c>
      <c r="D367" s="43" t="str">
        <f>IFERROR(__xludf.DUMMYFUNCTION("""COMPUTED_VALUE"""),"Ituzaigo")</f>
        <v>Ituzaigo</v>
      </c>
      <c r="E367" s="45" t="str">
        <f>IFERROR(__xludf.DUMMYFUNCTION("""COMPUTED_VALUE"""),"ARG")</f>
        <v>ARG</v>
      </c>
      <c r="F367" s="45">
        <f>IFERROR(__xludf.DUMMYFUNCTION("""COMPUTED_VALUE"""),5.0094514E7)</f>
        <v>50094514</v>
      </c>
      <c r="G367" s="44">
        <f>IFERROR(__xludf.DUMMYFUNCTION("""COMPUTED_VALUE"""),40256.0)</f>
        <v>40256</v>
      </c>
      <c r="H367" s="45">
        <f>IFERROR(__xludf.DUMMYFUNCTION("""COMPUTED_VALUE"""),1.161997262E9)</f>
        <v>1161997262</v>
      </c>
      <c r="I367" s="45">
        <f>IFERROR(__xludf.DUMMYFUNCTION("""COMPUTED_VALUE"""),1.161997262E9)</f>
        <v>1161997262</v>
      </c>
      <c r="J367" s="45" t="str">
        <f>IFERROR(__xludf.DUMMYFUNCTION("""COMPUTED_VALUE"""),"2rmarrero@gmail.com")</f>
        <v>2rmarrero@gmail.com</v>
      </c>
      <c r="K367" s="45" t="str">
        <f>IFERROR(__xludf.DUMMYFUNCTION("""COMPUTED_VALUE"""),"Femenino")</f>
        <v>Femenino</v>
      </c>
      <c r="L367" s="45" t="str">
        <f>IFERROR(__xludf.DUMMYFUNCTION("""COMPUTED_VALUE"""),"CVSI")</f>
        <v>CVSI</v>
      </c>
      <c r="M367" s="45" t="str">
        <f>IFERROR(__xludf.DUMMYFUNCTION("""COMPUTED_VALUE"""),"Femenino")</f>
        <v>Femenino</v>
      </c>
      <c r="N367" s="45" t="str">
        <f>IFERROR(__xludf.DUMMYFUNCTION("""COMPUTED_VALUE"""),"OPTIMIST PRINCIPIANTES")</f>
        <v>OPTIMIST PRINCIPIANTES</v>
      </c>
      <c r="O367" s="7"/>
      <c r="P367" s="7">
        <f>IFERROR(__xludf.DUMMYFUNCTION("""COMPUTED_VALUE"""),4023.0)</f>
        <v>4023</v>
      </c>
      <c r="Q367" s="45" t="str">
        <f>IFERROR(__xludf.DUMMYFUNCTION("""COMPUTED_VALUE"""),"No tengo")</f>
        <v>No tengo</v>
      </c>
      <c r="R367" s="45"/>
      <c r="S367" s="45"/>
      <c r="T367" s="45"/>
      <c r="U367" s="45"/>
      <c r="V367" s="45"/>
      <c r="W367" s="45"/>
      <c r="X367" s="47"/>
      <c r="Y367" s="7" t="str">
        <f>IFERROR(__xludf.DUMMYFUNCTION("""COMPUTED_VALUE"""),"No")</f>
        <v>No</v>
      </c>
      <c r="Z367" s="45" t="str">
        <f>IFERROR(__xludf.DUMMYFUNCTION("""COMPUTED_VALUE"""),"Acepto")</f>
        <v>Acepto</v>
      </c>
      <c r="AA367" s="45" t="str">
        <f>IFERROR(__xludf.DUMMYFUNCTION("""COMPUTED_VALUE"""),"Terminado")</f>
        <v>Terminado</v>
      </c>
      <c r="AB367" s="45">
        <f>IFERROR(__xludf.DUMMYFUNCTION("""COMPUTED_VALUE"""),50000.0)</f>
        <v>50000</v>
      </c>
      <c r="AC367" s="7">
        <f>IFERROR(__xludf.DUMMYFUNCTION("""COMPUTED_VALUE"""),205699.0)</f>
        <v>205699</v>
      </c>
      <c r="AD367" s="7" t="str">
        <f>IFERROR(__xludf.DUMMYFUNCTION("""COMPUTED_VALUE"""),"TRF 11-09")</f>
        <v>TRF 11-09</v>
      </c>
      <c r="AE367" s="7" t="str">
        <f>IFERROR(__xludf.DUMMYFUNCTION("""COMPUTED_VALUE"""),"OK")</f>
        <v>OK</v>
      </c>
      <c r="AF367" s="7"/>
    </row>
    <row r="368">
      <c r="A368" s="42">
        <f>IFERROR(__xludf.DUMMYFUNCTION("""COMPUTED_VALUE"""),45543.384719814814)</f>
        <v>45543.38472</v>
      </c>
      <c r="B368" s="43" t="str">
        <f>IFERROR(__xludf.DUMMYFUNCTION("""COMPUTED_VALUE"""),"Simon")</f>
        <v>Simon</v>
      </c>
      <c r="C368" s="43" t="str">
        <f>IFERROR(__xludf.DUMMYFUNCTION("""COMPUTED_VALUE"""),"Bertani ")</f>
        <v>Bertani </v>
      </c>
      <c r="D368" s="43" t="str">
        <f>IFERROR(__xludf.DUMMYFUNCTION("""COMPUTED_VALUE"""),"Victoria, San Fernando ")</f>
        <v>Victoria, San Fernando </v>
      </c>
      <c r="E368" s="45" t="str">
        <f>IFERROR(__xludf.DUMMYFUNCTION("""COMPUTED_VALUE"""),"ARG")</f>
        <v>ARG</v>
      </c>
      <c r="F368" s="45">
        <f>IFERROR(__xludf.DUMMYFUNCTION("""COMPUTED_VALUE"""),5.2456716E7)</f>
        <v>52456716</v>
      </c>
      <c r="G368" s="44">
        <f>IFERROR(__xludf.DUMMYFUNCTION("""COMPUTED_VALUE"""),41073.0)</f>
        <v>41073</v>
      </c>
      <c r="H368" s="45">
        <f>IFERROR(__xludf.DUMMYFUNCTION("""COMPUTED_VALUE"""),1.136916512E9)</f>
        <v>1136916512</v>
      </c>
      <c r="I368" s="45">
        <f>IFERROR(__xludf.DUMMYFUNCTION("""COMPUTED_VALUE"""),1.136916512E9)</f>
        <v>1136916512</v>
      </c>
      <c r="J368" s="45" t="str">
        <f>IFERROR(__xludf.DUMMYFUNCTION("""COMPUTED_VALUE"""),"alfredobertani@gmail.com")</f>
        <v>alfredobertani@gmail.com</v>
      </c>
      <c r="K368" s="45" t="str">
        <f>IFERROR(__xludf.DUMMYFUNCTION("""COMPUTED_VALUE"""),"Masculino")</f>
        <v>Masculino</v>
      </c>
      <c r="L368" s="45" t="str">
        <f>IFERROR(__xludf.DUMMYFUNCTION("""COMPUTED_VALUE"""),"CVSI")</f>
        <v>CVSI</v>
      </c>
      <c r="M368" s="45"/>
      <c r="N368" s="45" t="str">
        <f>IFERROR(__xludf.DUMMYFUNCTION("""COMPUTED_VALUE"""),"OPTIMIST PRINCIPIANTES")</f>
        <v>OPTIMIST PRINCIPIANTES</v>
      </c>
      <c r="O368" s="7"/>
      <c r="P368" s="7">
        <f>IFERROR(__xludf.DUMMYFUNCTION("""COMPUTED_VALUE"""),3918.0)</f>
        <v>3918</v>
      </c>
      <c r="Q368" s="45" t="str">
        <f>IFERROR(__xludf.DUMMYFUNCTION("""COMPUTED_VALUE"""),"Imagine Dragons")</f>
        <v>Imagine Dragons</v>
      </c>
      <c r="R368" s="45"/>
      <c r="S368" s="45"/>
      <c r="T368" s="45"/>
      <c r="U368" s="45"/>
      <c r="V368" s="45"/>
      <c r="W368" s="45"/>
      <c r="X368" s="47" t="str">
        <f>IFERROR(__xludf.DUMMYFUNCTION("""COMPUTED_VALUE"""),"Unión personal")</f>
        <v>Unión personal</v>
      </c>
      <c r="Y368" s="7" t="str">
        <f>IFERROR(__xludf.DUMMYFUNCTION("""COMPUTED_VALUE"""),"No")</f>
        <v>No</v>
      </c>
      <c r="Z368" s="45" t="str">
        <f>IFERROR(__xludf.DUMMYFUNCTION("""COMPUTED_VALUE"""),"Acepto")</f>
        <v>Acepto</v>
      </c>
      <c r="AA368" s="45" t="str">
        <f>IFERROR(__xludf.DUMMYFUNCTION("""COMPUTED_VALUE"""),"Pendiente")</f>
        <v>Pendiente</v>
      </c>
      <c r="AB368" s="45"/>
      <c r="AC368" s="7"/>
      <c r="AD368" s="7"/>
      <c r="AE368" s="7" t="str">
        <f>IFERROR(__xludf.DUMMYFUNCTION("""COMPUTED_VALUE"""),"OK")</f>
        <v>OK</v>
      </c>
      <c r="AF368" s="7"/>
    </row>
    <row r="369">
      <c r="A369" s="42">
        <f>IFERROR(__xludf.DUMMYFUNCTION("""COMPUTED_VALUE"""),45543.43121296296)</f>
        <v>45543.43121</v>
      </c>
      <c r="B369" s="43" t="str">
        <f>IFERROR(__xludf.DUMMYFUNCTION("""COMPUTED_VALUE"""),"Sofia Julieta ")</f>
        <v>Sofia Julieta </v>
      </c>
      <c r="C369" s="43" t="str">
        <f>IFERROR(__xludf.DUMMYFUNCTION("""COMPUTED_VALUE"""),"Liberman")</f>
        <v>Liberman</v>
      </c>
      <c r="D369" s="43" t="str">
        <f>IFERROR(__xludf.DUMMYFUNCTION("""COMPUTED_VALUE"""),"Ciudad de Buenos Aires")</f>
        <v>Ciudad de Buenos Aires</v>
      </c>
      <c r="E369" s="45" t="str">
        <f>IFERROR(__xludf.DUMMYFUNCTION("""COMPUTED_VALUE"""),"ARG")</f>
        <v>ARG</v>
      </c>
      <c r="F369" s="45">
        <f>IFERROR(__xludf.DUMMYFUNCTION("""COMPUTED_VALUE"""),5.3085243E7)</f>
        <v>53085243</v>
      </c>
      <c r="G369" s="44">
        <f>IFERROR(__xludf.DUMMYFUNCTION("""COMPUTED_VALUE"""),41321.0)</f>
        <v>41321</v>
      </c>
      <c r="H369" s="45">
        <f>IFERROR(__xludf.DUMMYFUNCTION("""COMPUTED_VALUE"""),1.149809784E9)</f>
        <v>1149809784</v>
      </c>
      <c r="I369" s="45">
        <f>IFERROR(__xludf.DUMMYFUNCTION("""COMPUTED_VALUE"""),1.54189845E9)</f>
        <v>1541898450</v>
      </c>
      <c r="J369" s="45" t="str">
        <f>IFERROR(__xludf.DUMMYFUNCTION("""COMPUTED_VALUE"""),"libermanluis@gmail.com")</f>
        <v>libermanluis@gmail.com</v>
      </c>
      <c r="K369" s="45" t="str">
        <f>IFERROR(__xludf.DUMMYFUNCTION("""COMPUTED_VALUE"""),"Femenino")</f>
        <v>Femenino</v>
      </c>
      <c r="L369" s="45" t="str">
        <f>IFERROR(__xludf.DUMMYFUNCTION("""COMPUTED_VALUE"""),"Club Náutico Victoria ")</f>
        <v>Club Náutico Victoria </v>
      </c>
      <c r="M369" s="45" t="str">
        <f>IFERROR(__xludf.DUMMYFUNCTION("""COMPUTED_VALUE"""),"Interior (Optimist)")</f>
        <v>Interior (Optimist)</v>
      </c>
      <c r="N369" s="45" t="str">
        <f>IFERROR(__xludf.DUMMYFUNCTION("""COMPUTED_VALUE"""),"OPTIMIST PRINCIPIANTES")</f>
        <v>OPTIMIST PRINCIPIANTES</v>
      </c>
      <c r="O369" s="7">
        <f>IFERROR(__xludf.DUMMYFUNCTION("""COMPUTED_VALUE"""),135512.0)</f>
        <v>135512</v>
      </c>
      <c r="P369" s="7">
        <f>IFERROR(__xludf.DUMMYFUNCTION("""COMPUTED_VALUE"""),2.0)</f>
        <v>2</v>
      </c>
      <c r="Q369" s="45" t="str">
        <f>IFERROR(__xludf.DUMMYFUNCTION("""COMPUTED_VALUE"""),"Cacjarroto")</f>
        <v>Cacjarroto</v>
      </c>
      <c r="R369" s="45" t="str">
        <f>IFERROR(__xludf.DUMMYFUNCTION("""COMPUTED_VALUE"""),"Sofia Julieta Liberman")</f>
        <v>Sofia Julieta Liberman</v>
      </c>
      <c r="S369" s="45"/>
      <c r="T369" s="45"/>
      <c r="U369" s="45"/>
      <c r="V369" s="45"/>
      <c r="W369" s="45"/>
      <c r="X369" s="47" t="str">
        <f>IFERROR(__xludf.DUMMYFUNCTION("""COMPUTED_VALUE"""),"OSDE  310")</f>
        <v>OSDE  310</v>
      </c>
      <c r="Y369" s="7" t="str">
        <f>IFERROR(__xludf.DUMMYFUNCTION("""COMPUTED_VALUE"""),"Si")</f>
        <v>Si</v>
      </c>
      <c r="Z369" s="45" t="str">
        <f>IFERROR(__xludf.DUMMYFUNCTION("""COMPUTED_VALUE"""),"Acepto")</f>
        <v>Acepto</v>
      </c>
      <c r="AA369" s="45" t="str">
        <f>IFERROR(__xludf.DUMMYFUNCTION("""COMPUTED_VALUE"""),"Terminado")</f>
        <v>Terminado</v>
      </c>
      <c r="AB369" s="45">
        <f>IFERROR(__xludf.DUMMYFUNCTION("""COMPUTED_VALUE"""),50000.0)</f>
        <v>50000</v>
      </c>
      <c r="AC369" s="7">
        <f>IFERROR(__xludf.DUMMYFUNCTION("""COMPUTED_VALUE"""),205587.0)</f>
        <v>205587</v>
      </c>
      <c r="AD369" s="7" t="str">
        <f>IFERROR(__xludf.DUMMYFUNCTION("""COMPUTED_VALUE"""),"TRF 08-09")</f>
        <v>TRF 08-09</v>
      </c>
      <c r="AE369" s="7" t="str">
        <f>IFERROR(__xludf.DUMMYFUNCTION("""COMPUTED_VALUE"""),"Pendiente")</f>
        <v>Pendiente</v>
      </c>
      <c r="AF369" s="7"/>
    </row>
    <row r="370">
      <c r="A370" s="42">
        <f>IFERROR(__xludf.DUMMYFUNCTION("""COMPUTED_VALUE"""),45543.439133900465)</f>
        <v>45543.43913</v>
      </c>
      <c r="B370" s="43" t="str">
        <f>IFERROR(__xludf.DUMMYFUNCTION("""COMPUTED_VALUE"""),"Matías ")</f>
        <v>Matías </v>
      </c>
      <c r="C370" s="43" t="str">
        <f>IFERROR(__xludf.DUMMYFUNCTION("""COMPUTED_VALUE"""),"Bugeiro ")</f>
        <v>Bugeiro </v>
      </c>
      <c r="D370" s="43" t="str">
        <f>IFERROR(__xludf.DUMMYFUNCTION("""COMPUTED_VALUE"""),"Victoria ")</f>
        <v>Victoria </v>
      </c>
      <c r="E370" s="45" t="str">
        <f>IFERROR(__xludf.DUMMYFUNCTION("""COMPUTED_VALUE"""),"ARG")</f>
        <v>ARG</v>
      </c>
      <c r="F370" s="45">
        <f>IFERROR(__xludf.DUMMYFUNCTION("""COMPUTED_VALUE"""),5.4122204E7)</f>
        <v>54122204</v>
      </c>
      <c r="G370" s="44">
        <f>IFERROR(__xludf.DUMMYFUNCTION("""COMPUTED_VALUE"""),41787.0)</f>
        <v>41787</v>
      </c>
      <c r="H370" s="45">
        <f>IFERROR(__xludf.DUMMYFUNCTION("""COMPUTED_VALUE"""),1.154097353E9)</f>
        <v>1154097353</v>
      </c>
      <c r="I370" s="45">
        <f>IFERROR(__xludf.DUMMYFUNCTION("""COMPUTED_VALUE"""),1.154097353E9)</f>
        <v>1154097353</v>
      </c>
      <c r="J370" s="45" t="str">
        <f>IFERROR(__xludf.DUMMYFUNCTION("""COMPUTED_VALUE"""),"mbugeiro@gmail.com")</f>
        <v>mbugeiro@gmail.com</v>
      </c>
      <c r="K370" s="45" t="str">
        <f>IFERROR(__xludf.DUMMYFUNCTION("""COMPUTED_VALUE"""),"Masculino")</f>
        <v>Masculino</v>
      </c>
      <c r="L370" s="45" t="str">
        <f>IFERROR(__xludf.DUMMYFUNCTION("""COMPUTED_VALUE"""),"CNV")</f>
        <v>CNV</v>
      </c>
      <c r="M370" s="45"/>
      <c r="N370" s="45" t="str">
        <f>IFERROR(__xludf.DUMMYFUNCTION("""COMPUTED_VALUE"""),"OPTIMIST PRINCIPIANTES")</f>
        <v>OPTIMIST PRINCIPIANTES</v>
      </c>
      <c r="O370" s="7"/>
      <c r="P370" s="7">
        <f>IFERROR(__xludf.DUMMYFUNCTION("""COMPUTED_VALUE"""),3947.0)</f>
        <v>3947</v>
      </c>
      <c r="Q370" s="45" t="str">
        <f>IFERROR(__xludf.DUMMYFUNCTION("""COMPUTED_VALUE"""),"Floki")</f>
        <v>Floki</v>
      </c>
      <c r="R370" s="45"/>
      <c r="S370" s="45"/>
      <c r="T370" s="45"/>
      <c r="U370" s="45"/>
      <c r="V370" s="45"/>
      <c r="W370" s="45"/>
      <c r="X370" s="47" t="str">
        <f>IFERROR(__xludf.DUMMYFUNCTION("""COMPUTED_VALUE"""),"Osde 62225715 2 02")</f>
        <v>Osde 62225715 2 02</v>
      </c>
      <c r="Y370" s="7" t="str">
        <f>IFERROR(__xludf.DUMMYFUNCTION("""COMPUTED_VALUE"""),"Si")</f>
        <v>Si</v>
      </c>
      <c r="Z370" s="45" t="str">
        <f>IFERROR(__xludf.DUMMYFUNCTION("""COMPUTED_VALUE"""),"Acepto")</f>
        <v>Acepto</v>
      </c>
      <c r="AA370" s="45" t="str">
        <f>IFERROR(__xludf.DUMMYFUNCTION("""COMPUTED_VALUE"""),"Terminado")</f>
        <v>Terminado</v>
      </c>
      <c r="AB370" s="45">
        <f>IFERROR(__xludf.DUMMYFUNCTION("""COMPUTED_VALUE"""),50000.0)</f>
        <v>50000</v>
      </c>
      <c r="AC370" s="7">
        <f>IFERROR(__xludf.DUMMYFUNCTION("""COMPUTED_VALUE"""),205605.0)</f>
        <v>205605</v>
      </c>
      <c r="AD370" s="7" t="str">
        <f>IFERROR(__xludf.DUMMYFUNCTION("""COMPUTED_VALUE"""),"TRF 09-09")</f>
        <v>TRF 09-09</v>
      </c>
      <c r="AE370" s="7" t="str">
        <f>IFERROR(__xludf.DUMMYFUNCTION("""COMPUTED_VALUE"""),"Pendiente")</f>
        <v>Pendiente</v>
      </c>
      <c r="AF370" s="7"/>
    </row>
    <row r="371">
      <c r="A371" s="42">
        <f>IFERROR(__xludf.DUMMYFUNCTION("""COMPUTED_VALUE"""),45543.4747890162)</f>
        <v>45543.47479</v>
      </c>
      <c r="B371" s="43" t="str">
        <f>IFERROR(__xludf.DUMMYFUNCTION("""COMPUTED_VALUE"""),"GIANMARCO FEDERICO")</f>
        <v>GIANMARCO FEDERICO</v>
      </c>
      <c r="C371" s="43" t="str">
        <f>IFERROR(__xludf.DUMMYFUNCTION("""COMPUTED_VALUE"""),"NAPOLI FABRICIUS")</f>
        <v>NAPOLI FABRICIUS</v>
      </c>
      <c r="D371" s="43" t="str">
        <f>IFERROR(__xludf.DUMMYFUNCTION("""COMPUTED_VALUE"""),"Olivos")</f>
        <v>Olivos</v>
      </c>
      <c r="E371" s="45" t="str">
        <f>IFERROR(__xludf.DUMMYFUNCTION("""COMPUTED_VALUE"""),"ARG")</f>
        <v>ARG</v>
      </c>
      <c r="F371" s="45">
        <f>IFERROR(__xludf.DUMMYFUNCTION("""COMPUTED_VALUE"""),5.3417997E7)</f>
        <v>53417997</v>
      </c>
      <c r="G371" s="44">
        <f>IFERROR(__xludf.DUMMYFUNCTION("""COMPUTED_VALUE"""),41528.0)</f>
        <v>41528</v>
      </c>
      <c r="H371" s="45" t="str">
        <f>IFERROR(__xludf.DUMMYFUNCTION("""COMPUTED_VALUE"""),"011 6105 4862")</f>
        <v>011 6105 4862</v>
      </c>
      <c r="I371" s="45" t="str">
        <f>IFERROR(__xludf.DUMMYFUNCTION("""COMPUTED_VALUE"""),"011 6957 3450")</f>
        <v>011 6957 3450</v>
      </c>
      <c r="J371" s="45" t="str">
        <f>IFERROR(__xludf.DUMMYFUNCTION("""COMPUTED_VALUE"""),"carlos_napoli@yahoo.com")</f>
        <v>carlos_napoli@yahoo.com</v>
      </c>
      <c r="K371" s="45" t="str">
        <f>IFERROR(__xludf.DUMMYFUNCTION("""COMPUTED_VALUE"""),"Masculino")</f>
        <v>Masculino</v>
      </c>
      <c r="L371" s="45" t="str">
        <f>IFERROR(__xludf.DUMMYFUNCTION("""COMPUTED_VALUE"""),"YCO")</f>
        <v>YCO</v>
      </c>
      <c r="M371" s="45" t="str">
        <f>IFERROR(__xludf.DUMMYFUNCTION("""COMPUTED_VALUE"""),"Interior (Optimist)")</f>
        <v>Interior (Optimist)</v>
      </c>
      <c r="N371" s="45" t="str">
        <f>IFERROR(__xludf.DUMMYFUNCTION("""COMPUTED_VALUE"""),"OPTIMIST PRINCIPIANTES")</f>
        <v>OPTIMIST PRINCIPIANTES</v>
      </c>
      <c r="O371" s="7"/>
      <c r="P371" s="7" t="str">
        <f>IFERROR(__xludf.DUMMYFUNCTION("""COMPUTED_VALUE"""),"ARG 4031")</f>
        <v>ARG 4031</v>
      </c>
      <c r="Q371" s="45"/>
      <c r="R371" s="45"/>
      <c r="S371" s="45"/>
      <c r="T371" s="45"/>
      <c r="U371" s="45"/>
      <c r="V371" s="45"/>
      <c r="W371" s="45"/>
      <c r="X371" s="47" t="str">
        <f>IFERROR(__xludf.DUMMYFUNCTION("""COMPUTED_VALUE"""),"Swiss Medical 800006 1782477 03 0002 - Docthos Premium 420831e")</f>
        <v>Swiss Medical 800006 1782477 03 0002 - Docthos Premium 420831e</v>
      </c>
      <c r="Y371" s="7" t="str">
        <f>IFERROR(__xludf.DUMMYFUNCTION("""COMPUTED_VALUE"""),"Si")</f>
        <v>Si</v>
      </c>
      <c r="Z371" s="45" t="str">
        <f>IFERROR(__xludf.DUMMYFUNCTION("""COMPUTED_VALUE"""),"Acepto")</f>
        <v>Acepto</v>
      </c>
      <c r="AA371" s="45" t="str">
        <f>IFERROR(__xludf.DUMMYFUNCTION("""COMPUTED_VALUE"""),"Pendiente")</f>
        <v>Pendiente</v>
      </c>
      <c r="AB371" s="45"/>
      <c r="AC371" s="7"/>
      <c r="AD371" s="7"/>
      <c r="AE371" s="7" t="str">
        <f>IFERROR(__xludf.DUMMYFUNCTION("""COMPUTED_VALUE"""),"OK")</f>
        <v>OK</v>
      </c>
      <c r="AF371" s="7"/>
    </row>
    <row r="372">
      <c r="A372" s="42">
        <f>IFERROR(__xludf.DUMMYFUNCTION("""COMPUTED_VALUE"""),45543.53097064815)</f>
        <v>45543.53097</v>
      </c>
      <c r="B372" s="43" t="str">
        <f>IFERROR(__xludf.DUMMYFUNCTION("""COMPUTED_VALUE"""),"Leire")</f>
        <v>Leire</v>
      </c>
      <c r="C372" s="43" t="str">
        <f>IFERROR(__xludf.DUMMYFUNCTION("""COMPUTED_VALUE"""),"Lorences")</f>
        <v>Lorences</v>
      </c>
      <c r="D372" s="43" t="str">
        <f>IFERROR(__xludf.DUMMYFUNCTION("""COMPUTED_VALUE"""),"CABA")</f>
        <v>CABA</v>
      </c>
      <c r="E372" s="45" t="str">
        <f>IFERROR(__xludf.DUMMYFUNCTION("""COMPUTED_VALUE"""),"ARG")</f>
        <v>ARG</v>
      </c>
      <c r="F372" s="45">
        <f>IFERROR(__xludf.DUMMYFUNCTION("""COMPUTED_VALUE"""),9.5778434E7)</f>
        <v>95778434</v>
      </c>
      <c r="G372" s="44">
        <f>IFERROR(__xludf.DUMMYFUNCTION("""COMPUTED_VALUE"""),38288.0)</f>
        <v>38288</v>
      </c>
      <c r="H372" s="45">
        <f>IFERROR(__xludf.DUMMYFUNCTION("""COMPUTED_VALUE"""),1.136855596E9)</f>
        <v>1136855596</v>
      </c>
      <c r="I372" s="45" t="str">
        <f>IFERROR(__xludf.DUMMYFUNCTION("""COMPUTED_VALUE"""),"+54 9 11 4989 0025")</f>
        <v>+54 9 11 4989 0025</v>
      </c>
      <c r="J372" s="45" t="str">
        <f>IFERROR(__xludf.DUMMYFUNCTION("""COMPUTED_VALUE"""),"leirelorences5@gmail.com")</f>
        <v>leirelorences5@gmail.com</v>
      </c>
      <c r="K372" s="45" t="str">
        <f>IFERROR(__xludf.DUMMYFUNCTION("""COMPUTED_VALUE"""),"Femenino")</f>
        <v>Femenino</v>
      </c>
      <c r="L372" s="45" t="str">
        <f>IFERROR(__xludf.DUMMYFUNCTION("""COMPUTED_VALUE"""),"YCO")</f>
        <v>YCO</v>
      </c>
      <c r="M372" s="45" t="str">
        <f>IFERROR(__xludf.DUMMYFUNCTION("""COMPUTED_VALUE"""),"Femenino")</f>
        <v>Femenino</v>
      </c>
      <c r="N372" s="45" t="str">
        <f>IFERROR(__xludf.DUMMYFUNCTION("""COMPUTED_VALUE"""),"ILCA 6")</f>
        <v>ILCA 6</v>
      </c>
      <c r="O372" s="7"/>
      <c r="P372" s="7">
        <f>IFERROR(__xludf.DUMMYFUNCTION("""COMPUTED_VALUE"""),221976.0)</f>
        <v>221976</v>
      </c>
      <c r="Q372" s="45"/>
      <c r="R372" s="45"/>
      <c r="S372" s="45"/>
      <c r="T372" s="45"/>
      <c r="U372" s="45"/>
      <c r="V372" s="45"/>
      <c r="W372" s="45"/>
      <c r="X372" s="47" t="str">
        <f>IFERROR(__xludf.DUMMYFUNCTION("""COMPUTED_VALUE"""),"OSDE 62767511402")</f>
        <v>OSDE 62767511402</v>
      </c>
      <c r="Y372" s="7" t="str">
        <f>IFERROR(__xludf.DUMMYFUNCTION("""COMPUTED_VALUE"""),"Si")</f>
        <v>Si</v>
      </c>
      <c r="Z372" s="45" t="str">
        <f>IFERROR(__xludf.DUMMYFUNCTION("""COMPUTED_VALUE"""),"Acepto")</f>
        <v>Acepto</v>
      </c>
      <c r="AA372" s="45" t="str">
        <f>IFERROR(__xludf.DUMMYFUNCTION("""COMPUTED_VALUE"""),"Pendiente")</f>
        <v>Pendiente</v>
      </c>
      <c r="AB372" s="45"/>
      <c r="AC372" s="7"/>
      <c r="AD372" s="7"/>
      <c r="AE372" s="7" t="str">
        <f>IFERROR(__xludf.DUMMYFUNCTION("""COMPUTED_VALUE"""),"No Corresp")</f>
        <v>No Corresp</v>
      </c>
      <c r="AF372" s="7"/>
    </row>
    <row r="373">
      <c r="A373" s="42">
        <f>IFERROR(__xludf.DUMMYFUNCTION("""COMPUTED_VALUE"""),45543.650722210645)</f>
        <v>45543.65072</v>
      </c>
      <c r="B373" s="43" t="str">
        <f>IFERROR(__xludf.DUMMYFUNCTION("""COMPUTED_VALUE"""),"Sophia ")</f>
        <v>Sophia </v>
      </c>
      <c r="C373" s="43" t="str">
        <f>IFERROR(__xludf.DUMMYFUNCTION("""COMPUTED_VALUE"""),"Navratil ")</f>
        <v>Navratil </v>
      </c>
      <c r="D373" s="43" t="str">
        <f>IFERROR(__xludf.DUMMYFUNCTION("""COMPUTED_VALUE"""),"San Fernando ")</f>
        <v>San Fernando </v>
      </c>
      <c r="E373" s="45" t="str">
        <f>IFERROR(__xludf.DUMMYFUNCTION("""COMPUTED_VALUE"""),"ARG")</f>
        <v>ARG</v>
      </c>
      <c r="F373" s="45">
        <f>IFERROR(__xludf.DUMMYFUNCTION("""COMPUTED_VALUE"""),5.2704557E7)</f>
        <v>52704557</v>
      </c>
      <c r="G373" s="44">
        <f>IFERROR(__xludf.DUMMYFUNCTION("""COMPUTED_VALUE"""),41172.0)</f>
        <v>41172</v>
      </c>
      <c r="H373" s="45">
        <f>IFERROR(__xludf.DUMMYFUNCTION("""COMPUTED_VALUE"""),1.140447069E9)</f>
        <v>1140447069</v>
      </c>
      <c r="I373" s="45">
        <f>IFERROR(__xludf.DUMMYFUNCTION("""COMPUTED_VALUE"""),1.14044707E9)</f>
        <v>1140447070</v>
      </c>
      <c r="J373" s="45" t="str">
        <f>IFERROR(__xludf.DUMMYFUNCTION("""COMPUTED_VALUE"""),"Dramariathompson@gmail.com")</f>
        <v>Dramariathompson@gmail.com</v>
      </c>
      <c r="K373" s="45" t="str">
        <f>IFERROR(__xludf.DUMMYFUNCTION("""COMPUTED_VALUE"""),"Femenino")</f>
        <v>Femenino</v>
      </c>
      <c r="L373" s="45" t="str">
        <f>IFERROR(__xludf.DUMMYFUNCTION("""COMPUTED_VALUE"""),"YCA")</f>
        <v>YCA</v>
      </c>
      <c r="M373" s="45" t="str">
        <f>IFERROR(__xludf.DUMMYFUNCTION("""COMPUTED_VALUE"""),"Femenino")</f>
        <v>Femenino</v>
      </c>
      <c r="N373" s="45" t="str">
        <f>IFERROR(__xludf.DUMMYFUNCTION("""COMPUTED_VALUE"""),"OPTIMIST PRINCIPIANTES")</f>
        <v>OPTIMIST PRINCIPIANTES</v>
      </c>
      <c r="O373" s="7"/>
      <c r="P373" s="7">
        <f>IFERROR(__xludf.DUMMYFUNCTION("""COMPUTED_VALUE"""),3879.0)</f>
        <v>3879</v>
      </c>
      <c r="Q373" s="45" t="str">
        <f>IFERROR(__xludf.DUMMYFUNCTION("""COMPUTED_VALUE"""),"Gin")</f>
        <v>Gin</v>
      </c>
      <c r="R373" s="45"/>
      <c r="S373" s="45"/>
      <c r="T373" s="45"/>
      <c r="U373" s="45"/>
      <c r="V373" s="45"/>
      <c r="W373" s="45"/>
      <c r="X373" s="47">
        <f>IFERROR(__xludf.DUMMYFUNCTION("""COMPUTED_VALUE"""),6.1027416204E10)</f>
        <v>61027416204</v>
      </c>
      <c r="Y373" s="7" t="str">
        <f>IFERROR(__xludf.DUMMYFUNCTION("""COMPUTED_VALUE"""),"No")</f>
        <v>No</v>
      </c>
      <c r="Z373" s="45" t="str">
        <f>IFERROR(__xludf.DUMMYFUNCTION("""COMPUTED_VALUE"""),"Acepto")</f>
        <v>Acepto</v>
      </c>
      <c r="AA373" s="45" t="str">
        <f>IFERROR(__xludf.DUMMYFUNCTION("""COMPUTED_VALUE"""),"Terminado")</f>
        <v>Terminado</v>
      </c>
      <c r="AB373" s="45">
        <f>IFERROR(__xludf.DUMMYFUNCTION("""COMPUTED_VALUE"""),50000.0)</f>
        <v>50000</v>
      </c>
      <c r="AC373" s="7">
        <f>IFERROR(__xludf.DUMMYFUNCTION("""COMPUTED_VALUE"""),205623.0)</f>
        <v>205623</v>
      </c>
      <c r="AD373" s="7" t="str">
        <f>IFERROR(__xludf.DUMMYFUNCTION("""COMPUTED_VALUE"""),"TRF 09-09")</f>
        <v>TRF 09-09</v>
      </c>
      <c r="AE373" s="7" t="str">
        <f>IFERROR(__xludf.DUMMYFUNCTION("""COMPUTED_VALUE"""),"OK")</f>
        <v>OK</v>
      </c>
      <c r="AF373" s="7"/>
    </row>
    <row r="374">
      <c r="A374" s="42">
        <f>IFERROR(__xludf.DUMMYFUNCTION("""COMPUTED_VALUE"""),45543.72844057871)</f>
        <v>45543.72844</v>
      </c>
      <c r="B374" s="43" t="str">
        <f>IFERROR(__xludf.DUMMYFUNCTION("""COMPUTED_VALUE"""),"Valentino ")</f>
        <v>Valentino </v>
      </c>
      <c r="C374" s="43" t="str">
        <f>IFERROR(__xludf.DUMMYFUNCTION("""COMPUTED_VALUE"""),"Lannia ")</f>
        <v>Lannia </v>
      </c>
      <c r="D374" s="43" t="str">
        <f>IFERROR(__xludf.DUMMYFUNCTION("""COMPUTED_VALUE"""),"Lanús ")</f>
        <v>Lanús </v>
      </c>
      <c r="E374" s="45" t="str">
        <f>IFERROR(__xludf.DUMMYFUNCTION("""COMPUTED_VALUE"""),"ARG")</f>
        <v>ARG</v>
      </c>
      <c r="F374" s="45">
        <f>IFERROR(__xludf.DUMMYFUNCTION("""COMPUTED_VALUE"""),4.6917994E7)</f>
        <v>46917994</v>
      </c>
      <c r="G374" s="44">
        <f>IFERROR(__xludf.DUMMYFUNCTION("""COMPUTED_VALUE"""),38614.0)</f>
        <v>38614</v>
      </c>
      <c r="H374" s="45">
        <f>IFERROR(__xludf.DUMMYFUNCTION("""COMPUTED_VALUE"""),1.136587503E9)</f>
        <v>1136587503</v>
      </c>
      <c r="I374" s="45">
        <f>IFERROR(__xludf.DUMMYFUNCTION("""COMPUTED_VALUE"""),1.136587503E9)</f>
        <v>1136587503</v>
      </c>
      <c r="J374" s="45" t="str">
        <f>IFERROR(__xludf.DUMMYFUNCTION("""COMPUTED_VALUE"""),"valentinolannia@gmail.com")</f>
        <v>valentinolannia@gmail.com</v>
      </c>
      <c r="K374" s="45" t="str">
        <f>IFERROR(__xludf.DUMMYFUNCTION("""COMPUTED_VALUE"""),"Masculino")</f>
        <v>Masculino</v>
      </c>
      <c r="L374" s="45" t="str">
        <f>IFERROR(__xludf.DUMMYFUNCTION("""COMPUTED_VALUE"""),"CVB")</f>
        <v>CVB</v>
      </c>
      <c r="M374" s="45"/>
      <c r="N374" s="45">
        <f>IFERROR(__xludf.DUMMYFUNCTION("""COMPUTED_VALUE"""),420.0)</f>
        <v>420</v>
      </c>
      <c r="O374" s="7">
        <f>IFERROR(__xludf.DUMMYFUNCTION("""COMPUTED_VALUE"""),22.0)</f>
        <v>22</v>
      </c>
      <c r="P374" s="7">
        <f>IFERROR(__xludf.DUMMYFUNCTION("""COMPUTED_VALUE"""),57291.0)</f>
        <v>57291</v>
      </c>
      <c r="Q374" s="45"/>
      <c r="R374" s="45" t="str">
        <f>IFERROR(__xludf.DUMMYFUNCTION("""COMPUTED_VALUE"""),"Agustín Amblard")</f>
        <v>Agustín Amblard</v>
      </c>
      <c r="S374" s="45"/>
      <c r="T374" s="45"/>
      <c r="U374" s="45"/>
      <c r="V374" s="45"/>
      <c r="W374" s="45"/>
      <c r="X374" s="47" t="str">
        <f>IFERROR(__xludf.DUMMYFUNCTION("""COMPUTED_VALUE"""),"800006 3400466 03 0036")</f>
        <v>800006 3400466 03 0036</v>
      </c>
      <c r="Y374" s="7" t="str">
        <f>IFERROR(__xludf.DUMMYFUNCTION("""COMPUTED_VALUE"""),"No")</f>
        <v>No</v>
      </c>
      <c r="Z374" s="45" t="str">
        <f>IFERROR(__xludf.DUMMYFUNCTION("""COMPUTED_VALUE"""),"Acepto")</f>
        <v>Acepto</v>
      </c>
      <c r="AA374" s="45" t="str">
        <f>IFERROR(__xludf.DUMMYFUNCTION("""COMPUTED_VALUE"""),"Pendiente")</f>
        <v>Pendiente</v>
      </c>
      <c r="AB374" s="45"/>
      <c r="AC374" s="7"/>
      <c r="AD374" s="7"/>
      <c r="AE374" s="7" t="str">
        <f>IFERROR(__xludf.DUMMYFUNCTION("""COMPUTED_VALUE"""),"No Corresp")</f>
        <v>No Corresp</v>
      </c>
      <c r="AF374" s="7"/>
    </row>
    <row r="375">
      <c r="A375" s="42">
        <f>IFERROR(__xludf.DUMMYFUNCTION("""COMPUTED_VALUE"""),45543.76980365741)</f>
        <v>45543.7698</v>
      </c>
      <c r="B375" s="43" t="str">
        <f>IFERROR(__xludf.DUMMYFUNCTION("""COMPUTED_VALUE"""),"JAVO")</f>
        <v>JAVO</v>
      </c>
      <c r="C375" s="43" t="str">
        <f>IFERROR(__xludf.DUMMYFUNCTION("""COMPUTED_VALUE"""),"GEIMAN")</f>
        <v>GEIMAN</v>
      </c>
      <c r="D375" s="43" t="str">
        <f>IFERROR(__xludf.DUMMYFUNCTION("""COMPUTED_VALUE"""),"OLIVOS")</f>
        <v>OLIVOS</v>
      </c>
      <c r="E375" s="45" t="str">
        <f>IFERROR(__xludf.DUMMYFUNCTION("""COMPUTED_VALUE"""),"ARG")</f>
        <v>ARG</v>
      </c>
      <c r="F375" s="45">
        <f>IFERROR(__xludf.DUMMYFUNCTION("""COMPUTED_VALUE"""),1.6640116E7)</f>
        <v>16640116</v>
      </c>
      <c r="G375" s="44">
        <f>IFERROR(__xludf.DUMMYFUNCTION("""COMPUTED_VALUE"""),23304.0)</f>
        <v>23304</v>
      </c>
      <c r="H375" s="45">
        <f>IFERROR(__xludf.DUMMYFUNCTION("""COMPUTED_VALUE"""),1.1686301E9)</f>
        <v>1168630100</v>
      </c>
      <c r="I375" s="45">
        <f>IFERROR(__xludf.DUMMYFUNCTION("""COMPUTED_VALUE"""),1.1688102E9)</f>
        <v>1168810200</v>
      </c>
      <c r="J375" s="45" t="str">
        <f>IFERROR(__xludf.DUMMYFUNCTION("""COMPUTED_VALUE"""),"javogeiman@gmail.com")</f>
        <v>javogeiman@gmail.com</v>
      </c>
      <c r="K375" s="45" t="str">
        <f>IFERROR(__xludf.DUMMYFUNCTION("""COMPUTED_VALUE"""),"Masculino")</f>
        <v>Masculino</v>
      </c>
      <c r="L375" s="45" t="str">
        <f>IFERROR(__xludf.DUMMYFUNCTION("""COMPUTED_VALUE"""),"YCO")</f>
        <v>YCO</v>
      </c>
      <c r="M375" s="45" t="str">
        <f>IFERROR(__xludf.DUMMYFUNCTION("""COMPUTED_VALUE"""),"Master (ILCA)")</f>
        <v>Master (ILCA)</v>
      </c>
      <c r="N375" s="45" t="str">
        <f>IFERROR(__xludf.DUMMYFUNCTION("""COMPUTED_VALUE"""),"ILCA 7")</f>
        <v>ILCA 7</v>
      </c>
      <c r="O375" s="7"/>
      <c r="P375" s="7">
        <f>IFERROR(__xludf.DUMMYFUNCTION("""COMPUTED_VALUE"""),206702.0)</f>
        <v>206702</v>
      </c>
      <c r="Q375" s="45" t="str">
        <f>IFERROR(__xludf.DUMMYFUNCTION("""COMPUTED_VALUE"""),"MORFEO")</f>
        <v>MORFEO</v>
      </c>
      <c r="R375" s="45"/>
      <c r="S375" s="45"/>
      <c r="T375" s="45"/>
      <c r="U375" s="45"/>
      <c r="V375" s="45"/>
      <c r="W375" s="45"/>
      <c r="X375" s="47"/>
      <c r="Y375" s="7" t="str">
        <f>IFERROR(__xludf.DUMMYFUNCTION("""COMPUTED_VALUE"""),"Si")</f>
        <v>Si</v>
      </c>
      <c r="Z375" s="45" t="str">
        <f>IFERROR(__xludf.DUMMYFUNCTION("""COMPUTED_VALUE"""),"Acepto")</f>
        <v>Acepto</v>
      </c>
      <c r="AA375" s="45" t="str">
        <f>IFERROR(__xludf.DUMMYFUNCTION("""COMPUTED_VALUE"""),"Pendiente")</f>
        <v>Pendiente</v>
      </c>
      <c r="AB375" s="45"/>
      <c r="AC375" s="7"/>
      <c r="AD375" s="7"/>
      <c r="AE375" s="7" t="str">
        <f>IFERROR(__xludf.DUMMYFUNCTION("""COMPUTED_VALUE"""),"No Corresp")</f>
        <v>No Corresp</v>
      </c>
      <c r="AF375" s="7"/>
    </row>
    <row r="376">
      <c r="A376" s="42">
        <f>IFERROR(__xludf.DUMMYFUNCTION("""COMPUTED_VALUE"""),45543.78504030092)</f>
        <v>45543.78504</v>
      </c>
      <c r="B376" s="43" t="str">
        <f>IFERROR(__xludf.DUMMYFUNCTION("""COMPUTED_VALUE"""),"Lucia")</f>
        <v>Lucia</v>
      </c>
      <c r="C376" s="43" t="str">
        <f>IFERROR(__xludf.DUMMYFUNCTION("""COMPUTED_VALUE"""),"Funes de Rioja")</f>
        <v>Funes de Rioja</v>
      </c>
      <c r="D376" s="43" t="str">
        <f>IFERROR(__xludf.DUMMYFUNCTION("""COMPUTED_VALUE"""),"Buenos Aires")</f>
        <v>Buenos Aires</v>
      </c>
      <c r="E376" s="45" t="str">
        <f>IFERROR(__xludf.DUMMYFUNCTION("""COMPUTED_VALUE"""),"ARG")</f>
        <v>ARG</v>
      </c>
      <c r="F376" s="45">
        <f>IFERROR(__xludf.DUMMYFUNCTION("""COMPUTED_VALUE"""),5.0670497E7)</f>
        <v>50670497</v>
      </c>
      <c r="G376" s="44">
        <f>IFERROR(__xludf.DUMMYFUNCTION("""COMPUTED_VALUE"""),40549.0)</f>
        <v>40549</v>
      </c>
      <c r="H376" s="45">
        <f>IFERROR(__xludf.DUMMYFUNCTION("""COMPUTED_VALUE"""),1.140834086E9)</f>
        <v>1140834086</v>
      </c>
      <c r="I376" s="45">
        <f>IFERROR(__xludf.DUMMYFUNCTION("""COMPUTED_VALUE"""),1.153103194E9)</f>
        <v>1153103194</v>
      </c>
      <c r="J376" s="45" t="str">
        <f>IFERROR(__xludf.DUMMYFUNCTION("""COMPUTED_VALUE"""),"ifr@funes.com.ar")</f>
        <v>ifr@funes.com.ar</v>
      </c>
      <c r="K376" s="45" t="str">
        <f>IFERROR(__xludf.DUMMYFUNCTION("""COMPUTED_VALUE"""),"Femenino")</f>
        <v>Femenino</v>
      </c>
      <c r="L376" s="45" t="str">
        <f>IFERROR(__xludf.DUMMYFUNCTION("""COMPUTED_VALUE"""),"YCA")</f>
        <v>YCA</v>
      </c>
      <c r="M376" s="45" t="str">
        <f>IFERROR(__xludf.DUMMYFUNCTION("""COMPUTED_VALUE"""),"Femenino")</f>
        <v>Femenino</v>
      </c>
      <c r="N376" s="45" t="str">
        <f>IFERROR(__xludf.DUMMYFUNCTION("""COMPUTED_VALUE"""),"OPTIMIST TIMONELES")</f>
        <v>OPTIMIST TIMONELES</v>
      </c>
      <c r="O376" s="7"/>
      <c r="P376" s="7">
        <f>IFERROR(__xludf.DUMMYFUNCTION("""COMPUTED_VALUE"""),3936.0)</f>
        <v>3936</v>
      </c>
      <c r="Q376" s="45"/>
      <c r="R376" s="45"/>
      <c r="S376" s="45"/>
      <c r="T376" s="45"/>
      <c r="U376" s="45"/>
      <c r="V376" s="45"/>
      <c r="W376" s="45"/>
      <c r="X376" s="47" t="str">
        <f>IFERROR(__xludf.DUMMYFUNCTION("""COMPUTED_VALUE"""),"Osde")</f>
        <v>Osde</v>
      </c>
      <c r="Y376" s="7" t="str">
        <f>IFERROR(__xludf.DUMMYFUNCTION("""COMPUTED_VALUE"""),"Si")</f>
        <v>Si</v>
      </c>
      <c r="Z376" s="45" t="str">
        <f>IFERROR(__xludf.DUMMYFUNCTION("""COMPUTED_VALUE"""),"Acepto")</f>
        <v>Acepto</v>
      </c>
      <c r="AA376" s="45" t="str">
        <f>IFERROR(__xludf.DUMMYFUNCTION("""COMPUTED_VALUE"""),"Terminado")</f>
        <v>Terminado</v>
      </c>
      <c r="AB376" s="45">
        <f>IFERROR(__xludf.DUMMYFUNCTION("""COMPUTED_VALUE"""),70000.0)</f>
        <v>70000</v>
      </c>
      <c r="AC376" s="7">
        <f>IFERROR(__xludf.DUMMYFUNCTION("""COMPUTED_VALUE"""),205610.0)</f>
        <v>205610</v>
      </c>
      <c r="AD376" s="7" t="str">
        <f>IFERROR(__xludf.DUMMYFUNCTION("""COMPUTED_VALUE"""),"TRF 09-09")</f>
        <v>TRF 09-09</v>
      </c>
      <c r="AE376" s="7" t="str">
        <f>IFERROR(__xludf.DUMMYFUNCTION("""COMPUTED_VALUE"""),"OK")</f>
        <v>OK</v>
      </c>
      <c r="AF376" s="7"/>
    </row>
    <row r="377">
      <c r="A377" s="42">
        <f>IFERROR(__xludf.DUMMYFUNCTION("""COMPUTED_VALUE"""),45543.79086057871)</f>
        <v>45543.79086</v>
      </c>
      <c r="B377" s="43" t="str">
        <f>IFERROR(__xludf.DUMMYFUNCTION("""COMPUTED_VALUE"""),"Ana")</f>
        <v>Ana</v>
      </c>
      <c r="C377" s="43" t="str">
        <f>IFERROR(__xludf.DUMMYFUNCTION("""COMPUTED_VALUE"""),"Constantin")</f>
        <v>Constantin</v>
      </c>
      <c r="D377" s="43" t="str">
        <f>IFERROR(__xludf.DUMMYFUNCTION("""COMPUTED_VALUE"""),"CABA")</f>
        <v>CABA</v>
      </c>
      <c r="E377" s="45" t="str">
        <f>IFERROR(__xludf.DUMMYFUNCTION("""COMPUTED_VALUE"""),"ARG")</f>
        <v>ARG</v>
      </c>
      <c r="F377" s="45">
        <f>IFERROR(__xludf.DUMMYFUNCTION("""COMPUTED_VALUE"""),4.8715917E7)</f>
        <v>48715917</v>
      </c>
      <c r="G377" s="44">
        <f>IFERROR(__xludf.DUMMYFUNCTION("""COMPUTED_VALUE"""),39607.0)</f>
        <v>39607</v>
      </c>
      <c r="H377" s="45">
        <f>IFERROR(__xludf.DUMMYFUNCTION("""COMPUTED_VALUE"""),1.164228227E9)</f>
        <v>1164228227</v>
      </c>
      <c r="I377" s="45"/>
      <c r="J377" s="45" t="str">
        <f>IFERROR(__xludf.DUMMYFUNCTION("""COMPUTED_VALUE"""),"anitaconstantin0608@gmail.com")</f>
        <v>anitaconstantin0608@gmail.com</v>
      </c>
      <c r="K377" s="45" t="str">
        <f>IFERROR(__xludf.DUMMYFUNCTION("""COMPUTED_VALUE"""),"Femenino")</f>
        <v>Femenino</v>
      </c>
      <c r="L377" s="45" t="str">
        <f>IFERROR(__xludf.DUMMYFUNCTION("""COMPUTED_VALUE"""),"CUBA")</f>
        <v>CUBA</v>
      </c>
      <c r="M377" s="45" t="str">
        <f>IFERROR(__xludf.DUMMYFUNCTION("""COMPUTED_VALUE"""),"Femenino")</f>
        <v>Femenino</v>
      </c>
      <c r="N377" s="45">
        <f>IFERROR(__xludf.DUMMYFUNCTION("""COMPUTED_VALUE"""),420.0)</f>
        <v>420</v>
      </c>
      <c r="O377" s="7" t="str">
        <f>IFERROR(__xludf.DUMMYFUNCTION("""COMPUTED_VALUE"""),"08")</f>
        <v>08</v>
      </c>
      <c r="P377" s="7">
        <f>IFERROR(__xludf.DUMMYFUNCTION("""COMPUTED_VALUE"""),57444.0)</f>
        <v>57444</v>
      </c>
      <c r="Q377" s="45"/>
      <c r="R377" s="45" t="str">
        <f>IFERROR(__xludf.DUMMYFUNCTION("""COMPUTED_VALUE"""),"Mia Lopez Oriolo")</f>
        <v>Mia Lopez Oriolo</v>
      </c>
      <c r="S377" s="45"/>
      <c r="T377" s="45"/>
      <c r="U377" s="45"/>
      <c r="V377" s="45"/>
      <c r="W377" s="45"/>
      <c r="X377" s="47"/>
      <c r="Y377" s="7" t="str">
        <f>IFERROR(__xludf.DUMMYFUNCTION("""COMPUTED_VALUE"""),"No")</f>
        <v>No</v>
      </c>
      <c r="Z377" s="45" t="str">
        <f>IFERROR(__xludf.DUMMYFUNCTION("""COMPUTED_VALUE"""),"Acepto")</f>
        <v>Acepto</v>
      </c>
      <c r="AA377" s="45" t="str">
        <f>IFERROR(__xludf.DUMMYFUNCTION("""COMPUTED_VALUE"""),"Pendiente")</f>
        <v>Pendiente</v>
      </c>
      <c r="AB377" s="45"/>
      <c r="AC377" s="7"/>
      <c r="AD377" s="7"/>
      <c r="AE377" s="7" t="str">
        <f>IFERROR(__xludf.DUMMYFUNCTION("""COMPUTED_VALUE"""),"OK")</f>
        <v>OK</v>
      </c>
      <c r="AF377" s="7" t="str">
        <f>IFERROR(__xludf.DUMMYFUNCTION("""COMPUTED_VALUE"""),"Si")</f>
        <v>Si</v>
      </c>
    </row>
    <row r="378">
      <c r="A378" s="42">
        <f>IFERROR(__xludf.DUMMYFUNCTION("""COMPUTED_VALUE"""),45543.81460370371)</f>
        <v>45543.8146</v>
      </c>
      <c r="B378" s="43" t="str">
        <f>IFERROR(__xludf.DUMMYFUNCTION("""COMPUTED_VALUE"""),"Lucia")</f>
        <v>Lucia</v>
      </c>
      <c r="C378" s="43" t="str">
        <f>IFERROR(__xludf.DUMMYFUNCTION("""COMPUTED_VALUE"""),"Ferrante")</f>
        <v>Ferrante</v>
      </c>
      <c r="D378" s="43" t="str">
        <f>IFERROR(__xludf.DUMMYFUNCTION("""COMPUTED_VALUE"""),"San Isidro")</f>
        <v>San Isidro</v>
      </c>
      <c r="E378" s="45" t="str">
        <f>IFERROR(__xludf.DUMMYFUNCTION("""COMPUTED_VALUE"""),"ARG")</f>
        <v>ARG</v>
      </c>
      <c r="F378" s="45">
        <f>IFERROR(__xludf.DUMMYFUNCTION("""COMPUTED_VALUE"""),4.9932601E7)</f>
        <v>49932601</v>
      </c>
      <c r="G378" s="44">
        <f>IFERROR(__xludf.DUMMYFUNCTION("""COMPUTED_VALUE"""),40147.0)</f>
        <v>40147</v>
      </c>
      <c r="H378" s="45">
        <f>IFERROR(__xludf.DUMMYFUNCTION("""COMPUTED_VALUE"""),1.154206644E9)</f>
        <v>1154206644</v>
      </c>
      <c r="I378" s="45">
        <f>IFERROR(__xludf.DUMMYFUNCTION("""COMPUTED_VALUE"""),1.132723553E9)</f>
        <v>1132723553</v>
      </c>
      <c r="J378" s="45" t="str">
        <f>IFERROR(__xludf.DUMMYFUNCTION("""COMPUTED_VALUE"""),"ferrante3011@gmail.com")</f>
        <v>ferrante3011@gmail.com</v>
      </c>
      <c r="K378" s="45" t="str">
        <f>IFERROR(__xludf.DUMMYFUNCTION("""COMPUTED_VALUE"""),"Femenino")</f>
        <v>Femenino</v>
      </c>
      <c r="L378" s="45" t="str">
        <f>IFERROR(__xludf.DUMMYFUNCTION("""COMPUTED_VALUE"""),"CUBA")</f>
        <v>CUBA</v>
      </c>
      <c r="M378" s="45" t="str">
        <f>IFERROR(__xludf.DUMMYFUNCTION("""COMPUTED_VALUE"""),"Femenino")</f>
        <v>Femenino</v>
      </c>
      <c r="N378" s="45" t="str">
        <f>IFERROR(__xludf.DUMMYFUNCTION("""COMPUTED_VALUE"""),"OPTIMIST TIMONELES")</f>
        <v>OPTIMIST TIMONELES</v>
      </c>
      <c r="O378" s="7"/>
      <c r="P378" s="7">
        <f>IFERROR(__xludf.DUMMYFUNCTION("""COMPUTED_VALUE"""),4073.0)</f>
        <v>4073</v>
      </c>
      <c r="Q378" s="45"/>
      <c r="R378" s="45"/>
      <c r="S378" s="45"/>
      <c r="T378" s="45"/>
      <c r="U378" s="45"/>
      <c r="V378" s="45"/>
      <c r="W378" s="45"/>
      <c r="X378" s="47" t="str">
        <f>IFERROR(__xludf.DUMMYFUNCTION("""COMPUTED_VALUE"""),"OSDE 410")</f>
        <v>OSDE 410</v>
      </c>
      <c r="Y378" s="7" t="str">
        <f>IFERROR(__xludf.DUMMYFUNCTION("""COMPUTED_VALUE"""),"Si")</f>
        <v>Si</v>
      </c>
      <c r="Z378" s="45" t="str">
        <f>IFERROR(__xludf.DUMMYFUNCTION("""COMPUTED_VALUE"""),"Acepto")</f>
        <v>Acepto</v>
      </c>
      <c r="AA378" s="45" t="str">
        <f>IFERROR(__xludf.DUMMYFUNCTION("""COMPUTED_VALUE"""),"Terminado")</f>
        <v>Terminado</v>
      </c>
      <c r="AB378" s="45">
        <f>IFERROR(__xludf.DUMMYFUNCTION("""COMPUTED_VALUE"""),50000.0)</f>
        <v>50000</v>
      </c>
      <c r="AC378" s="7">
        <f>IFERROR(__xludf.DUMMYFUNCTION("""COMPUTED_VALUE"""),205611.0)</f>
        <v>205611</v>
      </c>
      <c r="AD378" s="7" t="str">
        <f>IFERROR(__xludf.DUMMYFUNCTION("""COMPUTED_VALUE"""),"TRF 09-09")</f>
        <v>TRF 09-09</v>
      </c>
      <c r="AE378" s="7" t="str">
        <f>IFERROR(__xludf.DUMMYFUNCTION("""COMPUTED_VALUE"""),"OK")</f>
        <v>OK</v>
      </c>
      <c r="AF378" s="7"/>
    </row>
    <row r="379">
      <c r="A379" s="42">
        <f>IFERROR(__xludf.DUMMYFUNCTION("""COMPUTED_VALUE"""),45543.83731141203)</f>
        <v>45543.83731</v>
      </c>
      <c r="B379" s="43" t="str">
        <f>IFERROR(__xludf.DUMMYFUNCTION("""COMPUTED_VALUE"""),"Santiago")</f>
        <v>Santiago</v>
      </c>
      <c r="C379" s="43" t="str">
        <f>IFERROR(__xludf.DUMMYFUNCTION("""COMPUTED_VALUE"""),"Cusinato ")</f>
        <v>Cusinato </v>
      </c>
      <c r="D379" s="43" t="str">
        <f>IFERROR(__xludf.DUMMYFUNCTION("""COMPUTED_VALUE"""),"Vicente López Bs As")</f>
        <v>Vicente López Bs As</v>
      </c>
      <c r="E379" s="45" t="str">
        <f>IFERROR(__xludf.DUMMYFUNCTION("""COMPUTED_VALUE"""),"ARG")</f>
        <v>ARG</v>
      </c>
      <c r="F379" s="45">
        <f>IFERROR(__xludf.DUMMYFUNCTION("""COMPUTED_VALUE"""),5.0704565E7)</f>
        <v>50704565</v>
      </c>
      <c r="G379" s="44">
        <f>IFERROR(__xludf.DUMMYFUNCTION("""COMPUTED_VALUE"""),40502.0)</f>
        <v>40502</v>
      </c>
      <c r="H379" s="45">
        <f>IFERROR(__xludf.DUMMYFUNCTION("""COMPUTED_VALUE"""),1.551086001E9)</f>
        <v>1551086001</v>
      </c>
      <c r="I379" s="45">
        <f>IFERROR(__xludf.DUMMYFUNCTION("""COMPUTED_VALUE"""),1.549145956E9)</f>
        <v>1549145956</v>
      </c>
      <c r="J379" s="45" t="str">
        <f>IFERROR(__xludf.DUMMYFUNCTION("""COMPUTED_VALUE"""),"maria47111945@gmail.com")</f>
        <v>maria47111945@gmail.com</v>
      </c>
      <c r="K379" s="45" t="str">
        <f>IFERROR(__xludf.DUMMYFUNCTION("""COMPUTED_VALUE"""),"Masculino")</f>
        <v>Masculino</v>
      </c>
      <c r="L379" s="45" t="str">
        <f>IFERROR(__xludf.DUMMYFUNCTION("""COMPUTED_VALUE"""),"CVSI")</f>
        <v>CVSI</v>
      </c>
      <c r="M379" s="45"/>
      <c r="N379" s="45" t="str">
        <f>IFERROR(__xludf.DUMMYFUNCTION("""COMPUTED_VALUE"""),"OPTIMIST PRINCIPIANTES")</f>
        <v>OPTIMIST PRINCIPIANTES</v>
      </c>
      <c r="O379" s="7"/>
      <c r="P379" s="7">
        <f>IFERROR(__xludf.DUMMYFUNCTION("""COMPUTED_VALUE"""),3711.0)</f>
        <v>3711</v>
      </c>
      <c r="Q379" s="45"/>
      <c r="R379" s="45"/>
      <c r="S379" s="45"/>
      <c r="T379" s="45"/>
      <c r="U379" s="45"/>
      <c r="V379" s="45"/>
      <c r="W379" s="45"/>
      <c r="X379" s="47">
        <f>IFERROR(__xludf.DUMMYFUNCTION("""COMPUTED_VALUE"""),6.1314705603E10)</f>
        <v>61314705603</v>
      </c>
      <c r="Y379" s="7" t="str">
        <f>IFERROR(__xludf.DUMMYFUNCTION("""COMPUTED_VALUE"""),"No")</f>
        <v>No</v>
      </c>
      <c r="Z379" s="45" t="str">
        <f>IFERROR(__xludf.DUMMYFUNCTION("""COMPUTED_VALUE"""),"Acepto")</f>
        <v>Acepto</v>
      </c>
      <c r="AA379" s="45" t="str">
        <f>IFERROR(__xludf.DUMMYFUNCTION("""COMPUTED_VALUE"""),"Terminado")</f>
        <v>Terminado</v>
      </c>
      <c r="AB379" s="45">
        <f>IFERROR(__xludf.DUMMYFUNCTION("""COMPUTED_VALUE"""),50000.0)</f>
        <v>50000</v>
      </c>
      <c r="AC379" s="7">
        <f>IFERROR(__xludf.DUMMYFUNCTION("""COMPUTED_VALUE"""),205608.0)</f>
        <v>205608</v>
      </c>
      <c r="AD379" s="7" t="str">
        <f>IFERROR(__xludf.DUMMYFUNCTION("""COMPUTED_VALUE"""),"Tarj 11-09")</f>
        <v>Tarj 11-09</v>
      </c>
      <c r="AE379" s="7" t="str">
        <f>IFERROR(__xludf.DUMMYFUNCTION("""COMPUTED_VALUE"""),"OK")</f>
        <v>OK</v>
      </c>
      <c r="AF379" s="7"/>
    </row>
    <row r="380">
      <c r="A380" s="42">
        <f>IFERROR(__xludf.DUMMYFUNCTION("""COMPUTED_VALUE"""),45544.03219407407)</f>
        <v>45544.03219</v>
      </c>
      <c r="B380" s="43" t="str">
        <f>IFERROR(__xludf.DUMMYFUNCTION("""COMPUTED_VALUE"""),"Celina María")</f>
        <v>Celina María</v>
      </c>
      <c r="C380" s="43" t="str">
        <f>IFERROR(__xludf.DUMMYFUNCTION("""COMPUTED_VALUE"""),"Galeano")</f>
        <v>Galeano</v>
      </c>
      <c r="D380" s="43" t="str">
        <f>IFERROR(__xludf.DUMMYFUNCTION("""COMPUTED_VALUE"""),"CABA")</f>
        <v>CABA</v>
      </c>
      <c r="E380" s="45" t="str">
        <f>IFERROR(__xludf.DUMMYFUNCTION("""COMPUTED_VALUE"""),"ARG")</f>
        <v>ARG</v>
      </c>
      <c r="F380" s="45">
        <f>IFERROR(__xludf.DUMMYFUNCTION("""COMPUTED_VALUE"""),5.0030847E7)</f>
        <v>50030847</v>
      </c>
      <c r="G380" s="44">
        <f>IFERROR(__xludf.DUMMYFUNCTION("""COMPUTED_VALUE"""),40231.0)</f>
        <v>40231</v>
      </c>
      <c r="H380" s="45">
        <f>IFERROR(__xludf.DUMMYFUNCTION("""COMPUTED_VALUE"""),1.559709376E9)</f>
        <v>1559709376</v>
      </c>
      <c r="I380" s="45">
        <f>IFERROR(__xludf.DUMMYFUNCTION("""COMPUTED_VALUE"""),1.559709376E9)</f>
        <v>1559709376</v>
      </c>
      <c r="J380" s="45" t="str">
        <f>IFERROR(__xludf.DUMMYFUNCTION("""COMPUTED_VALUE"""),"jjgaleano1974@gmail.com")</f>
        <v>jjgaleano1974@gmail.com</v>
      </c>
      <c r="K380" s="45" t="str">
        <f>IFERROR(__xludf.DUMMYFUNCTION("""COMPUTED_VALUE"""),"Femenino")</f>
        <v>Femenino</v>
      </c>
      <c r="L380" s="45" t="str">
        <f>IFERROR(__xludf.DUMMYFUNCTION("""COMPUTED_VALUE"""),"CUBA")</f>
        <v>CUBA</v>
      </c>
      <c r="M380" s="45" t="str">
        <f>IFERROR(__xludf.DUMMYFUNCTION("""COMPUTED_VALUE"""),"Femenino")</f>
        <v>Femenino</v>
      </c>
      <c r="N380" s="45" t="str">
        <f>IFERROR(__xludf.DUMMYFUNCTION("""COMPUTED_VALUE"""),"OPTIMIST TIMONELES")</f>
        <v>OPTIMIST TIMONELES</v>
      </c>
      <c r="O380" s="7"/>
      <c r="P380" s="7">
        <f>IFERROR(__xludf.DUMMYFUNCTION("""COMPUTED_VALUE"""),4123.0)</f>
        <v>4123</v>
      </c>
      <c r="Q380" s="45" t="str">
        <f>IFERROR(__xludf.DUMMYFUNCTION("""COMPUTED_VALUE"""),"-")</f>
        <v>-</v>
      </c>
      <c r="R380" s="45"/>
      <c r="S380" s="45"/>
      <c r="T380" s="45"/>
      <c r="U380" s="45"/>
      <c r="V380" s="45"/>
      <c r="W380" s="45"/>
      <c r="X380" s="47" t="str">
        <f>IFERROR(__xludf.DUMMYFUNCTION("""COMPUTED_VALUE"""),"Obra Social del Poder Judicial. N° 44221/32")</f>
        <v>Obra Social del Poder Judicial. N° 44221/32</v>
      </c>
      <c r="Y380" s="7" t="str">
        <f>IFERROR(__xludf.DUMMYFUNCTION("""COMPUTED_VALUE"""),"Si")</f>
        <v>Si</v>
      </c>
      <c r="Z380" s="45" t="str">
        <f>IFERROR(__xludf.DUMMYFUNCTION("""COMPUTED_VALUE"""),"Acepto")</f>
        <v>Acepto</v>
      </c>
      <c r="AA380" s="45" t="str">
        <f>IFERROR(__xludf.DUMMYFUNCTION("""COMPUTED_VALUE"""),"Terminado")</f>
        <v>Terminado</v>
      </c>
      <c r="AB380" s="45">
        <f>IFERROR(__xludf.DUMMYFUNCTION("""COMPUTED_VALUE"""),50000.0)</f>
        <v>50000</v>
      </c>
      <c r="AC380" s="7">
        <f>IFERROR(__xludf.DUMMYFUNCTION("""COMPUTED_VALUE"""),205613.0)</f>
        <v>205613</v>
      </c>
      <c r="AD380" s="7" t="str">
        <f>IFERROR(__xludf.DUMMYFUNCTION("""COMPUTED_VALUE"""),"TRF 09-09")</f>
        <v>TRF 09-09</v>
      </c>
      <c r="AE380" s="7" t="str">
        <f>IFERROR(__xludf.DUMMYFUNCTION("""COMPUTED_VALUE"""),"OK")</f>
        <v>OK</v>
      </c>
      <c r="AF380" s="7"/>
    </row>
    <row r="381">
      <c r="A381" s="42">
        <f>IFERROR(__xludf.DUMMYFUNCTION("""COMPUTED_VALUE"""),45544.25686517361)</f>
        <v>45544.25687</v>
      </c>
      <c r="B381" s="43" t="str">
        <f>IFERROR(__xludf.DUMMYFUNCTION("""COMPUTED_VALUE"""),"Micaela")</f>
        <v>Micaela</v>
      </c>
      <c r="C381" s="43" t="str">
        <f>IFERROR(__xludf.DUMMYFUNCTION("""COMPUTED_VALUE"""),"Finsterbusch")</f>
        <v>Finsterbusch</v>
      </c>
      <c r="D381" s="43" t="str">
        <f>IFERROR(__xludf.DUMMYFUNCTION("""COMPUTED_VALUE"""),"Buenos Aires")</f>
        <v>Buenos Aires</v>
      </c>
      <c r="E381" s="45" t="str">
        <f>IFERROR(__xludf.DUMMYFUNCTION("""COMPUTED_VALUE"""),"ARG")</f>
        <v>ARG</v>
      </c>
      <c r="F381" s="45">
        <f>IFERROR(__xludf.DUMMYFUNCTION("""COMPUTED_VALUE"""),5.0869078E7)</f>
        <v>50869078</v>
      </c>
      <c r="G381" s="44">
        <f>IFERROR(__xludf.DUMMYFUNCTION("""COMPUTED_VALUE"""),40871.0)</f>
        <v>40871</v>
      </c>
      <c r="H381" s="45">
        <f>IFERROR(__xludf.DUMMYFUNCTION("""COMPUTED_VALUE"""),1.532103308E9)</f>
        <v>1532103308</v>
      </c>
      <c r="I381" s="45">
        <f>IFERROR(__xludf.DUMMYFUNCTION("""COMPUTED_VALUE"""),1.532103308E9)</f>
        <v>1532103308</v>
      </c>
      <c r="J381" s="45" t="str">
        <f>IFERROR(__xludf.DUMMYFUNCTION("""COMPUTED_VALUE"""),"Robuenaventura78@gmail.com")</f>
        <v>Robuenaventura78@gmail.com</v>
      </c>
      <c r="K381" s="45" t="str">
        <f>IFERROR(__xludf.DUMMYFUNCTION("""COMPUTED_VALUE"""),"Femenino")</f>
        <v>Femenino</v>
      </c>
      <c r="L381" s="45" t="str">
        <f>IFERROR(__xludf.DUMMYFUNCTION("""COMPUTED_VALUE"""),"CVSI")</f>
        <v>CVSI</v>
      </c>
      <c r="M381" s="45" t="str">
        <f>IFERROR(__xludf.DUMMYFUNCTION("""COMPUTED_VALUE"""),"Femenino")</f>
        <v>Femenino</v>
      </c>
      <c r="N381" s="45" t="str">
        <f>IFERROR(__xludf.DUMMYFUNCTION("""COMPUTED_VALUE"""),"OPTIMIST TIMONELES")</f>
        <v>OPTIMIST TIMONELES</v>
      </c>
      <c r="O381" s="7"/>
      <c r="P381" s="7">
        <f>IFERROR(__xludf.DUMMYFUNCTION("""COMPUTED_VALUE"""),4153.0)</f>
        <v>4153</v>
      </c>
      <c r="Q381" s="45"/>
      <c r="R381" s="45"/>
      <c r="S381" s="45"/>
      <c r="T381" s="45"/>
      <c r="U381" s="45"/>
      <c r="V381" s="45"/>
      <c r="W381" s="45"/>
      <c r="X381" s="47" t="str">
        <f>IFERROR(__xludf.DUMMYFUNCTION("""COMPUTED_VALUE"""),"OSDE")</f>
        <v>OSDE</v>
      </c>
      <c r="Y381" s="7" t="str">
        <f>IFERROR(__xludf.DUMMYFUNCTION("""COMPUTED_VALUE"""),"Si")</f>
        <v>Si</v>
      </c>
      <c r="Z381" s="45" t="str">
        <f>IFERROR(__xludf.DUMMYFUNCTION("""COMPUTED_VALUE"""),"Acepto")</f>
        <v>Acepto</v>
      </c>
      <c r="AA381" s="45" t="str">
        <f>IFERROR(__xludf.DUMMYFUNCTION("""COMPUTED_VALUE"""),"Terminado")</f>
        <v>Terminado</v>
      </c>
      <c r="AB381" s="45">
        <f>IFERROR(__xludf.DUMMYFUNCTION("""COMPUTED_VALUE"""),50000.0)</f>
        <v>50000</v>
      </c>
      <c r="AC381" s="7">
        <f>IFERROR(__xludf.DUMMYFUNCTION("""COMPUTED_VALUE"""),205625.0)</f>
        <v>205625</v>
      </c>
      <c r="AD381" s="7" t="str">
        <f>IFERROR(__xludf.DUMMYFUNCTION("""COMPUTED_VALUE"""),"TRF 09-09")</f>
        <v>TRF 09-09</v>
      </c>
      <c r="AE381" s="7" t="str">
        <f>IFERROR(__xludf.DUMMYFUNCTION("""COMPUTED_VALUE"""),"OK")</f>
        <v>OK</v>
      </c>
      <c r="AF381" s="45"/>
    </row>
    <row r="382">
      <c r="A382" s="42">
        <f>IFERROR(__xludf.DUMMYFUNCTION("""COMPUTED_VALUE"""),45544.33526309028)</f>
        <v>45544.33526</v>
      </c>
      <c r="B382" s="43" t="str">
        <f>IFERROR(__xludf.DUMMYFUNCTION("""COMPUTED_VALUE"""),"Charo")</f>
        <v>Charo</v>
      </c>
      <c r="C382" s="43" t="str">
        <f>IFERROR(__xludf.DUMMYFUNCTION("""COMPUTED_VALUE"""),"Sánchez Balboa ")</f>
        <v>Sánchez Balboa </v>
      </c>
      <c r="D382" s="43" t="str">
        <f>IFERROR(__xludf.DUMMYFUNCTION("""COMPUTED_VALUE"""),"Buenos aires")</f>
        <v>Buenos aires</v>
      </c>
      <c r="E382" s="45" t="str">
        <f>IFERROR(__xludf.DUMMYFUNCTION("""COMPUTED_VALUE"""),"ARG")</f>
        <v>ARG</v>
      </c>
      <c r="F382" s="45">
        <f>IFERROR(__xludf.DUMMYFUNCTION("""COMPUTED_VALUE"""),5.0708516E7)</f>
        <v>50708516</v>
      </c>
      <c r="G382" s="44">
        <f>IFERROR(__xludf.DUMMYFUNCTION("""COMPUTED_VALUE"""),40532.0)</f>
        <v>40532</v>
      </c>
      <c r="H382" s="45">
        <f>IFERROR(__xludf.DUMMYFUNCTION("""COMPUTED_VALUE"""),1.12792449E9)</f>
        <v>1127924490</v>
      </c>
      <c r="I382" s="45">
        <f>IFERROR(__xludf.DUMMYFUNCTION("""COMPUTED_VALUE"""),1.166430485E9)</f>
        <v>1166430485</v>
      </c>
      <c r="J382" s="45" t="str">
        <f>IFERROR(__xludf.DUMMYFUNCTION("""COMPUTED_VALUE"""),"cbalboa16@gmail.com")</f>
        <v>cbalboa16@gmail.com</v>
      </c>
      <c r="K382" s="45" t="str">
        <f>IFERROR(__xludf.DUMMYFUNCTION("""COMPUTED_VALUE"""),"Femenino")</f>
        <v>Femenino</v>
      </c>
      <c r="L382" s="45" t="str">
        <f>IFERROR(__xludf.DUMMYFUNCTION("""COMPUTED_VALUE"""),"CNA")</f>
        <v>CNA</v>
      </c>
      <c r="M382" s="45" t="str">
        <f>IFERROR(__xludf.DUMMYFUNCTION("""COMPUTED_VALUE"""),"Femenino")</f>
        <v>Femenino</v>
      </c>
      <c r="N382" s="45" t="str">
        <f>IFERROR(__xludf.DUMMYFUNCTION("""COMPUTED_VALUE"""),"OPTIMIST PRINCIPIANTES")</f>
        <v>OPTIMIST PRINCIPIANTES</v>
      </c>
      <c r="O382" s="7" t="str">
        <f>IFERROR(__xludf.DUMMYFUNCTION("""COMPUTED_VALUE"""),"No")</f>
        <v>No</v>
      </c>
      <c r="P382" s="7">
        <f>IFERROR(__xludf.DUMMYFUNCTION("""COMPUTED_VALUE"""),397.0)</f>
        <v>397</v>
      </c>
      <c r="Q382" s="45" t="str">
        <f>IFERROR(__xludf.DUMMYFUNCTION("""COMPUTED_VALUE"""),"Four winds")</f>
        <v>Four winds</v>
      </c>
      <c r="R382" s="45"/>
      <c r="S382" s="45"/>
      <c r="T382" s="45"/>
      <c r="U382" s="45"/>
      <c r="V382" s="45"/>
      <c r="W382" s="45"/>
      <c r="X382" s="47" t="str">
        <f>IFERROR(__xludf.DUMMYFUNCTION("""COMPUTED_VALUE"""),"OSDE 210")</f>
        <v>OSDE 210</v>
      </c>
      <c r="Y382" s="7" t="str">
        <f>IFERROR(__xludf.DUMMYFUNCTION("""COMPUTED_VALUE"""),"Si")</f>
        <v>Si</v>
      </c>
      <c r="Z382" s="45" t="str">
        <f>IFERROR(__xludf.DUMMYFUNCTION("""COMPUTED_VALUE"""),"Acepto")</f>
        <v>Acepto</v>
      </c>
      <c r="AA382" s="45" t="str">
        <f>IFERROR(__xludf.DUMMYFUNCTION("""COMPUTED_VALUE"""),"Pendiente")</f>
        <v>Pendiente</v>
      </c>
      <c r="AB382" s="45"/>
      <c r="AC382" s="7"/>
      <c r="AD382" s="7"/>
      <c r="AE382" s="7" t="str">
        <f>IFERROR(__xludf.DUMMYFUNCTION("""COMPUTED_VALUE"""),"OK")</f>
        <v>OK</v>
      </c>
      <c r="AF382" s="45"/>
    </row>
    <row r="383">
      <c r="A383" s="42">
        <f>IFERROR(__xludf.DUMMYFUNCTION("""COMPUTED_VALUE"""),45544.3539521875)</f>
        <v>45544.35395</v>
      </c>
      <c r="B383" s="43" t="str">
        <f>IFERROR(__xludf.DUMMYFUNCTION("""COMPUTED_VALUE"""),"Matias")</f>
        <v>Matias</v>
      </c>
      <c r="C383" s="43" t="str">
        <f>IFERROR(__xludf.DUMMYFUNCTION("""COMPUTED_VALUE"""),"Jochoian ")</f>
        <v>Jochoian </v>
      </c>
      <c r="D383" s="43" t="str">
        <f>IFERROR(__xludf.DUMMYFUNCTION("""COMPUTED_VALUE"""),"Escobar ")</f>
        <v>Escobar </v>
      </c>
      <c r="E383" s="45" t="str">
        <f>IFERROR(__xludf.DUMMYFUNCTION("""COMPUTED_VALUE"""),"ARG")</f>
        <v>ARG</v>
      </c>
      <c r="F383" s="45">
        <f>IFERROR(__xludf.DUMMYFUNCTION("""COMPUTED_VALUE"""),5.0805496E7)</f>
        <v>50805496</v>
      </c>
      <c r="G383" s="44">
        <f>IFERROR(__xludf.DUMMYFUNCTION("""COMPUTED_VALUE"""),40564.0)</f>
        <v>40564</v>
      </c>
      <c r="H383" s="45">
        <f>IFERROR(__xludf.DUMMYFUNCTION("""COMPUTED_VALUE"""),1.168046314E9)</f>
        <v>1168046314</v>
      </c>
      <c r="I383" s="45">
        <f>IFERROR(__xludf.DUMMYFUNCTION("""COMPUTED_VALUE"""),1.15052599E9)</f>
        <v>1150525990</v>
      </c>
      <c r="J383" s="45" t="str">
        <f>IFERROR(__xludf.DUMMYFUNCTION("""COMPUTED_VALUE"""),"alejochoian@gmail.com")</f>
        <v>alejochoian@gmail.com</v>
      </c>
      <c r="K383" s="45" t="str">
        <f>IFERROR(__xludf.DUMMYFUNCTION("""COMPUTED_VALUE"""),"Masculino")</f>
        <v>Masculino</v>
      </c>
      <c r="L383" s="45" t="str">
        <f>IFERROR(__xludf.DUMMYFUNCTION("""COMPUTED_VALUE"""),"YCA")</f>
        <v>YCA</v>
      </c>
      <c r="M383" s="45" t="str">
        <f>IFERROR(__xludf.DUMMYFUNCTION("""COMPUTED_VALUE"""),"Interior (Optimist)")</f>
        <v>Interior (Optimist)</v>
      </c>
      <c r="N383" s="45" t="str">
        <f>IFERROR(__xludf.DUMMYFUNCTION("""COMPUTED_VALUE"""),"OPTIMIST TIMONELES")</f>
        <v>OPTIMIST TIMONELES</v>
      </c>
      <c r="O383" s="7"/>
      <c r="P383" s="7">
        <f>IFERROR(__xludf.DUMMYFUNCTION("""COMPUTED_VALUE"""),4121.0)</f>
        <v>4121</v>
      </c>
      <c r="Q383" s="45" t="str">
        <f>IFERROR(__xludf.DUMMYFUNCTION("""COMPUTED_VALUE"""),"ARG 4121")</f>
        <v>ARG 4121</v>
      </c>
      <c r="R383" s="45"/>
      <c r="S383" s="45"/>
      <c r="T383" s="45"/>
      <c r="U383" s="45"/>
      <c r="V383" s="45"/>
      <c r="W383" s="45"/>
      <c r="X383" s="47" t="str">
        <f>IFERROR(__xludf.DUMMYFUNCTION("""COMPUTED_VALUE"""),"Swiss medical 800006148402204")</f>
        <v>Swiss medical 800006148402204</v>
      </c>
      <c r="Y383" s="7" t="str">
        <f>IFERROR(__xludf.DUMMYFUNCTION("""COMPUTED_VALUE"""),"No")</f>
        <v>No</v>
      </c>
      <c r="Z383" s="45" t="str">
        <f>IFERROR(__xludf.DUMMYFUNCTION("""COMPUTED_VALUE"""),"Acepto")</f>
        <v>Acepto</v>
      </c>
      <c r="AA383" s="45" t="str">
        <f>IFERROR(__xludf.DUMMYFUNCTION("""COMPUTED_VALUE"""),"Terminado")</f>
        <v>Terminado</v>
      </c>
      <c r="AB383" s="45">
        <f>IFERROR(__xludf.DUMMYFUNCTION("""COMPUTED_VALUE"""),50000.0)</f>
        <v>50000</v>
      </c>
      <c r="AC383" s="7">
        <f>IFERROR(__xludf.DUMMYFUNCTION("""COMPUTED_VALUE"""),205624.0)</f>
        <v>205624</v>
      </c>
      <c r="AD383" s="7" t="str">
        <f>IFERROR(__xludf.DUMMYFUNCTION("""COMPUTED_VALUE"""),"TRF 09-09")</f>
        <v>TRF 09-09</v>
      </c>
      <c r="AE383" s="7" t="str">
        <f>IFERROR(__xludf.DUMMYFUNCTION("""COMPUTED_VALUE"""),"OK")</f>
        <v>OK</v>
      </c>
      <c r="AF383" s="45"/>
    </row>
    <row r="384">
      <c r="A384" s="42">
        <f>IFERROR(__xludf.DUMMYFUNCTION("""COMPUTED_VALUE"""),45544.36630302083)</f>
        <v>45544.3663</v>
      </c>
      <c r="B384" s="43" t="str">
        <f>IFERROR(__xludf.DUMMYFUNCTION("""COMPUTED_VALUE"""),"FELIPE")</f>
        <v>FELIPE</v>
      </c>
      <c r="C384" s="43" t="str">
        <f>IFERROR(__xludf.DUMMYFUNCTION("""COMPUTED_VALUE"""),"DURAÑONA")</f>
        <v>DURAÑONA</v>
      </c>
      <c r="D384" s="43" t="str">
        <f>IFERROR(__xludf.DUMMYFUNCTION("""COMPUTED_VALUE"""),"Boulogne")</f>
        <v>Boulogne</v>
      </c>
      <c r="E384" s="45" t="str">
        <f>IFERROR(__xludf.DUMMYFUNCTION("""COMPUTED_VALUE"""),"ARG")</f>
        <v>ARG</v>
      </c>
      <c r="F384" s="45">
        <f>IFERROR(__xludf.DUMMYFUNCTION("""COMPUTED_VALUE"""),5.2703139E7)</f>
        <v>52703139</v>
      </c>
      <c r="G384" s="44">
        <f>IFERROR(__xludf.DUMMYFUNCTION("""COMPUTED_VALUE"""),41167.0)</f>
        <v>41167</v>
      </c>
      <c r="H384" s="45">
        <f>IFERROR(__xludf.DUMMYFUNCTION("""COMPUTED_VALUE"""),1.140276302E9)</f>
        <v>1140276302</v>
      </c>
      <c r="I384" s="45">
        <f>IFERROR(__xludf.DUMMYFUNCTION("""COMPUTED_VALUE"""),1.140276303E9)</f>
        <v>1140276303</v>
      </c>
      <c r="J384" s="45" t="str">
        <f>IFERROR(__xludf.DUMMYFUNCTION("""COMPUTED_VALUE"""),"fduranonav@gmail.com")</f>
        <v>fduranonav@gmail.com</v>
      </c>
      <c r="K384" s="45" t="str">
        <f>IFERROR(__xludf.DUMMYFUNCTION("""COMPUTED_VALUE"""),"Masculino")</f>
        <v>Masculino</v>
      </c>
      <c r="L384" s="45" t="str">
        <f>IFERROR(__xludf.DUMMYFUNCTION("""COMPUTED_VALUE"""),"YCA ")</f>
        <v>YCA </v>
      </c>
      <c r="M384" s="45"/>
      <c r="N384" s="45" t="str">
        <f>IFERROR(__xludf.DUMMYFUNCTION("""COMPUTED_VALUE"""),"OPTIMIST PRINCIPIANTES")</f>
        <v>OPTIMIST PRINCIPIANTES</v>
      </c>
      <c r="O384" s="7"/>
      <c r="P384" s="7">
        <f>IFERROR(__xludf.DUMMYFUNCTION("""COMPUTED_VALUE"""),3445.0)</f>
        <v>3445</v>
      </c>
      <c r="Q384" s="45" t="str">
        <f>IFERROR(__xludf.DUMMYFUNCTION("""COMPUTED_VALUE"""),"Explorer")</f>
        <v>Explorer</v>
      </c>
      <c r="R384" s="45"/>
      <c r="S384" s="45"/>
      <c r="T384" s="45"/>
      <c r="U384" s="45"/>
      <c r="V384" s="45"/>
      <c r="W384" s="45"/>
      <c r="X384" s="47" t="str">
        <f>IFERROR(__xludf.DUMMYFUNCTION("""COMPUTED_VALUE"""),"Osde 62184993504")</f>
        <v>Osde 62184993504</v>
      </c>
      <c r="Y384" s="7" t="str">
        <f>IFERROR(__xludf.DUMMYFUNCTION("""COMPUTED_VALUE"""),"No")</f>
        <v>No</v>
      </c>
      <c r="Z384" s="45" t="str">
        <f>IFERROR(__xludf.DUMMYFUNCTION("""COMPUTED_VALUE"""),"Acepto")</f>
        <v>Acepto</v>
      </c>
      <c r="AA384" s="45" t="str">
        <f>IFERROR(__xludf.DUMMYFUNCTION("""COMPUTED_VALUE"""),"Terminado")</f>
        <v>Terminado</v>
      </c>
      <c r="AB384" s="45">
        <f>IFERROR(__xludf.DUMMYFUNCTION("""COMPUTED_VALUE"""),50000.0)</f>
        <v>50000</v>
      </c>
      <c r="AC384" s="7">
        <f>IFERROR(__xludf.DUMMYFUNCTION("""COMPUTED_VALUE"""),205640.0)</f>
        <v>205640</v>
      </c>
      <c r="AD384" s="7" t="str">
        <f>IFERROR(__xludf.DUMMYFUNCTION("""COMPUTED_VALUE"""),"TRF 09-09")</f>
        <v>TRF 09-09</v>
      </c>
      <c r="AE384" s="7" t="str">
        <f>IFERROR(__xludf.DUMMYFUNCTION("""COMPUTED_VALUE"""),"OK")</f>
        <v>OK</v>
      </c>
      <c r="AF384" s="45"/>
    </row>
    <row r="385">
      <c r="A385" s="42">
        <f>IFERROR(__xludf.DUMMYFUNCTION("""COMPUTED_VALUE"""),45544.36892123843)</f>
        <v>45544.36892</v>
      </c>
      <c r="B385" s="43" t="str">
        <f>IFERROR(__xludf.DUMMYFUNCTION("""COMPUTED_VALUE"""),"MATEO")</f>
        <v>MATEO</v>
      </c>
      <c r="C385" s="43" t="str">
        <f>IFERROR(__xludf.DUMMYFUNCTION("""COMPUTED_VALUE"""),"DURAÑONA ")</f>
        <v>DURAÑONA </v>
      </c>
      <c r="D385" s="43" t="str">
        <f>IFERROR(__xludf.DUMMYFUNCTION("""COMPUTED_VALUE"""),"Boulogne")</f>
        <v>Boulogne</v>
      </c>
      <c r="E385" s="45" t="str">
        <f>IFERROR(__xludf.DUMMYFUNCTION("""COMPUTED_VALUE"""),"ARG")</f>
        <v>ARG</v>
      </c>
      <c r="F385" s="45">
        <f>IFERROR(__xludf.DUMMYFUNCTION("""COMPUTED_VALUE"""),5.015553E7)</f>
        <v>50155530</v>
      </c>
      <c r="G385" s="44">
        <f>IFERROR(__xludf.DUMMYFUNCTION("""COMPUTED_VALUE"""),40218.0)</f>
        <v>40218</v>
      </c>
      <c r="H385" s="45">
        <f>IFERROR(__xludf.DUMMYFUNCTION("""COMPUTED_VALUE"""),1.140276302E9)</f>
        <v>1140276302</v>
      </c>
      <c r="I385" s="45">
        <f>IFERROR(__xludf.DUMMYFUNCTION("""COMPUTED_VALUE"""),1.140276303E9)</f>
        <v>1140276303</v>
      </c>
      <c r="J385" s="45" t="str">
        <f>IFERROR(__xludf.DUMMYFUNCTION("""COMPUTED_VALUE"""),"fduranonav@gmail.com")</f>
        <v>fduranonav@gmail.com</v>
      </c>
      <c r="K385" s="45" t="str">
        <f>IFERROR(__xludf.DUMMYFUNCTION("""COMPUTED_VALUE"""),"Masculino")</f>
        <v>Masculino</v>
      </c>
      <c r="L385" s="45" t="str">
        <f>IFERROR(__xludf.DUMMYFUNCTION("""COMPUTED_VALUE"""),"YCA")</f>
        <v>YCA</v>
      </c>
      <c r="M385" s="45"/>
      <c r="N385" s="45" t="str">
        <f>IFERROR(__xludf.DUMMYFUNCTION("""COMPUTED_VALUE"""),"OPTIMIST TIMONELES")</f>
        <v>OPTIMIST TIMONELES</v>
      </c>
      <c r="O385" s="7"/>
      <c r="P385" s="7">
        <f>IFERROR(__xludf.DUMMYFUNCTION("""COMPUTED_VALUE"""),3891.0)</f>
        <v>3891</v>
      </c>
      <c r="Q385" s="45"/>
      <c r="R385" s="45"/>
      <c r="S385" s="45"/>
      <c r="T385" s="45"/>
      <c r="U385" s="45"/>
      <c r="V385" s="45"/>
      <c r="W385" s="45"/>
      <c r="X385" s="47">
        <f>IFERROR(__xludf.DUMMYFUNCTION("""COMPUTED_VALUE"""),6.2184993503E10)</f>
        <v>62184993503</v>
      </c>
      <c r="Y385" s="7" t="str">
        <f>IFERROR(__xludf.DUMMYFUNCTION("""COMPUTED_VALUE"""),"No")</f>
        <v>No</v>
      </c>
      <c r="Z385" s="45" t="str">
        <f>IFERROR(__xludf.DUMMYFUNCTION("""COMPUTED_VALUE"""),"Acepto")</f>
        <v>Acepto</v>
      </c>
      <c r="AA385" s="45" t="str">
        <f>IFERROR(__xludf.DUMMYFUNCTION("""COMPUTED_VALUE"""),"Terminado")</f>
        <v>Terminado</v>
      </c>
      <c r="AB385" s="45">
        <f>IFERROR(__xludf.DUMMYFUNCTION("""COMPUTED_VALUE"""),50000.0)</f>
        <v>50000</v>
      </c>
      <c r="AC385" s="7">
        <f>IFERROR(__xludf.DUMMYFUNCTION("""COMPUTED_VALUE"""),205640.0)</f>
        <v>205640</v>
      </c>
      <c r="AD385" s="7" t="str">
        <f>IFERROR(__xludf.DUMMYFUNCTION("""COMPUTED_VALUE"""),"TRF 09-09")</f>
        <v>TRF 09-09</v>
      </c>
      <c r="AE385" s="7" t="str">
        <f>IFERROR(__xludf.DUMMYFUNCTION("""COMPUTED_VALUE"""),"OK")</f>
        <v>OK</v>
      </c>
      <c r="AF385" s="45"/>
    </row>
    <row r="386">
      <c r="A386" s="42">
        <f>IFERROR(__xludf.DUMMYFUNCTION("""COMPUTED_VALUE"""),45544.39162871528)</f>
        <v>45544.39163</v>
      </c>
      <c r="B386" s="43" t="str">
        <f>IFERROR(__xludf.DUMMYFUNCTION("""COMPUTED_VALUE"""),"Agustín ")</f>
        <v>Agustín </v>
      </c>
      <c r="C386" s="43" t="str">
        <f>IFERROR(__xludf.DUMMYFUNCTION("""COMPUTED_VALUE"""),"Farkas Cantonnet")</f>
        <v>Farkas Cantonnet</v>
      </c>
      <c r="D386" s="43" t="str">
        <f>IFERROR(__xludf.DUMMYFUNCTION("""COMPUTED_VALUE"""),"CABA")</f>
        <v>CABA</v>
      </c>
      <c r="E386" s="45" t="str">
        <f>IFERROR(__xludf.DUMMYFUNCTION("""COMPUTED_VALUE"""),"ARG")</f>
        <v>ARG</v>
      </c>
      <c r="F386" s="45">
        <f>IFERROR(__xludf.DUMMYFUNCTION("""COMPUTED_VALUE"""),5.2648053E7)</f>
        <v>52648053</v>
      </c>
      <c r="G386" s="44">
        <f>IFERROR(__xludf.DUMMYFUNCTION("""COMPUTED_VALUE"""),41111.0)</f>
        <v>41111</v>
      </c>
      <c r="H386" s="45">
        <f>IFERROR(__xludf.DUMMYFUNCTION("""COMPUTED_VALUE"""),1.169730452E9)</f>
        <v>1169730452</v>
      </c>
      <c r="I386" s="45">
        <f>IFERROR(__xludf.DUMMYFUNCTION("""COMPUTED_VALUE"""),1.16862486E9)</f>
        <v>1168624860</v>
      </c>
      <c r="J386" s="45" t="str">
        <f>IFERROR(__xludf.DUMMYFUNCTION("""COMPUTED_VALUE"""),"juanpablofarkas@gmail.com")</f>
        <v>juanpablofarkas@gmail.com</v>
      </c>
      <c r="K386" s="45" t="str">
        <f>IFERROR(__xludf.DUMMYFUNCTION("""COMPUTED_VALUE"""),"Masculino")</f>
        <v>Masculino</v>
      </c>
      <c r="L386" s="45" t="str">
        <f>IFERROR(__xludf.DUMMYFUNCTION("""COMPUTED_VALUE"""),"CUBA")</f>
        <v>CUBA</v>
      </c>
      <c r="M386" s="45" t="str">
        <f>IFERROR(__xludf.DUMMYFUNCTION("""COMPUTED_VALUE"""),"Optimist principiante")</f>
        <v>Optimist principiante</v>
      </c>
      <c r="N386" s="45" t="str">
        <f>IFERROR(__xludf.DUMMYFUNCTION("""COMPUTED_VALUE"""),"OPTIMIST PRINCIPIANTES")</f>
        <v>OPTIMIST PRINCIPIANTES</v>
      </c>
      <c r="O386" s="7"/>
      <c r="P386" s="7">
        <f>IFERROR(__xludf.DUMMYFUNCTION("""COMPUTED_VALUE"""),3663.0)</f>
        <v>3663</v>
      </c>
      <c r="Q386" s="45" t="str">
        <f>IFERROR(__xludf.DUMMYFUNCTION("""COMPUTED_VALUE"""),"Cacharro ")</f>
        <v>Cacharro </v>
      </c>
      <c r="R386" s="45"/>
      <c r="S386" s="45"/>
      <c r="T386" s="45"/>
      <c r="U386" s="45"/>
      <c r="V386" s="45"/>
      <c r="W386" s="45"/>
      <c r="X386" s="47" t="str">
        <f>IFERROR(__xludf.DUMMYFUNCTION("""COMPUTED_VALUE"""),"Omint 1749915302021")</f>
        <v>Omint 1749915302021</v>
      </c>
      <c r="Y386" s="7" t="str">
        <f>IFERROR(__xludf.DUMMYFUNCTION("""COMPUTED_VALUE"""),"Si")</f>
        <v>Si</v>
      </c>
      <c r="Z386" s="45" t="str">
        <f>IFERROR(__xludf.DUMMYFUNCTION("""COMPUTED_VALUE"""),"Acepto")</f>
        <v>Acepto</v>
      </c>
      <c r="AA386" s="45" t="str">
        <f>IFERROR(__xludf.DUMMYFUNCTION("""COMPUTED_VALUE"""),"Terminado")</f>
        <v>Terminado</v>
      </c>
      <c r="AB386" s="45">
        <f>IFERROR(__xludf.DUMMYFUNCTION("""COMPUTED_VALUE"""),70000.0)</f>
        <v>70000</v>
      </c>
      <c r="AC386" s="7">
        <f>IFERROR(__xludf.DUMMYFUNCTION("""COMPUTED_VALUE"""),205615.0)</f>
        <v>205615</v>
      </c>
      <c r="AD386" s="7" t="str">
        <f>IFERROR(__xludf.DUMMYFUNCTION("""COMPUTED_VALUE"""),"TRF 09-09")</f>
        <v>TRF 09-09</v>
      </c>
      <c r="AE386" s="7" t="str">
        <f>IFERROR(__xludf.DUMMYFUNCTION("""COMPUTED_VALUE"""),"OK")</f>
        <v>OK</v>
      </c>
      <c r="AF386" s="45"/>
    </row>
    <row r="387">
      <c r="A387" s="42">
        <f>IFERROR(__xludf.DUMMYFUNCTION("""COMPUTED_VALUE"""),45544.50813341435)</f>
        <v>45544.50813</v>
      </c>
      <c r="B387" s="43" t="str">
        <f>IFERROR(__xludf.DUMMYFUNCTION("""COMPUTED_VALUE"""),"Titi ")</f>
        <v>Titi </v>
      </c>
      <c r="C387" s="43" t="str">
        <f>IFERROR(__xludf.DUMMYFUNCTION("""COMPUTED_VALUE"""),"Korendij")</f>
        <v>Korendij</v>
      </c>
      <c r="D387" s="43" t="str">
        <f>IFERROR(__xludf.DUMMYFUNCTION("""COMPUTED_VALUE"""),"Capital Federal ")</f>
        <v>Capital Federal </v>
      </c>
      <c r="E387" s="45" t="str">
        <f>IFERROR(__xludf.DUMMYFUNCTION("""COMPUTED_VALUE"""),"ARG")</f>
        <v>ARG</v>
      </c>
      <c r="F387" s="45">
        <f>IFERROR(__xludf.DUMMYFUNCTION("""COMPUTED_VALUE"""),5.2958381E7)</f>
        <v>52958381</v>
      </c>
      <c r="G387" s="44">
        <f>IFERROR(__xludf.DUMMYFUNCTION("""COMPUTED_VALUE"""),41310.0)</f>
        <v>41310</v>
      </c>
      <c r="H387" s="45" t="str">
        <f>IFERROR(__xludf.DUMMYFUNCTION("""COMPUTED_VALUE"""),"+5491132719080")</f>
        <v>+5491132719080</v>
      </c>
      <c r="I387" s="45" t="str">
        <f>IFERROR(__xludf.DUMMYFUNCTION("""COMPUTED_VALUE"""),"+5491149749379")</f>
        <v>+5491149749379</v>
      </c>
      <c r="J387" s="45" t="str">
        <f>IFERROR(__xludf.DUMMYFUNCTION("""COMPUTED_VALUE"""),"xfermin@yahoo.com.ar")</f>
        <v>xfermin@yahoo.com.ar</v>
      </c>
      <c r="K387" s="45" t="str">
        <f>IFERROR(__xludf.DUMMYFUNCTION("""COMPUTED_VALUE"""),"Masculino")</f>
        <v>Masculino</v>
      </c>
      <c r="L387" s="45" t="str">
        <f>IFERROR(__xludf.DUMMYFUNCTION("""COMPUTED_VALUE"""),"CVSI")</f>
        <v>CVSI</v>
      </c>
      <c r="M387" s="45" t="str">
        <f>IFERROR(__xludf.DUMMYFUNCTION("""COMPUTED_VALUE"""),"Femenino")</f>
        <v>Femenino</v>
      </c>
      <c r="N387" s="45" t="str">
        <f>IFERROR(__xludf.DUMMYFUNCTION("""COMPUTED_VALUE"""),"OPTIMIST TIMONELES")</f>
        <v>OPTIMIST TIMONELES</v>
      </c>
      <c r="O387" s="7"/>
      <c r="P387" s="7">
        <f>IFERROR(__xludf.DUMMYFUNCTION("""COMPUTED_VALUE"""),4098.0)</f>
        <v>4098</v>
      </c>
      <c r="Q387" s="45"/>
      <c r="R387" s="45"/>
      <c r="S387" s="45"/>
      <c r="T387" s="45"/>
      <c r="U387" s="45"/>
      <c r="V387" s="45"/>
      <c r="W387" s="45"/>
      <c r="X387" s="47" t="str">
        <f>IFERROR(__xludf.DUMMYFUNCTION("""COMPUTED_VALUE"""),"OSDE ")</f>
        <v>OSDE </v>
      </c>
      <c r="Y387" s="7" t="str">
        <f>IFERROR(__xludf.DUMMYFUNCTION("""COMPUTED_VALUE"""),"No")</f>
        <v>No</v>
      </c>
      <c r="Z387" s="45" t="str">
        <f>IFERROR(__xludf.DUMMYFUNCTION("""COMPUTED_VALUE"""),"Acepto")</f>
        <v>Acepto</v>
      </c>
      <c r="AA387" s="45" t="str">
        <f>IFERROR(__xludf.DUMMYFUNCTION("""COMPUTED_VALUE"""),"Terminado")</f>
        <v>Terminado</v>
      </c>
      <c r="AB387" s="45">
        <f>IFERROR(__xludf.DUMMYFUNCTION("""COMPUTED_VALUE"""),50000.0)</f>
        <v>50000</v>
      </c>
      <c r="AC387" s="7">
        <f>IFERROR(__xludf.DUMMYFUNCTION("""COMPUTED_VALUE"""),205619.0)</f>
        <v>205619</v>
      </c>
      <c r="AD387" s="7" t="str">
        <f>IFERROR(__xludf.DUMMYFUNCTION("""COMPUTED_VALUE"""),"TRF 09-09")</f>
        <v>TRF 09-09</v>
      </c>
      <c r="AE387" s="7" t="str">
        <f>IFERROR(__xludf.DUMMYFUNCTION("""COMPUTED_VALUE"""),"OK")</f>
        <v>OK</v>
      </c>
      <c r="AF387" s="45"/>
    </row>
    <row r="388">
      <c r="A388" s="42">
        <f>IFERROR(__xludf.DUMMYFUNCTION("""COMPUTED_VALUE"""),45544.51797079861)</f>
        <v>45544.51797</v>
      </c>
      <c r="B388" s="43" t="str">
        <f>IFERROR(__xludf.DUMMYFUNCTION("""COMPUTED_VALUE"""),"Galo")</f>
        <v>Galo</v>
      </c>
      <c r="C388" s="43" t="str">
        <f>IFERROR(__xludf.DUMMYFUNCTION("""COMPUTED_VALUE"""),"Serafini")</f>
        <v>Serafini</v>
      </c>
      <c r="D388" s="43" t="str">
        <f>IFERROR(__xludf.DUMMYFUNCTION("""COMPUTED_VALUE"""),"Rosario")</f>
        <v>Rosario</v>
      </c>
      <c r="E388" s="45" t="str">
        <f>IFERROR(__xludf.DUMMYFUNCTION("""COMPUTED_VALUE"""),"ARG")</f>
        <v>ARG</v>
      </c>
      <c r="F388" s="45">
        <f>IFERROR(__xludf.DUMMYFUNCTION("""COMPUTED_VALUE"""),5.119331E7)</f>
        <v>51193310</v>
      </c>
      <c r="G388" s="44">
        <f>IFERROR(__xludf.DUMMYFUNCTION("""COMPUTED_VALUE"""),40681.0)</f>
        <v>40681</v>
      </c>
      <c r="H388" s="45">
        <f>IFERROR(__xludf.DUMMYFUNCTION("""COMPUTED_VALUE"""),3.415147919E9)</f>
        <v>3415147919</v>
      </c>
      <c r="I388" s="45">
        <f>IFERROR(__xludf.DUMMYFUNCTION("""COMPUTED_VALUE"""),3.412158945E9)</f>
        <v>3412158945</v>
      </c>
      <c r="J388" s="45" t="str">
        <f>IFERROR(__xludf.DUMMYFUNCTION("""COMPUTED_VALUE"""),"alejandraraineri78@gmail.com")</f>
        <v>alejandraraineri78@gmail.com</v>
      </c>
      <c r="K388" s="45" t="str">
        <f>IFERROR(__xludf.DUMMYFUNCTION("""COMPUTED_VALUE"""),"Masculino")</f>
        <v>Masculino</v>
      </c>
      <c r="L388" s="45" t="str">
        <f>IFERROR(__xludf.DUMMYFUNCTION("""COMPUTED_VALUE"""),"CVR")</f>
        <v>CVR</v>
      </c>
      <c r="M388" s="45" t="str">
        <f>IFERROR(__xludf.DUMMYFUNCTION("""COMPUTED_VALUE"""),"Interior (Optimist)")</f>
        <v>Interior (Optimist)</v>
      </c>
      <c r="N388" s="45" t="str">
        <f>IFERROR(__xludf.DUMMYFUNCTION("""COMPUTED_VALUE"""),"OPTIMIST TIMONELES")</f>
        <v>OPTIMIST TIMONELES</v>
      </c>
      <c r="O388" s="7"/>
      <c r="P388" s="7">
        <f>IFERROR(__xludf.DUMMYFUNCTION("""COMPUTED_VALUE"""),3718.0)</f>
        <v>3718</v>
      </c>
      <c r="Q388" s="45"/>
      <c r="R388" s="45"/>
      <c r="S388" s="45"/>
      <c r="T388" s="45"/>
      <c r="U388" s="45"/>
      <c r="V388" s="45"/>
      <c r="W388" s="45"/>
      <c r="X388" s="47" t="str">
        <f>IFERROR(__xludf.DUMMYFUNCTION("""COMPUTED_VALUE"""),"IAPOS 51193310")</f>
        <v>IAPOS 51193310</v>
      </c>
      <c r="Y388" s="7" t="str">
        <f>IFERROR(__xludf.DUMMYFUNCTION("""COMPUTED_VALUE"""),"No")</f>
        <v>No</v>
      </c>
      <c r="Z388" s="45" t="str">
        <f>IFERROR(__xludf.DUMMYFUNCTION("""COMPUTED_VALUE"""),"Acepto")</f>
        <v>Acepto</v>
      </c>
      <c r="AA388" s="45" t="str">
        <f>IFERROR(__xludf.DUMMYFUNCTION("""COMPUTED_VALUE"""),"Terminado")</f>
        <v>Terminado</v>
      </c>
      <c r="AB388" s="45">
        <f>IFERROR(__xludf.DUMMYFUNCTION("""COMPUTED_VALUE"""),42500.0)</f>
        <v>42500</v>
      </c>
      <c r="AC388" s="7">
        <f>IFERROR(__xludf.DUMMYFUNCTION("""COMPUTED_VALUE"""),205622.0)</f>
        <v>205622</v>
      </c>
      <c r="AD388" s="7" t="str">
        <f>IFERROR(__xludf.DUMMYFUNCTION("""COMPUTED_VALUE"""),"TRF 09-09")</f>
        <v>TRF 09-09</v>
      </c>
      <c r="AE388" s="7" t="str">
        <f>IFERROR(__xludf.DUMMYFUNCTION("""COMPUTED_VALUE"""),"OK")</f>
        <v>OK</v>
      </c>
      <c r="AF388" s="45"/>
    </row>
    <row r="389">
      <c r="A389" s="42">
        <f>IFERROR(__xludf.DUMMYFUNCTION("""COMPUTED_VALUE"""),45544.51976101851)</f>
        <v>45544.51976</v>
      </c>
      <c r="B389" s="43" t="str">
        <f>IFERROR(__xludf.DUMMYFUNCTION("""COMPUTED_VALUE"""),"prueba")</f>
        <v>prueba</v>
      </c>
      <c r="C389" s="43" t="str">
        <f>IFERROR(__xludf.DUMMYFUNCTION("""COMPUTED_VALUE"""),"prueba")</f>
        <v>prueba</v>
      </c>
      <c r="D389" s="43" t="str">
        <f>IFERROR(__xludf.DUMMYFUNCTION("""COMPUTED_VALUE"""),"prueba")</f>
        <v>prueba</v>
      </c>
      <c r="E389" s="45" t="str">
        <f>IFERROR(__xludf.DUMMYFUNCTION("""COMPUTED_VALUE"""),"CHI")</f>
        <v>CHI</v>
      </c>
      <c r="F389" s="45" t="str">
        <f>IFERROR(__xludf.DUMMYFUNCTION("""COMPUTED_VALUE"""),"0303456")</f>
        <v>0303456</v>
      </c>
      <c r="G389" s="44">
        <f>IFERROR(__xludf.DUMMYFUNCTION("""COMPUTED_VALUE"""),41975.0)</f>
        <v>41975</v>
      </c>
      <c r="H389" s="45" t="str">
        <f>IFERROR(__xludf.DUMMYFUNCTION("""COMPUTED_VALUE"""),"00000")</f>
        <v>00000</v>
      </c>
      <c r="I389" s="45"/>
      <c r="J389" s="45" t="str">
        <f>IFERROR(__xludf.DUMMYFUNCTION("""COMPUTED_VALUE"""),"prueba@gnail.com")</f>
        <v>prueba@gnail.com</v>
      </c>
      <c r="K389" s="45" t="str">
        <f>IFERROR(__xludf.DUMMYFUNCTION("""COMPUTED_VALUE"""),"Masculino")</f>
        <v>Masculino</v>
      </c>
      <c r="L389" s="45" t="str">
        <f>IFERROR(__xludf.DUMMYFUNCTION("""COMPUTED_VALUE"""),"YCO")</f>
        <v>YCO</v>
      </c>
      <c r="M389" s="45" t="str">
        <f>IFERROR(__xludf.DUMMYFUNCTION("""COMPUTED_VALUE"""),"Femenino")</f>
        <v>Femenino</v>
      </c>
      <c r="N389" s="45" t="str">
        <f>IFERROR(__xludf.DUMMYFUNCTION("""COMPUTED_VALUE"""),"OPTIMIST PRINCIPIANTES")</f>
        <v>OPTIMIST PRINCIPIANTES</v>
      </c>
      <c r="O389" s="7"/>
      <c r="P389" s="7" t="str">
        <f>IFERROR(__xludf.DUMMYFUNCTION("""COMPUTED_VALUE"""),"0000")</f>
        <v>0000</v>
      </c>
      <c r="Q389" s="45" t="str">
        <f>IFERROR(__xludf.DUMMYFUNCTION("""COMPUTED_VALUE"""),"zorro")</f>
        <v>zorro</v>
      </c>
      <c r="R389" s="45"/>
      <c r="S389" s="45"/>
      <c r="T389" s="45"/>
      <c r="U389" s="45"/>
      <c r="V389" s="45"/>
      <c r="W389" s="45"/>
      <c r="X389" s="47"/>
      <c r="Y389" s="7" t="str">
        <f>IFERROR(__xludf.DUMMYFUNCTION("""COMPUTED_VALUE"""),"No")</f>
        <v>No</v>
      </c>
      <c r="Z389" s="45" t="str">
        <f>IFERROR(__xludf.DUMMYFUNCTION("""COMPUTED_VALUE"""),"Acepto")</f>
        <v>Acepto</v>
      </c>
      <c r="AA389" s="45" t="str">
        <f>IFERROR(__xludf.DUMMYFUNCTION("""COMPUTED_VALUE"""),"Repetido")</f>
        <v>Repetido</v>
      </c>
      <c r="AB389" s="45"/>
      <c r="AC389" s="7"/>
      <c r="AD389" s="7"/>
      <c r="AE389" s="7" t="str">
        <f>IFERROR(__xludf.DUMMYFUNCTION("""COMPUTED_VALUE"""),"No Corresp")</f>
        <v>No Corresp</v>
      </c>
      <c r="AF389" s="45"/>
    </row>
    <row r="390">
      <c r="A390" s="42">
        <f>IFERROR(__xludf.DUMMYFUNCTION("""COMPUTED_VALUE"""),45544.55294958333)</f>
        <v>45544.55295</v>
      </c>
      <c r="B390" s="43" t="str">
        <f>IFERROR(__xludf.DUMMYFUNCTION("""COMPUTED_VALUE"""),"Galo")</f>
        <v>Galo</v>
      </c>
      <c r="C390" s="43" t="str">
        <f>IFERROR(__xludf.DUMMYFUNCTION("""COMPUTED_VALUE"""),"Serafini")</f>
        <v>Serafini</v>
      </c>
      <c r="D390" s="43" t="str">
        <f>IFERROR(__xludf.DUMMYFUNCTION("""COMPUTED_VALUE"""),"Rosario")</f>
        <v>Rosario</v>
      </c>
      <c r="E390" s="45" t="str">
        <f>IFERROR(__xludf.DUMMYFUNCTION("""COMPUTED_VALUE"""),"ARG")</f>
        <v>ARG</v>
      </c>
      <c r="F390" s="45">
        <f>IFERROR(__xludf.DUMMYFUNCTION("""COMPUTED_VALUE"""),5.119331E7)</f>
        <v>51193310</v>
      </c>
      <c r="G390" s="44">
        <f>IFERROR(__xludf.DUMMYFUNCTION("""COMPUTED_VALUE"""),40681.0)</f>
        <v>40681</v>
      </c>
      <c r="H390" s="45">
        <f>IFERROR(__xludf.DUMMYFUNCTION("""COMPUTED_VALUE"""),3.415147919E9)</f>
        <v>3415147919</v>
      </c>
      <c r="I390" s="45">
        <f>IFERROR(__xludf.DUMMYFUNCTION("""COMPUTED_VALUE"""),3.412158945E9)</f>
        <v>3412158945</v>
      </c>
      <c r="J390" s="45" t="str">
        <f>IFERROR(__xludf.DUMMYFUNCTION("""COMPUTED_VALUE"""),"alejandraraineri78@gmail.com")</f>
        <v>alejandraraineri78@gmail.com</v>
      </c>
      <c r="K390" s="45" t="str">
        <f>IFERROR(__xludf.DUMMYFUNCTION("""COMPUTED_VALUE"""),"Masculino")</f>
        <v>Masculino</v>
      </c>
      <c r="L390" s="45" t="str">
        <f>IFERROR(__xludf.DUMMYFUNCTION("""COMPUTED_VALUE"""),"CVR")</f>
        <v>CVR</v>
      </c>
      <c r="M390" s="45" t="str">
        <f>IFERROR(__xludf.DUMMYFUNCTION("""COMPUTED_VALUE"""),"Interior (Optimist)")</f>
        <v>Interior (Optimist)</v>
      </c>
      <c r="N390" s="45" t="str">
        <f>IFERROR(__xludf.DUMMYFUNCTION("""COMPUTED_VALUE"""),"OPTIMIST TIMONELES")</f>
        <v>OPTIMIST TIMONELES</v>
      </c>
      <c r="O390" s="7"/>
      <c r="P390" s="7">
        <f>IFERROR(__xludf.DUMMYFUNCTION("""COMPUTED_VALUE"""),3718.0)</f>
        <v>3718</v>
      </c>
      <c r="Q390" s="45"/>
      <c r="R390" s="45"/>
      <c r="S390" s="45"/>
      <c r="T390" s="45"/>
      <c r="U390" s="45"/>
      <c r="V390" s="45"/>
      <c r="W390" s="45"/>
      <c r="X390" s="47">
        <f>IFERROR(__xludf.DUMMYFUNCTION("""COMPUTED_VALUE"""),5.119331E7)</f>
        <v>51193310</v>
      </c>
      <c r="Y390" s="7" t="str">
        <f>IFERROR(__xludf.DUMMYFUNCTION("""COMPUTED_VALUE"""),"Si")</f>
        <v>Si</v>
      </c>
      <c r="Z390" s="45" t="str">
        <f>IFERROR(__xludf.DUMMYFUNCTION("""COMPUTED_VALUE"""),"Acepto")</f>
        <v>Acepto</v>
      </c>
      <c r="AA390" s="45" t="str">
        <f>IFERROR(__xludf.DUMMYFUNCTION("""COMPUTED_VALUE"""),"Repetido")</f>
        <v>Repetido</v>
      </c>
      <c r="AB390" s="45"/>
      <c r="AC390" s="7"/>
      <c r="AD390" s="7"/>
      <c r="AE390" s="7" t="str">
        <f>IFERROR(__xludf.DUMMYFUNCTION("""COMPUTED_VALUE"""),"OK")</f>
        <v>OK</v>
      </c>
      <c r="AF390" s="45"/>
    </row>
    <row r="391">
      <c r="A391" s="42">
        <f>IFERROR(__xludf.DUMMYFUNCTION("""COMPUTED_VALUE"""),45544.59006591435)</f>
        <v>45544.59007</v>
      </c>
      <c r="B391" s="43" t="str">
        <f>IFERROR(__xludf.DUMMYFUNCTION("""COMPUTED_VALUE"""),"Juan")</f>
        <v>Juan</v>
      </c>
      <c r="C391" s="43" t="str">
        <f>IFERROR(__xludf.DUMMYFUNCTION("""COMPUTED_VALUE"""),"Carmuega")</f>
        <v>Carmuega</v>
      </c>
      <c r="D391" s="43" t="str">
        <f>IFERROR(__xludf.DUMMYFUNCTION("""COMPUTED_VALUE"""),"Del Viso")</f>
        <v>Del Viso</v>
      </c>
      <c r="E391" s="45" t="str">
        <f>IFERROR(__xludf.DUMMYFUNCTION("""COMPUTED_VALUE"""),"ARG")</f>
        <v>ARG</v>
      </c>
      <c r="F391" s="45">
        <f>IFERROR(__xludf.DUMMYFUNCTION("""COMPUTED_VALUE"""),4.8044213E7)</f>
        <v>48044213</v>
      </c>
      <c r="G391" s="44">
        <f>IFERROR(__xludf.DUMMYFUNCTION("""COMPUTED_VALUE"""),39317.0)</f>
        <v>39317</v>
      </c>
      <c r="H391" s="45">
        <f>IFERROR(__xludf.DUMMYFUNCTION("""COMPUTED_VALUE"""),1.151493929E9)</f>
        <v>1151493929</v>
      </c>
      <c r="I391" s="45">
        <f>IFERROR(__xludf.DUMMYFUNCTION("""COMPUTED_VALUE"""),1.14534675E9)</f>
        <v>1145346750</v>
      </c>
      <c r="J391" s="45" t="str">
        <f>IFERROR(__xludf.DUMMYFUNCTION("""COMPUTED_VALUE"""),"juanncarmuega@gmail.com")</f>
        <v>juanncarmuega@gmail.com</v>
      </c>
      <c r="K391" s="45" t="str">
        <f>IFERROR(__xludf.DUMMYFUNCTION("""COMPUTED_VALUE"""),"Masculino")</f>
        <v>Masculino</v>
      </c>
      <c r="L391" s="45" t="str">
        <f>IFERROR(__xludf.DUMMYFUNCTION("""COMPUTED_VALUE"""),"CVB")</f>
        <v>CVB</v>
      </c>
      <c r="M391" s="45"/>
      <c r="N391" s="45">
        <f>IFERROR(__xludf.DUMMYFUNCTION("""COMPUTED_VALUE"""),420.0)</f>
        <v>420</v>
      </c>
      <c r="O391" s="7">
        <f>IFERROR(__xludf.DUMMYFUNCTION("""COMPUTED_VALUE"""),12.0)</f>
        <v>12</v>
      </c>
      <c r="P391" s="7">
        <f>IFERROR(__xludf.DUMMYFUNCTION("""COMPUTED_VALUE"""),57442.0)</f>
        <v>57442</v>
      </c>
      <c r="Q391" s="45" t="str">
        <f>IFERROR(__xludf.DUMMYFUNCTION("""COMPUTED_VALUE"""),"SUPERSALCHICHA")</f>
        <v>SUPERSALCHICHA</v>
      </c>
      <c r="R391" s="45" t="str">
        <f>IFERROR(__xludf.DUMMYFUNCTION("""COMPUTED_VALUE"""),"Lautaro Larralde")</f>
        <v>Lautaro Larralde</v>
      </c>
      <c r="S391" s="45"/>
      <c r="T391" s="45"/>
      <c r="U391" s="45"/>
      <c r="V391" s="45"/>
      <c r="W391" s="45"/>
      <c r="X391" s="47" t="str">
        <f>IFERROR(__xludf.DUMMYFUNCTION("""COMPUTED_VALUE"""),"OSDE")</f>
        <v>OSDE</v>
      </c>
      <c r="Y391" s="7" t="str">
        <f>IFERROR(__xludf.DUMMYFUNCTION("""COMPUTED_VALUE"""),"No")</f>
        <v>No</v>
      </c>
      <c r="Z391" s="45" t="str">
        <f>IFERROR(__xludf.DUMMYFUNCTION("""COMPUTED_VALUE"""),"Acepto")</f>
        <v>Acepto</v>
      </c>
      <c r="AA391" s="45" t="str">
        <f>IFERROR(__xludf.DUMMYFUNCTION("""COMPUTED_VALUE"""),"Pendiente")</f>
        <v>Pendiente</v>
      </c>
      <c r="AB391" s="45"/>
      <c r="AC391" s="7"/>
      <c r="AD391" s="7"/>
      <c r="AE391" s="7" t="str">
        <f>IFERROR(__xludf.DUMMYFUNCTION("""COMPUTED_VALUE"""),"OK")</f>
        <v>OK</v>
      </c>
      <c r="AF391" s="45"/>
    </row>
    <row r="392">
      <c r="A392" s="42">
        <f>IFERROR(__xludf.DUMMYFUNCTION("""COMPUTED_VALUE"""),45544.66881491899)</f>
        <v>45544.66881</v>
      </c>
      <c r="B392" s="43" t="str">
        <f>IFERROR(__xludf.DUMMYFUNCTION("""COMPUTED_VALUE"""),"BENICIO")</f>
        <v>BENICIO</v>
      </c>
      <c r="C392" s="43" t="str">
        <f>IFERROR(__xludf.DUMMYFUNCTION("""COMPUTED_VALUE"""),"RODRIGUEZ")</f>
        <v>RODRIGUEZ</v>
      </c>
      <c r="D392" s="43" t="str">
        <f>IFERROR(__xludf.DUMMYFUNCTION("""COMPUTED_VALUE"""),"RAMOS MEJIA")</f>
        <v>RAMOS MEJIA</v>
      </c>
      <c r="E392" s="45" t="str">
        <f>IFERROR(__xludf.DUMMYFUNCTION("""COMPUTED_VALUE"""),"ARG")</f>
        <v>ARG</v>
      </c>
      <c r="F392" s="45">
        <f>IFERROR(__xludf.DUMMYFUNCTION("""COMPUTED_VALUE"""),5.358021E7)</f>
        <v>53580210</v>
      </c>
      <c r="G392" s="44">
        <f>IFERROR(__xludf.DUMMYFUNCTION("""COMPUTED_VALUE"""),41545.0)</f>
        <v>41545</v>
      </c>
      <c r="H392" s="45">
        <f>IFERROR(__xludf.DUMMYFUNCTION("""COMPUTED_VALUE"""),1.165741017E9)</f>
        <v>1165741017</v>
      </c>
      <c r="I392" s="45">
        <f>IFERROR(__xludf.DUMMYFUNCTION("""COMPUTED_VALUE"""),1.165035775E9)</f>
        <v>1165035775</v>
      </c>
      <c r="J392" s="45" t="str">
        <f>IFERROR(__xludf.DUMMYFUNCTION("""COMPUTED_VALUE"""),"cecyferla6@gmail.com")</f>
        <v>cecyferla6@gmail.com</v>
      </c>
      <c r="K392" s="45" t="str">
        <f>IFERROR(__xludf.DUMMYFUNCTION("""COMPUTED_VALUE"""),"Masculino")</f>
        <v>Masculino</v>
      </c>
      <c r="L392" s="45" t="str">
        <f>IFERROR(__xludf.DUMMYFUNCTION("""COMPUTED_VALUE"""),"CPNLB")</f>
        <v>CPNLB</v>
      </c>
      <c r="M392" s="45" t="str">
        <f>IFERROR(__xludf.DUMMYFUNCTION("""COMPUTED_VALUE"""),"OPTIMIST PRINCIAPIANTES")</f>
        <v>OPTIMIST PRINCIAPIANTES</v>
      </c>
      <c r="N392" s="45" t="str">
        <f>IFERROR(__xludf.DUMMYFUNCTION("""COMPUTED_VALUE"""),"OPTIMIST PRINCIPIANTES")</f>
        <v>OPTIMIST PRINCIPIANTES</v>
      </c>
      <c r="O392" s="7"/>
      <c r="P392" s="7">
        <f>IFERROR(__xludf.DUMMYFUNCTION("""COMPUTED_VALUE"""),3254.0)</f>
        <v>3254</v>
      </c>
      <c r="Q392" s="45"/>
      <c r="R392" s="45"/>
      <c r="S392" s="45"/>
      <c r="T392" s="45"/>
      <c r="U392" s="45"/>
      <c r="V392" s="45"/>
      <c r="W392" s="45"/>
      <c r="X392" s="47"/>
      <c r="Y392" s="7" t="str">
        <f>IFERROR(__xludf.DUMMYFUNCTION("""COMPUTED_VALUE"""),"Si")</f>
        <v>Si</v>
      </c>
      <c r="Z392" s="45" t="str">
        <f>IFERROR(__xludf.DUMMYFUNCTION("""COMPUTED_VALUE"""),"Acepto")</f>
        <v>Acepto</v>
      </c>
      <c r="AA392" s="45" t="str">
        <f>IFERROR(__xludf.DUMMYFUNCTION("""COMPUTED_VALUE"""),"Terminado")</f>
        <v>Terminado</v>
      </c>
      <c r="AB392" s="45">
        <f>IFERROR(__xludf.DUMMYFUNCTION("""COMPUTED_VALUE"""),50000.0)</f>
        <v>50000</v>
      </c>
      <c r="AC392" s="7">
        <f>IFERROR(__xludf.DUMMYFUNCTION("""COMPUTED_VALUE"""),205648.0)</f>
        <v>205648</v>
      </c>
      <c r="AD392" s="7" t="str">
        <f>IFERROR(__xludf.DUMMYFUNCTION("""COMPUTED_VALUE"""),"TRF 10-09")</f>
        <v>TRF 10-09</v>
      </c>
      <c r="AE392" s="7" t="str">
        <f>IFERROR(__xludf.DUMMYFUNCTION("""COMPUTED_VALUE"""),"OK")</f>
        <v>OK</v>
      </c>
      <c r="AF392" s="45" t="str">
        <f>IFERROR(__xludf.DUMMYFUNCTION("""COMPUTED_VALUE"""),"SI")</f>
        <v>SI</v>
      </c>
    </row>
    <row r="393">
      <c r="A393" s="42">
        <f>IFERROR(__xludf.DUMMYFUNCTION("""COMPUTED_VALUE"""),45544.66991459491)</f>
        <v>45544.66991</v>
      </c>
      <c r="B393" s="43" t="str">
        <f>IFERROR(__xludf.DUMMYFUNCTION("""COMPUTED_VALUE"""),"Milagros")</f>
        <v>Milagros</v>
      </c>
      <c r="C393" s="43" t="str">
        <f>IFERROR(__xludf.DUMMYFUNCTION("""COMPUTED_VALUE"""),"Peruilh")</f>
        <v>Peruilh</v>
      </c>
      <c r="D393" s="43" t="str">
        <f>IFERROR(__xludf.DUMMYFUNCTION("""COMPUTED_VALUE"""),"CABA")</f>
        <v>CABA</v>
      </c>
      <c r="E393" s="45" t="str">
        <f>IFERROR(__xludf.DUMMYFUNCTION("""COMPUTED_VALUE"""),"ARG")</f>
        <v>ARG</v>
      </c>
      <c r="F393" s="45">
        <f>IFERROR(__xludf.DUMMYFUNCTION("""COMPUTED_VALUE"""),5.214118E7)</f>
        <v>52141180</v>
      </c>
      <c r="G393" s="44">
        <f>IFERROR(__xludf.DUMMYFUNCTION("""COMPUTED_VALUE"""),40951.0)</f>
        <v>40951</v>
      </c>
      <c r="H393" s="45">
        <f>IFERROR(__xludf.DUMMYFUNCTION("""COMPUTED_VALUE"""),1.1625259268E10)</f>
        <v>11625259268</v>
      </c>
      <c r="I393" s="45">
        <f>IFERROR(__xludf.DUMMYFUNCTION("""COMPUTED_VALUE"""),1.162529269E9)</f>
        <v>1162529269</v>
      </c>
      <c r="J393" s="45" t="str">
        <f>IFERROR(__xludf.DUMMYFUNCTION("""COMPUTED_VALUE"""),"peruilh.christian@gmail.com")</f>
        <v>peruilh.christian@gmail.com</v>
      </c>
      <c r="K393" s="45" t="str">
        <f>IFERROR(__xludf.DUMMYFUNCTION("""COMPUTED_VALUE"""),"Femenino")</f>
        <v>Femenino</v>
      </c>
      <c r="L393" s="45" t="str">
        <f>IFERROR(__xludf.DUMMYFUNCTION("""COMPUTED_VALUE"""),"CUBA")</f>
        <v>CUBA</v>
      </c>
      <c r="M393" s="45" t="str">
        <f>IFERROR(__xludf.DUMMYFUNCTION("""COMPUTED_VALUE"""),"Femenino")</f>
        <v>Femenino</v>
      </c>
      <c r="N393" s="45" t="str">
        <f>IFERROR(__xludf.DUMMYFUNCTION("""COMPUTED_VALUE"""),"OPTIMIST PRINCIPIANTES")</f>
        <v>OPTIMIST PRINCIPIANTES</v>
      </c>
      <c r="O393" s="7"/>
      <c r="P393" s="7">
        <f>IFERROR(__xludf.DUMMYFUNCTION("""COMPUTED_VALUE"""),3120.0)</f>
        <v>3120</v>
      </c>
      <c r="Q393" s="45"/>
      <c r="R393" s="45"/>
      <c r="S393" s="45"/>
      <c r="T393" s="45"/>
      <c r="U393" s="45"/>
      <c r="V393" s="45"/>
      <c r="W393" s="45"/>
      <c r="X393" s="47">
        <f>IFERROR(__xludf.DUMMYFUNCTION("""COMPUTED_VALUE"""),6.1409265405E10)</f>
        <v>61409265405</v>
      </c>
      <c r="Y393" s="45" t="str">
        <f>IFERROR(__xludf.DUMMYFUNCTION("""COMPUTED_VALUE"""),"Si")</f>
        <v>Si</v>
      </c>
      <c r="Z393" s="45" t="str">
        <f>IFERROR(__xludf.DUMMYFUNCTION("""COMPUTED_VALUE"""),"Acepto")</f>
        <v>Acepto</v>
      </c>
      <c r="AA393" s="45" t="str">
        <f>IFERROR(__xludf.DUMMYFUNCTION("""COMPUTED_VALUE"""),"Terminado")</f>
        <v>Terminado</v>
      </c>
      <c r="AB393" s="45">
        <f>IFERROR(__xludf.DUMMYFUNCTION("""COMPUTED_VALUE"""),50000.0)</f>
        <v>50000</v>
      </c>
      <c r="AC393" s="7">
        <f>IFERROR(__xludf.DUMMYFUNCTION("""COMPUTED_VALUE"""),205626.0)</f>
        <v>205626</v>
      </c>
      <c r="AD393" s="7" t="str">
        <f>IFERROR(__xludf.DUMMYFUNCTION("""COMPUTED_VALUE"""),"TRF 09-09")</f>
        <v>TRF 09-09</v>
      </c>
      <c r="AE393" s="7" t="str">
        <f>IFERROR(__xludf.DUMMYFUNCTION("""COMPUTED_VALUE"""),"OK")</f>
        <v>OK</v>
      </c>
      <c r="AF393" s="45"/>
    </row>
    <row r="394">
      <c r="A394" s="42">
        <f>IFERROR(__xludf.DUMMYFUNCTION("""COMPUTED_VALUE"""),45544.67209982639)</f>
        <v>45544.6721</v>
      </c>
      <c r="B394" s="43" t="str">
        <f>IFERROR(__xludf.DUMMYFUNCTION("""COMPUTED_VALUE""")," sol ")</f>
        <v> sol </v>
      </c>
      <c r="C394" s="43" t="str">
        <f>IFERROR(__xludf.DUMMYFUNCTION("""COMPUTED_VALUE"""),"caracciolo")</f>
        <v>caracciolo</v>
      </c>
      <c r="D394" s="43" t="str">
        <f>IFERROR(__xludf.DUMMYFUNCTION("""COMPUTED_VALUE"""),"buenos aires")</f>
        <v>buenos aires</v>
      </c>
      <c r="E394" s="45" t="str">
        <f>IFERROR(__xludf.DUMMYFUNCTION("""COMPUTED_VALUE"""),"ARG")</f>
        <v>ARG</v>
      </c>
      <c r="F394" s="45">
        <f>IFERROR(__xludf.DUMMYFUNCTION("""COMPUTED_VALUE"""),4.6756938E7)</f>
        <v>46756938</v>
      </c>
      <c r="G394" s="44">
        <f>IFERROR(__xludf.DUMMYFUNCTION("""COMPUTED_VALUE"""),38526.0)</f>
        <v>38526</v>
      </c>
      <c r="H394" s="45">
        <f>IFERROR(__xludf.DUMMYFUNCTION("""COMPUTED_VALUE"""),1.138626929E9)</f>
        <v>1138626929</v>
      </c>
      <c r="I394" s="45">
        <f>IFERROR(__xludf.DUMMYFUNCTION("""COMPUTED_VALUE"""),1.121639515E9)</f>
        <v>1121639515</v>
      </c>
      <c r="J394" s="45" t="str">
        <f>IFERROR(__xludf.DUMMYFUNCTION("""COMPUTED_VALUE"""),"solchucaracciolo@gmail.com")</f>
        <v>solchucaracciolo@gmail.com</v>
      </c>
      <c r="K394" s="45" t="str">
        <f>IFERROR(__xludf.DUMMYFUNCTION("""COMPUTED_VALUE"""),"Femenino")</f>
        <v>Femenino</v>
      </c>
      <c r="L394" s="45" t="str">
        <f>IFERROR(__xludf.DUMMYFUNCTION("""COMPUTED_VALUE"""),"yca ")</f>
        <v>yca </v>
      </c>
      <c r="M394" s="45" t="str">
        <f>IFERROR(__xludf.DUMMYFUNCTION("""COMPUTED_VALUE"""),"Femenino")</f>
        <v>Femenino</v>
      </c>
      <c r="N394" s="45" t="str">
        <f>IFERROR(__xludf.DUMMYFUNCTION("""COMPUTED_VALUE"""),"ILCA 4")</f>
        <v>ILCA 4</v>
      </c>
      <c r="O394" s="7"/>
      <c r="P394" s="7">
        <f>IFERROR(__xludf.DUMMYFUNCTION("""COMPUTED_VALUE"""),2.0)</f>
        <v>2</v>
      </c>
      <c r="Q394" s="45"/>
      <c r="R394" s="45"/>
      <c r="S394" s="45"/>
      <c r="T394" s="45"/>
      <c r="U394" s="45"/>
      <c r="V394" s="45"/>
      <c r="W394" s="45"/>
      <c r="X394" s="47"/>
      <c r="Y394" s="45" t="str">
        <f>IFERROR(__xludf.DUMMYFUNCTION("""COMPUTED_VALUE"""),"No")</f>
        <v>No</v>
      </c>
      <c r="Z394" s="45" t="str">
        <f>IFERROR(__xludf.DUMMYFUNCTION("""COMPUTED_VALUE"""),"Acepto")</f>
        <v>Acepto</v>
      </c>
      <c r="AA394" s="45" t="str">
        <f>IFERROR(__xludf.DUMMYFUNCTION("""COMPUTED_VALUE"""),"Pendiente")</f>
        <v>Pendiente</v>
      </c>
      <c r="AB394" s="45"/>
      <c r="AC394" s="7"/>
      <c r="AD394" s="7"/>
      <c r="AE394" s="7" t="str">
        <f>IFERROR(__xludf.DUMMYFUNCTION("""COMPUTED_VALUE"""),"No Corresp")</f>
        <v>No Corresp</v>
      </c>
      <c r="AF394" s="45"/>
    </row>
    <row r="395">
      <c r="A395" s="42">
        <f>IFERROR(__xludf.DUMMYFUNCTION("""COMPUTED_VALUE"""),45544.68406986111)</f>
        <v>45544.68407</v>
      </c>
      <c r="B395" s="43" t="str">
        <f>IFERROR(__xludf.DUMMYFUNCTION("""COMPUTED_VALUE"""),"Juany")</f>
        <v>Juany</v>
      </c>
      <c r="C395" s="43" t="str">
        <f>IFERROR(__xludf.DUMMYFUNCTION("""COMPUTED_VALUE"""),"Cernadas")</f>
        <v>Cernadas</v>
      </c>
      <c r="D395" s="43" t="str">
        <f>IFERROR(__xludf.DUMMYFUNCTION("""COMPUTED_VALUE"""),"CABA")</f>
        <v>CABA</v>
      </c>
      <c r="E395" s="45" t="str">
        <f>IFERROR(__xludf.DUMMYFUNCTION("""COMPUTED_VALUE"""),"ARG")</f>
        <v>ARG</v>
      </c>
      <c r="F395" s="45">
        <f>IFERROR(__xludf.DUMMYFUNCTION("""COMPUTED_VALUE"""),5.0438192E7)</f>
        <v>50438192</v>
      </c>
      <c r="G395" s="44">
        <f>IFERROR(__xludf.DUMMYFUNCTION("""COMPUTED_VALUE"""),40409.0)</f>
        <v>40409</v>
      </c>
      <c r="H395" s="45" t="str">
        <f>IFERROR(__xludf.DUMMYFUNCTION("""COMPUTED_VALUE"""),"+5491157395545")</f>
        <v>+5491157395545</v>
      </c>
      <c r="I395" s="45" t="str">
        <f>IFERROR(__xludf.DUMMYFUNCTION("""COMPUTED_VALUE"""),"+5491161224200")</f>
        <v>+5491161224200</v>
      </c>
      <c r="J395" s="45" t="str">
        <f>IFERROR(__xludf.DUMMYFUNCTION("""COMPUTED_VALUE"""),"juanycernadas2010@gmail.com")</f>
        <v>juanycernadas2010@gmail.com</v>
      </c>
      <c r="K395" s="45" t="str">
        <f>IFERROR(__xludf.DUMMYFUNCTION("""COMPUTED_VALUE"""),"Masculino")</f>
        <v>Masculino</v>
      </c>
      <c r="L395" s="45" t="str">
        <f>IFERROR(__xludf.DUMMYFUNCTION("""COMPUTED_VALUE"""),"YCA")</f>
        <v>YCA</v>
      </c>
      <c r="M395" s="45" t="str">
        <f>IFERROR(__xludf.DUMMYFUNCTION("""COMPUTED_VALUE"""),"Interior (Optimist)")</f>
        <v>Interior (Optimist)</v>
      </c>
      <c r="N395" s="45" t="str">
        <f>IFERROR(__xludf.DUMMYFUNCTION("""COMPUTED_VALUE"""),"OPTIMIST TIMONELES")</f>
        <v>OPTIMIST TIMONELES</v>
      </c>
      <c r="O395" s="7" t="str">
        <f>IFERROR(__xludf.DUMMYFUNCTION("""COMPUTED_VALUE"""),"-")</f>
        <v>-</v>
      </c>
      <c r="P395" s="7">
        <f>IFERROR(__xludf.DUMMYFUNCTION("""COMPUTED_VALUE"""),4048.0)</f>
        <v>4048</v>
      </c>
      <c r="Q395" s="45" t="str">
        <f>IFERROR(__xludf.DUMMYFUNCTION("""COMPUTED_VALUE"""),"-")</f>
        <v>-</v>
      </c>
      <c r="R395" s="45" t="str">
        <f>IFERROR(__xludf.DUMMYFUNCTION("""COMPUTED_VALUE"""),"-")</f>
        <v>-</v>
      </c>
      <c r="S395" s="45" t="str">
        <f>IFERROR(__xludf.DUMMYFUNCTION("""COMPUTED_VALUE"""),"-")</f>
        <v>-</v>
      </c>
      <c r="T395" s="45" t="str">
        <f>IFERROR(__xludf.DUMMYFUNCTION("""COMPUTED_VALUE"""),"-")</f>
        <v>-</v>
      </c>
      <c r="U395" s="45" t="str">
        <f>IFERROR(__xludf.DUMMYFUNCTION("""COMPUTED_VALUE"""),"-")</f>
        <v>-</v>
      </c>
      <c r="V395" s="45" t="str">
        <f>IFERROR(__xludf.DUMMYFUNCTION("""COMPUTED_VALUE"""),"-")</f>
        <v>-</v>
      </c>
      <c r="W395" s="45" t="str">
        <f>IFERROR(__xludf.DUMMYFUNCTION("""COMPUTED_VALUE"""),"-")</f>
        <v>-</v>
      </c>
      <c r="X395" s="47" t="str">
        <f>IFERROR(__xludf.DUMMYFUNCTION("""COMPUTED_VALUE"""),"OSDE")</f>
        <v>OSDE</v>
      </c>
      <c r="Y395" s="45" t="str">
        <f>IFERROR(__xludf.DUMMYFUNCTION("""COMPUTED_VALUE"""),"No")</f>
        <v>No</v>
      </c>
      <c r="Z395" s="45" t="str">
        <f>IFERROR(__xludf.DUMMYFUNCTION("""COMPUTED_VALUE"""),"Acepto")</f>
        <v>Acepto</v>
      </c>
      <c r="AA395" s="45" t="str">
        <f>IFERROR(__xludf.DUMMYFUNCTION("""COMPUTED_VALUE"""),"Pendiente")</f>
        <v>Pendiente</v>
      </c>
      <c r="AB395" s="45"/>
      <c r="AC395" s="7"/>
      <c r="AD395" s="7"/>
      <c r="AE395" s="7" t="str">
        <f>IFERROR(__xludf.DUMMYFUNCTION("""COMPUTED_VALUE"""),"OK")</f>
        <v>OK</v>
      </c>
      <c r="AF395" s="45"/>
    </row>
    <row r="396">
      <c r="A396" s="42">
        <f>IFERROR(__xludf.DUMMYFUNCTION("""COMPUTED_VALUE"""),45544.7165784838)</f>
        <v>45544.71658</v>
      </c>
      <c r="B396" s="43" t="str">
        <f>IFERROR(__xludf.DUMMYFUNCTION("""COMPUTED_VALUE"""),"Francisco")</f>
        <v>Francisco</v>
      </c>
      <c r="C396" s="43" t="str">
        <f>IFERROR(__xludf.DUMMYFUNCTION("""COMPUTED_VALUE"""),"calabrese")</f>
        <v>calabrese</v>
      </c>
      <c r="D396" s="43" t="str">
        <f>IFERROR(__xludf.DUMMYFUNCTION("""COMPUTED_VALUE"""),"Nordelta, Buenos Aires")</f>
        <v>Nordelta, Buenos Aires</v>
      </c>
      <c r="E396" s="45" t="str">
        <f>IFERROR(__xludf.DUMMYFUNCTION("""COMPUTED_VALUE"""),"ARG")</f>
        <v>ARG</v>
      </c>
      <c r="F396" s="45">
        <f>IFERROR(__xludf.DUMMYFUNCTION("""COMPUTED_VALUE"""),5.3202237E7)</f>
        <v>53202237</v>
      </c>
      <c r="G396" s="44">
        <f>IFERROR(__xludf.DUMMYFUNCTION("""COMPUTED_VALUE"""),41415.0)</f>
        <v>41415</v>
      </c>
      <c r="H396" s="45" t="str">
        <f>IFERROR(__xludf.DUMMYFUNCTION("""COMPUTED_VALUE"""),"+5491121600067")</f>
        <v>+5491121600067</v>
      </c>
      <c r="I396" s="45" t="str">
        <f>IFERROR(__xludf.DUMMYFUNCTION("""COMPUTED_VALUE"""),"+5491130801082")</f>
        <v>+5491130801082</v>
      </c>
      <c r="J396" s="45" t="str">
        <f>IFERROR(__xludf.DUMMYFUNCTION("""COMPUTED_VALUE"""),"marcela.domato@gmail.com")</f>
        <v>marcela.domato@gmail.com</v>
      </c>
      <c r="K396" s="45" t="str">
        <f>IFERROR(__xludf.DUMMYFUNCTION("""COMPUTED_VALUE"""),"Masculino")</f>
        <v>Masculino</v>
      </c>
      <c r="L396" s="45" t="str">
        <f>IFERROR(__xludf.DUMMYFUNCTION("""COMPUTED_VALUE"""),"YCA")</f>
        <v>YCA</v>
      </c>
      <c r="M396" s="45"/>
      <c r="N396" s="45" t="str">
        <f>IFERROR(__xludf.DUMMYFUNCTION("""COMPUTED_VALUE"""),"OPTIMIST PRINCIPIANTES")</f>
        <v>OPTIMIST PRINCIPIANTES</v>
      </c>
      <c r="O396" s="7"/>
      <c r="P396" s="7" t="str">
        <f>IFERROR(__xludf.DUMMYFUNCTION("""COMPUTED_VALUE"""),"ARG 4122")</f>
        <v>ARG 4122</v>
      </c>
      <c r="Q396" s="45" t="str">
        <f>IFERROR(__xludf.DUMMYFUNCTION("""COMPUTED_VALUE"""),"Eh Amigo!")</f>
        <v>Eh Amigo!</v>
      </c>
      <c r="R396" s="45"/>
      <c r="S396" s="45"/>
      <c r="T396" s="45"/>
      <c r="U396" s="45"/>
      <c r="V396" s="45"/>
      <c r="W396" s="45"/>
      <c r="X396" s="47">
        <f>IFERROR(__xludf.DUMMYFUNCTION("""COMPUTED_VALUE"""),6.1011049603E10)</f>
        <v>61011049603</v>
      </c>
      <c r="Y396" s="45" t="str">
        <f>IFERROR(__xludf.DUMMYFUNCTION("""COMPUTED_VALUE"""),"No")</f>
        <v>No</v>
      </c>
      <c r="Z396" s="45" t="str">
        <f>IFERROR(__xludf.DUMMYFUNCTION("""COMPUTED_VALUE"""),"Acepto")</f>
        <v>Acepto</v>
      </c>
      <c r="AA396" s="45" t="str">
        <f>IFERROR(__xludf.DUMMYFUNCTION("""COMPUTED_VALUE"""),"Terminado")</f>
        <v>Terminado</v>
      </c>
      <c r="AB396" s="45">
        <f>IFERROR(__xludf.DUMMYFUNCTION("""COMPUTED_VALUE"""),50000.0)</f>
        <v>50000</v>
      </c>
      <c r="AC396" s="7">
        <f>IFERROR(__xludf.DUMMYFUNCTION("""COMPUTED_VALUE"""),205663.0)</f>
        <v>205663</v>
      </c>
      <c r="AD396" s="7" t="str">
        <f>IFERROR(__xludf.DUMMYFUNCTION("""COMPUTED_VALUE"""),"TRF 10-09")</f>
        <v>TRF 10-09</v>
      </c>
      <c r="AE396" s="7" t="str">
        <f>IFERROR(__xludf.DUMMYFUNCTION("""COMPUTED_VALUE"""),"OK")</f>
        <v>OK</v>
      </c>
      <c r="AF396" s="45"/>
    </row>
    <row r="397">
      <c r="A397" s="42">
        <f>IFERROR(__xludf.DUMMYFUNCTION("""COMPUTED_VALUE"""),45544.73210686343)</f>
        <v>45544.73211</v>
      </c>
      <c r="B397" s="43" t="str">
        <f>IFERROR(__xludf.DUMMYFUNCTION("""COMPUTED_VALUE"""),"Ariel Martín ")</f>
        <v>Ariel Martín </v>
      </c>
      <c r="C397" s="43" t="str">
        <f>IFERROR(__xludf.DUMMYFUNCTION("""COMPUTED_VALUE"""),"García")</f>
        <v>García</v>
      </c>
      <c r="D397" s="43" t="str">
        <f>IFERROR(__xludf.DUMMYFUNCTION("""COMPUTED_VALUE"""),"San Isidro")</f>
        <v>San Isidro</v>
      </c>
      <c r="E397" s="45" t="str">
        <f>IFERROR(__xludf.DUMMYFUNCTION("""COMPUTED_VALUE"""),"ARG")</f>
        <v>ARG</v>
      </c>
      <c r="F397" s="45">
        <f>IFERROR(__xludf.DUMMYFUNCTION("""COMPUTED_VALUE"""),5.008865E7)</f>
        <v>50088650</v>
      </c>
      <c r="G397" s="44">
        <f>IFERROR(__xludf.DUMMYFUNCTION("""COMPUTED_VALUE"""),40201.0)</f>
        <v>40201</v>
      </c>
      <c r="H397" s="45">
        <f>IFERROR(__xludf.DUMMYFUNCTION("""COMPUTED_VALUE"""),1.140374722E9)</f>
        <v>1140374722</v>
      </c>
      <c r="I397" s="45" t="str">
        <f>IFERROR(__xludf.DUMMYFUNCTION("""COMPUTED_VALUE"""),"1140374722  1131394074")</f>
        <v>1140374722  1131394074</v>
      </c>
      <c r="J397" s="45" t="str">
        <f>IFERROR(__xludf.DUMMYFUNCTION("""COMPUTED_VALUE"""),"caroltramu@gmail.com")</f>
        <v>caroltramu@gmail.com</v>
      </c>
      <c r="K397" s="45" t="str">
        <f>IFERROR(__xludf.DUMMYFUNCTION("""COMPUTED_VALUE"""),"Masculino")</f>
        <v>Masculino</v>
      </c>
      <c r="L397" s="45" t="str">
        <f>IFERROR(__xludf.DUMMYFUNCTION("""COMPUTED_VALUE"""),"CVSI")</f>
        <v>CVSI</v>
      </c>
      <c r="M397" s="45"/>
      <c r="N397" s="45" t="str">
        <f>IFERROR(__xludf.DUMMYFUNCTION("""COMPUTED_VALUE"""),"OPTIMIST PRINCIPIANTES")</f>
        <v>OPTIMIST PRINCIPIANTES</v>
      </c>
      <c r="O397" s="7"/>
      <c r="P397" s="7">
        <f>IFERROR(__xludf.DUMMYFUNCTION("""COMPUTED_VALUE"""),3648.0)</f>
        <v>3648</v>
      </c>
      <c r="Q397" s="45" t="str">
        <f>IFERROR(__xludf.DUMMYFUNCTION("""COMPUTED_VALUE"""),"Post Mortem")</f>
        <v>Post Mortem</v>
      </c>
      <c r="R397" s="45"/>
      <c r="S397" s="45"/>
      <c r="T397" s="45"/>
      <c r="U397" s="45"/>
      <c r="V397" s="45"/>
      <c r="W397" s="45"/>
      <c r="X397" s="47" t="str">
        <f>IFERROR(__xludf.DUMMYFUNCTION("""COMPUTED_VALUE"""),"Obra Social del Personal de Farmacia")</f>
        <v>Obra Social del Personal de Farmacia</v>
      </c>
      <c r="Y397" s="45" t="str">
        <f>IFERROR(__xludf.DUMMYFUNCTION("""COMPUTED_VALUE"""),"No")</f>
        <v>No</v>
      </c>
      <c r="Z397" s="45" t="str">
        <f>IFERROR(__xludf.DUMMYFUNCTION("""COMPUTED_VALUE"""),"Acepto")</f>
        <v>Acepto</v>
      </c>
      <c r="AA397" s="45" t="str">
        <f>IFERROR(__xludf.DUMMYFUNCTION("""COMPUTED_VALUE"""),"Terminado")</f>
        <v>Terminado</v>
      </c>
      <c r="AB397" s="45">
        <f>IFERROR(__xludf.DUMMYFUNCTION("""COMPUTED_VALUE"""),50000.0)</f>
        <v>50000</v>
      </c>
      <c r="AC397" s="7">
        <f>IFERROR(__xludf.DUMMYFUNCTION("""COMPUTED_VALUE"""),205627.0)</f>
        <v>205627</v>
      </c>
      <c r="AD397" s="7" t="str">
        <f>IFERROR(__xludf.DUMMYFUNCTION("""COMPUTED_VALUE"""),"TRF 09-09")</f>
        <v>TRF 09-09</v>
      </c>
      <c r="AE397" s="7" t="str">
        <f>IFERROR(__xludf.DUMMYFUNCTION("""COMPUTED_VALUE"""),"OK")</f>
        <v>OK</v>
      </c>
      <c r="AF397" s="45"/>
    </row>
    <row r="398">
      <c r="A398" s="42">
        <f>IFERROR(__xludf.DUMMYFUNCTION("""COMPUTED_VALUE"""),45544.7819759375)</f>
        <v>45544.78198</v>
      </c>
      <c r="B398" s="43" t="str">
        <f>IFERROR(__xludf.DUMMYFUNCTION("""COMPUTED_VALUE"""),"Martina")</f>
        <v>Martina</v>
      </c>
      <c r="C398" s="43" t="str">
        <f>IFERROR(__xludf.DUMMYFUNCTION("""COMPUTED_VALUE"""),"Pittaluga")</f>
        <v>Pittaluga</v>
      </c>
      <c r="D398" s="43" t="str">
        <f>IFERROR(__xludf.DUMMYFUNCTION("""COMPUTED_VALUE"""),"CABA")</f>
        <v>CABA</v>
      </c>
      <c r="E398" s="45" t="str">
        <f>IFERROR(__xludf.DUMMYFUNCTION("""COMPUTED_VALUE"""),"ARG")</f>
        <v>ARG</v>
      </c>
      <c r="F398" s="45">
        <f>IFERROR(__xludf.DUMMYFUNCTION("""COMPUTED_VALUE"""),5.2441977E7)</f>
        <v>52441977</v>
      </c>
      <c r="G398" s="44">
        <f>IFERROR(__xludf.DUMMYFUNCTION("""COMPUTED_VALUE"""),40998.0)</f>
        <v>40998</v>
      </c>
      <c r="H398" s="45">
        <f>IFERROR(__xludf.DUMMYFUNCTION("""COMPUTED_VALUE"""),1.163217878E9)</f>
        <v>1163217878</v>
      </c>
      <c r="I398" s="45">
        <f>IFERROR(__xludf.DUMMYFUNCTION("""COMPUTED_VALUE"""),1.163217878E9)</f>
        <v>1163217878</v>
      </c>
      <c r="J398" s="45" t="str">
        <f>IFERROR(__xludf.DUMMYFUNCTION("""COMPUTED_VALUE"""),"ejpittaluga@gmail.com")</f>
        <v>ejpittaluga@gmail.com</v>
      </c>
      <c r="K398" s="45" t="str">
        <f>IFERROR(__xludf.DUMMYFUNCTION("""COMPUTED_VALUE"""),"Femenino")</f>
        <v>Femenino</v>
      </c>
      <c r="L398" s="45" t="str">
        <f>IFERROR(__xludf.DUMMYFUNCTION("""COMPUTED_VALUE"""),"YCA")</f>
        <v>YCA</v>
      </c>
      <c r="M398" s="45" t="str">
        <f>IFERROR(__xludf.DUMMYFUNCTION("""COMPUTED_VALUE"""),"Femenino")</f>
        <v>Femenino</v>
      </c>
      <c r="N398" s="45" t="str">
        <f>IFERROR(__xludf.DUMMYFUNCTION("""COMPUTED_VALUE"""),"OPTIMIST PRINCIPIANTES")</f>
        <v>OPTIMIST PRINCIPIANTES</v>
      </c>
      <c r="O398" s="7"/>
      <c r="P398" s="7" t="str">
        <f>IFERROR(__xludf.DUMMYFUNCTION("""COMPUTED_VALUE"""),"ARG-3970")</f>
        <v>ARG-3970</v>
      </c>
      <c r="Q398" s="45" t="str">
        <f>IFERROR(__xludf.DUMMYFUNCTION("""COMPUTED_VALUE"""),"La Brava")</f>
        <v>La Brava</v>
      </c>
      <c r="R398" s="45"/>
      <c r="S398" s="45"/>
      <c r="T398" s="45"/>
      <c r="U398" s="45"/>
      <c r="V398" s="45"/>
      <c r="W398" s="45"/>
      <c r="X398" s="47" t="str">
        <f>IFERROR(__xludf.DUMMYFUNCTION("""COMPUTED_VALUE"""),"OSDE - 60916820602")</f>
        <v>OSDE - 60916820602</v>
      </c>
      <c r="Y398" s="45" t="str">
        <f>IFERROR(__xludf.DUMMYFUNCTION("""COMPUTED_VALUE"""),"Si")</f>
        <v>Si</v>
      </c>
      <c r="Z398" s="45" t="str">
        <f>IFERROR(__xludf.DUMMYFUNCTION("""COMPUTED_VALUE"""),"Acepto")</f>
        <v>Acepto</v>
      </c>
      <c r="AA398" s="45" t="str">
        <f>IFERROR(__xludf.DUMMYFUNCTION("""COMPUTED_VALUE"""),"Terminado")</f>
        <v>Terminado</v>
      </c>
      <c r="AB398" s="45">
        <f>IFERROR(__xludf.DUMMYFUNCTION("""COMPUTED_VALUE"""),50000.0)</f>
        <v>50000</v>
      </c>
      <c r="AC398" s="7">
        <f>IFERROR(__xludf.DUMMYFUNCTION("""COMPUTED_VALUE"""),205628.0)</f>
        <v>205628</v>
      </c>
      <c r="AD398" s="7" t="str">
        <f>IFERROR(__xludf.DUMMYFUNCTION("""COMPUTED_VALUE"""),"TRF 09-09")</f>
        <v>TRF 09-09</v>
      </c>
      <c r="AE398" s="7" t="str">
        <f>IFERROR(__xludf.DUMMYFUNCTION("""COMPUTED_VALUE"""),"OK")</f>
        <v>OK</v>
      </c>
      <c r="AF398" s="45"/>
    </row>
    <row r="399">
      <c r="A399" s="42">
        <f>IFERROR(__xludf.DUMMYFUNCTION("""COMPUTED_VALUE"""),45544.79371363426)</f>
        <v>45544.79371</v>
      </c>
      <c r="B399" s="43" t="str">
        <f>IFERROR(__xludf.DUMMYFUNCTION("""COMPUTED_VALUE"""),"Gregorio")</f>
        <v>Gregorio</v>
      </c>
      <c r="C399" s="43" t="str">
        <f>IFERROR(__xludf.DUMMYFUNCTION("""COMPUTED_VALUE"""),"Belli")</f>
        <v>Belli</v>
      </c>
      <c r="D399" s="43" t="str">
        <f>IFERROR(__xludf.DUMMYFUNCTION("""COMPUTED_VALUE"""),"Tigre, Buenos Aires")</f>
        <v>Tigre, Buenos Aires</v>
      </c>
      <c r="E399" s="45" t="str">
        <f>IFERROR(__xludf.DUMMYFUNCTION("""COMPUTED_VALUE"""),"ARG")</f>
        <v>ARG</v>
      </c>
      <c r="F399" s="45">
        <f>IFERROR(__xludf.DUMMYFUNCTION("""COMPUTED_VALUE"""),5.0154722E7)</f>
        <v>50154722</v>
      </c>
      <c r="G399" s="44">
        <f>IFERROR(__xludf.DUMMYFUNCTION("""COMPUTED_VALUE"""),40239.0)</f>
        <v>40239</v>
      </c>
      <c r="H399" s="45">
        <f>IFERROR(__xludf.DUMMYFUNCTION("""COMPUTED_VALUE"""),1.161271977E9)</f>
        <v>1161271977</v>
      </c>
      <c r="I399" s="45">
        <f>IFERROR(__xludf.DUMMYFUNCTION("""COMPUTED_VALUE"""),1.161271977E9)</f>
        <v>1161271977</v>
      </c>
      <c r="J399" s="45" t="str">
        <f>IFERROR(__xludf.DUMMYFUNCTION("""COMPUTED_VALUE"""),"diegobelli@yahoo.com")</f>
        <v>diegobelli@yahoo.com</v>
      </c>
      <c r="K399" s="45" t="str">
        <f>IFERROR(__xludf.DUMMYFUNCTION("""COMPUTED_VALUE"""),"Masculino")</f>
        <v>Masculino</v>
      </c>
      <c r="L399" s="45" t="str">
        <f>IFERROR(__xludf.DUMMYFUNCTION("""COMPUTED_VALUE"""),"YCA")</f>
        <v>YCA</v>
      </c>
      <c r="M399" s="45"/>
      <c r="N399" s="45" t="str">
        <f>IFERROR(__xludf.DUMMYFUNCTION("""COMPUTED_VALUE"""),"OPTIMIST TIMONELES")</f>
        <v>OPTIMIST TIMONELES</v>
      </c>
      <c r="O399" s="7"/>
      <c r="P399" s="7">
        <f>IFERROR(__xludf.DUMMYFUNCTION("""COMPUTED_VALUE"""),4085.0)</f>
        <v>4085</v>
      </c>
      <c r="Q399" s="45"/>
      <c r="R399" s="45"/>
      <c r="S399" s="45"/>
      <c r="T399" s="45"/>
      <c r="U399" s="45"/>
      <c r="V399" s="45"/>
      <c r="W399" s="45"/>
      <c r="X399" s="47" t="str">
        <f>IFERROR(__xludf.DUMMYFUNCTION("""COMPUTED_VALUE"""),"OSDE")</f>
        <v>OSDE</v>
      </c>
      <c r="Y399" s="45" t="str">
        <f>IFERROR(__xludf.DUMMYFUNCTION("""COMPUTED_VALUE"""),"Si")</f>
        <v>Si</v>
      </c>
      <c r="Z399" s="45" t="str">
        <f>IFERROR(__xludf.DUMMYFUNCTION("""COMPUTED_VALUE"""),"Acepto")</f>
        <v>Acepto</v>
      </c>
      <c r="AA399" s="45" t="str">
        <f>IFERROR(__xludf.DUMMYFUNCTION("""COMPUTED_VALUE"""),"Terminado")</f>
        <v>Terminado</v>
      </c>
      <c r="AB399" s="45">
        <f>IFERROR(__xludf.DUMMYFUNCTION("""COMPUTED_VALUE"""),50000.0)</f>
        <v>50000</v>
      </c>
      <c r="AC399" s="7">
        <f>IFERROR(__xludf.DUMMYFUNCTION("""COMPUTED_VALUE"""),205629.0)</f>
        <v>205629</v>
      </c>
      <c r="AD399" s="7" t="str">
        <f>IFERROR(__xludf.DUMMYFUNCTION("""COMPUTED_VALUE"""),"TRF 09-09")</f>
        <v>TRF 09-09</v>
      </c>
      <c r="AE399" s="7" t="str">
        <f>IFERROR(__xludf.DUMMYFUNCTION("""COMPUTED_VALUE"""),"OK")</f>
        <v>OK</v>
      </c>
      <c r="AF399" s="45"/>
    </row>
    <row r="400">
      <c r="A400" s="42">
        <f>IFERROR(__xludf.DUMMYFUNCTION("""COMPUTED_VALUE"""),45544.79940255787)</f>
        <v>45544.7994</v>
      </c>
      <c r="B400" s="43" t="str">
        <f>IFERROR(__xludf.DUMMYFUNCTION("""COMPUTED_VALUE"""),"Federico ")</f>
        <v>Federico </v>
      </c>
      <c r="C400" s="43" t="str">
        <f>IFERROR(__xludf.DUMMYFUNCTION("""COMPUTED_VALUE"""),"Hormaiztegui ")</f>
        <v>Hormaiztegui </v>
      </c>
      <c r="D400" s="43" t="str">
        <f>IFERROR(__xludf.DUMMYFUNCTION("""COMPUTED_VALUE"""),"Entre rios")</f>
        <v>Entre rios</v>
      </c>
      <c r="E400" s="45" t="str">
        <f>IFERROR(__xludf.DUMMYFUNCTION("""COMPUTED_VALUE"""),"ARG")</f>
        <v>ARG</v>
      </c>
      <c r="F400" s="45">
        <f>IFERROR(__xludf.DUMMYFUNCTION("""COMPUTED_VALUE"""),4.951085E7)</f>
        <v>49510850</v>
      </c>
      <c r="G400" s="44">
        <f>IFERROR(__xludf.DUMMYFUNCTION("""COMPUTED_VALUE"""),39950.0)</f>
        <v>39950</v>
      </c>
      <c r="H400" s="45" t="str">
        <f>IFERROR(__xludf.DUMMYFUNCTION("""COMPUTED_VALUE"""),"3442 643084")</f>
        <v>3442 643084</v>
      </c>
      <c r="I400" s="45">
        <f>IFERROR(__xludf.DUMMYFUNCTION("""COMPUTED_VALUE"""),3.442643084E9)</f>
        <v>3442643084</v>
      </c>
      <c r="J400" s="45" t="str">
        <f>IFERROR(__xludf.DUMMYFUNCTION("""COMPUTED_VALUE"""),"Jorgehormaiztegui@gmail.com")</f>
        <v>Jorgehormaiztegui@gmail.com</v>
      </c>
      <c r="K400" s="45" t="str">
        <f>IFERROR(__xludf.DUMMYFUNCTION("""COMPUTED_VALUE"""),"Masculino")</f>
        <v>Masculino</v>
      </c>
      <c r="L400" s="45" t="str">
        <f>IFERROR(__xludf.DUMMYFUNCTION("""COMPUTED_VALUE"""),"CNP")</f>
        <v>CNP</v>
      </c>
      <c r="M400" s="45" t="str">
        <f>IFERROR(__xludf.DUMMYFUNCTION("""COMPUTED_VALUE"""),"Interior (Optimist)")</f>
        <v>Interior (Optimist)</v>
      </c>
      <c r="N400" s="45" t="str">
        <f>IFERROR(__xludf.DUMMYFUNCTION("""COMPUTED_VALUE"""),"OPTIMIST TIMONELES")</f>
        <v>OPTIMIST TIMONELES</v>
      </c>
      <c r="O400" s="7"/>
      <c r="P400" s="7" t="str">
        <f>IFERROR(__xludf.DUMMYFUNCTION("""COMPUTED_VALUE"""),"ARG4015")</f>
        <v>ARG4015</v>
      </c>
      <c r="Q400" s="45"/>
      <c r="R400" s="45"/>
      <c r="S400" s="45"/>
      <c r="T400" s="45"/>
      <c r="U400" s="45"/>
      <c r="V400" s="45"/>
      <c r="W400" s="45"/>
      <c r="X400" s="47" t="str">
        <f>IFERROR(__xludf.DUMMYFUNCTION("""COMPUTED_VALUE"""),"Ospe")</f>
        <v>Ospe</v>
      </c>
      <c r="Y400" s="45" t="str">
        <f>IFERROR(__xludf.DUMMYFUNCTION("""COMPUTED_VALUE"""),"Si")</f>
        <v>Si</v>
      </c>
      <c r="Z400" s="45" t="str">
        <f>IFERROR(__xludf.DUMMYFUNCTION("""COMPUTED_VALUE"""),"Acepto")</f>
        <v>Acepto</v>
      </c>
      <c r="AA400" s="45" t="str">
        <f>IFERROR(__xludf.DUMMYFUNCTION("""COMPUTED_VALUE"""),"Pendiente")</f>
        <v>Pendiente</v>
      </c>
      <c r="AB400" s="45"/>
      <c r="AC400" s="7"/>
      <c r="AD400" s="7"/>
      <c r="AE400" s="7" t="str">
        <f>IFERROR(__xludf.DUMMYFUNCTION("""COMPUTED_VALUE"""),"OK")</f>
        <v>OK</v>
      </c>
      <c r="AF400" s="45"/>
    </row>
    <row r="401">
      <c r="A401" s="42">
        <f>IFERROR(__xludf.DUMMYFUNCTION("""COMPUTED_VALUE"""),45544.87126648148)</f>
        <v>45544.87127</v>
      </c>
      <c r="B401" s="43" t="str">
        <f>IFERROR(__xludf.DUMMYFUNCTION("""COMPUTED_VALUE"""),"Chiara")</f>
        <v>Chiara</v>
      </c>
      <c r="C401" s="43" t="str">
        <f>IFERROR(__xludf.DUMMYFUNCTION("""COMPUTED_VALUE"""),"Arcuri")</f>
        <v>Arcuri</v>
      </c>
      <c r="D401" s="43" t="str">
        <f>IFERROR(__xludf.DUMMYFUNCTION("""COMPUTED_VALUE"""),"San Isidro")</f>
        <v>San Isidro</v>
      </c>
      <c r="E401" s="45" t="str">
        <f>IFERROR(__xludf.DUMMYFUNCTION("""COMPUTED_VALUE"""),"ARG")</f>
        <v>ARG</v>
      </c>
      <c r="F401" s="45">
        <f>IFERROR(__xludf.DUMMYFUNCTION("""COMPUTED_VALUE"""),5.285498E7)</f>
        <v>52854980</v>
      </c>
      <c r="G401" s="44">
        <f>IFERROR(__xludf.DUMMYFUNCTION("""COMPUTED_VALUE"""),41237.0)</f>
        <v>41237</v>
      </c>
      <c r="H401" s="45">
        <f>IFERROR(__xludf.DUMMYFUNCTION("""COMPUTED_VALUE"""),1.133244946E9)</f>
        <v>1133244946</v>
      </c>
      <c r="I401" s="45">
        <f>IFERROR(__xludf.DUMMYFUNCTION("""COMPUTED_VALUE"""),1.133244946E9)</f>
        <v>1133244946</v>
      </c>
      <c r="J401" s="45" t="str">
        <f>IFERROR(__xludf.DUMMYFUNCTION("""COMPUTED_VALUE"""),"francisco _arcuri@mac.com")</f>
        <v>francisco _arcuri@mac.com</v>
      </c>
      <c r="K401" s="45" t="str">
        <f>IFERROR(__xludf.DUMMYFUNCTION("""COMPUTED_VALUE"""),"Femenino")</f>
        <v>Femenino</v>
      </c>
      <c r="L401" s="45" t="str">
        <f>IFERROR(__xludf.DUMMYFUNCTION("""COMPUTED_VALUE"""),"YCA")</f>
        <v>YCA</v>
      </c>
      <c r="M401" s="45" t="str">
        <f>IFERROR(__xludf.DUMMYFUNCTION("""COMPUTED_VALUE"""),"Femenino")</f>
        <v>Femenino</v>
      </c>
      <c r="N401" s="45" t="str">
        <f>IFERROR(__xludf.DUMMYFUNCTION("""COMPUTED_VALUE"""),"OPTIMIST PRINCIPIANTES")</f>
        <v>OPTIMIST PRINCIPIANTES</v>
      </c>
      <c r="O401" s="7"/>
      <c r="P401" s="7">
        <f>IFERROR(__xludf.DUMMYFUNCTION("""COMPUTED_VALUE"""),3441.0)</f>
        <v>3441</v>
      </c>
      <c r="Q401" s="45" t="str">
        <f>IFERROR(__xludf.DUMMYFUNCTION("""COMPUTED_VALUE"""),"Magic")</f>
        <v>Magic</v>
      </c>
      <c r="R401" s="45"/>
      <c r="S401" s="45"/>
      <c r="T401" s="45"/>
      <c r="U401" s="45"/>
      <c r="V401" s="45"/>
      <c r="W401" s="45"/>
      <c r="X401" s="47" t="str">
        <f>IFERROR(__xludf.DUMMYFUNCTION("""COMPUTED_VALUE"""),"Medicus")</f>
        <v>Medicus</v>
      </c>
      <c r="Y401" s="45" t="str">
        <f>IFERROR(__xludf.DUMMYFUNCTION("""COMPUTED_VALUE"""),"No")</f>
        <v>No</v>
      </c>
      <c r="Z401" s="45" t="str">
        <f>IFERROR(__xludf.DUMMYFUNCTION("""COMPUTED_VALUE"""),"Acepto")</f>
        <v>Acepto</v>
      </c>
      <c r="AA401" s="45" t="str">
        <f>IFERROR(__xludf.DUMMYFUNCTION("""COMPUTED_VALUE"""),"Terminado")</f>
        <v>Terminado</v>
      </c>
      <c r="AB401" s="45">
        <f>IFERROR(__xludf.DUMMYFUNCTION("""COMPUTED_VALUE"""),50000.0)</f>
        <v>50000</v>
      </c>
      <c r="AC401" s="7">
        <f>IFERROR(__xludf.DUMMYFUNCTION("""COMPUTED_VALUE"""),205630.0)</f>
        <v>205630</v>
      </c>
      <c r="AD401" s="7" t="str">
        <f>IFERROR(__xludf.DUMMYFUNCTION("""COMPUTED_VALUE"""),"TRF 09-09")</f>
        <v>TRF 09-09</v>
      </c>
      <c r="AE401" s="7" t="str">
        <f>IFERROR(__xludf.DUMMYFUNCTION("""COMPUTED_VALUE"""),"OK")</f>
        <v>OK</v>
      </c>
      <c r="AF401" s="45"/>
    </row>
    <row r="402">
      <c r="A402" s="42">
        <f>IFERROR(__xludf.DUMMYFUNCTION("""COMPUTED_VALUE"""),45544.87328768519)</f>
        <v>45544.87329</v>
      </c>
      <c r="B402" s="43" t="str">
        <f>IFERROR(__xludf.DUMMYFUNCTION("""COMPUTED_VALUE"""),"Follero ")</f>
        <v>Follero </v>
      </c>
      <c r="C402" s="43" t="str">
        <f>IFERROR(__xludf.DUMMYFUNCTION("""COMPUTED_VALUE"""),"Follero Parente")</f>
        <v>Follero Parente</v>
      </c>
      <c r="D402" s="43" t="str">
        <f>IFERROR(__xludf.DUMMYFUNCTION("""COMPUTED_VALUE"""),"San Fernando")</f>
        <v>San Fernando</v>
      </c>
      <c r="E402" s="45" t="str">
        <f>IFERROR(__xludf.DUMMYFUNCTION("""COMPUTED_VALUE"""),"ARG")</f>
        <v>ARG</v>
      </c>
      <c r="F402" s="45">
        <f>IFERROR(__xludf.DUMMYFUNCTION("""COMPUTED_VALUE"""),5.3761009E7)</f>
        <v>53761009</v>
      </c>
      <c r="G402" s="44">
        <f>IFERROR(__xludf.DUMMYFUNCTION("""COMPUTED_VALUE"""),41649.0)</f>
        <v>41649</v>
      </c>
      <c r="H402" s="45">
        <f>IFERROR(__xludf.DUMMYFUNCTION("""COMPUTED_VALUE"""),5.3761009E7)</f>
        <v>53761009</v>
      </c>
      <c r="I402" s="45">
        <f>IFERROR(__xludf.DUMMYFUNCTION("""COMPUTED_VALUE"""),1.531731753E9)</f>
        <v>1531731753</v>
      </c>
      <c r="J402" s="45" t="str">
        <f>IFERROR(__xludf.DUMMYFUNCTION("""COMPUTED_VALUE"""),"Parentegeraldine10@gmail.com ")</f>
        <v>Parentegeraldine10@gmail.com </v>
      </c>
      <c r="K402" s="45" t="str">
        <f>IFERROR(__xludf.DUMMYFUNCTION("""COMPUTED_VALUE"""),"Femenino")</f>
        <v>Femenino</v>
      </c>
      <c r="L402" s="45" t="str">
        <f>IFERROR(__xludf.DUMMYFUNCTION("""COMPUTED_VALUE"""),"CVB")</f>
        <v>CVB</v>
      </c>
      <c r="M402" s="45"/>
      <c r="N402" s="45" t="str">
        <f>IFERROR(__xludf.DUMMYFUNCTION("""COMPUTED_VALUE"""),"OPTIMIST PRINCIPIANTES")</f>
        <v>OPTIMIST PRINCIPIANTES</v>
      </c>
      <c r="O402" s="7"/>
      <c r="P402" s="7">
        <f>IFERROR(__xludf.DUMMYFUNCTION("""COMPUTED_VALUE"""),4000.0)</f>
        <v>4000</v>
      </c>
      <c r="Q402" s="45"/>
      <c r="R402" s="45"/>
      <c r="S402" s="45"/>
      <c r="T402" s="45"/>
      <c r="U402" s="45"/>
      <c r="V402" s="45"/>
      <c r="W402" s="45"/>
      <c r="X402" s="47" t="str">
        <f>IFERROR(__xludf.DUMMYFUNCTION("""COMPUTED_VALUE"""),"Prevención salud")</f>
        <v>Prevención salud</v>
      </c>
      <c r="Y402" s="45" t="str">
        <f>IFERROR(__xludf.DUMMYFUNCTION("""COMPUTED_VALUE"""),"Si")</f>
        <v>Si</v>
      </c>
      <c r="Z402" s="45" t="str">
        <f>IFERROR(__xludf.DUMMYFUNCTION("""COMPUTED_VALUE"""),"Acepto")</f>
        <v>Acepto</v>
      </c>
      <c r="AA402" s="45" t="str">
        <f>IFERROR(__xludf.DUMMYFUNCTION("""COMPUTED_VALUE"""),"Terminado")</f>
        <v>Terminado</v>
      </c>
      <c r="AB402" s="45">
        <f>IFERROR(__xludf.DUMMYFUNCTION("""COMPUTED_VALUE"""),50000.0)</f>
        <v>50000</v>
      </c>
      <c r="AC402" s="7">
        <f>IFERROR(__xludf.DUMMYFUNCTION("""COMPUTED_VALUE"""),205631.0)</f>
        <v>205631</v>
      </c>
      <c r="AD402" s="7" t="str">
        <f>IFERROR(__xludf.DUMMYFUNCTION("""COMPUTED_VALUE"""),"TRF 09-09")</f>
        <v>TRF 09-09</v>
      </c>
      <c r="AE402" s="7" t="str">
        <f>IFERROR(__xludf.DUMMYFUNCTION("""COMPUTED_VALUE"""),"OK")</f>
        <v>OK</v>
      </c>
      <c r="AF402" s="45" t="str">
        <f>IFERROR(__xludf.DUMMYFUNCTION("""COMPUTED_VALUE"""),"SI")</f>
        <v>SI</v>
      </c>
    </row>
    <row r="403">
      <c r="A403" s="42">
        <f>IFERROR(__xludf.DUMMYFUNCTION("""COMPUTED_VALUE"""),45544.87562679398)</f>
        <v>45544.87563</v>
      </c>
      <c r="B403" s="43" t="str">
        <f>IFERROR(__xludf.DUMMYFUNCTION("""COMPUTED_VALUE"""),"Edy")</f>
        <v>Edy</v>
      </c>
      <c r="C403" s="43" t="str">
        <f>IFERROR(__xludf.DUMMYFUNCTION("""COMPUTED_VALUE"""),"Branz")</f>
        <v>Branz</v>
      </c>
      <c r="D403" s="43" t="str">
        <f>IFERROR(__xludf.DUMMYFUNCTION("""COMPUTED_VALUE"""),"Tigre")</f>
        <v>Tigre</v>
      </c>
      <c r="E403" s="45" t="str">
        <f>IFERROR(__xludf.DUMMYFUNCTION("""COMPUTED_VALUE"""),"ARG")</f>
        <v>ARG</v>
      </c>
      <c r="F403" s="45">
        <f>IFERROR(__xludf.DUMMYFUNCTION("""COMPUTED_VALUE"""),1.4126492E7)</f>
        <v>14126492</v>
      </c>
      <c r="G403" s="44">
        <f>IFERROR(__xludf.DUMMYFUNCTION("""COMPUTED_VALUE"""),22119.0)</f>
        <v>22119</v>
      </c>
      <c r="H403" s="45">
        <f>IFERROR(__xludf.DUMMYFUNCTION("""COMPUTED_VALUE"""),1.150091259E9)</f>
        <v>1150091259</v>
      </c>
      <c r="I403" s="45">
        <f>IFERROR(__xludf.DUMMYFUNCTION("""COMPUTED_VALUE"""),1.168313351E9)</f>
        <v>1168313351</v>
      </c>
      <c r="J403" s="45" t="str">
        <f>IFERROR(__xludf.DUMMYFUNCTION("""COMPUTED_VALUE"""),"astillerotrento@gmai.com")</f>
        <v>astillerotrento@gmai.com</v>
      </c>
      <c r="K403" s="45" t="str">
        <f>IFERROR(__xludf.DUMMYFUNCTION("""COMPUTED_VALUE"""),"Masculino")</f>
        <v>Masculino</v>
      </c>
      <c r="L403" s="45" t="str">
        <f>IFERROR(__xludf.DUMMYFUNCTION("""COMPUTED_VALUE"""),"Yco")</f>
        <v>Yco</v>
      </c>
      <c r="M403" s="45" t="str">
        <f>IFERROR(__xludf.DUMMYFUNCTION("""COMPUTED_VALUE"""),"Master (ILCA)")</f>
        <v>Master (ILCA)</v>
      </c>
      <c r="N403" s="45" t="str">
        <f>IFERROR(__xludf.DUMMYFUNCTION("""COMPUTED_VALUE"""),"ILCA 6")</f>
        <v>ILCA 6</v>
      </c>
      <c r="O403" s="7"/>
      <c r="P403" s="7">
        <f>IFERROR(__xludf.DUMMYFUNCTION("""COMPUTED_VALUE"""),184274.0)</f>
        <v>184274</v>
      </c>
      <c r="Q403" s="45" t="str">
        <f>IFERROR(__xludf.DUMMYFUNCTION("""COMPUTED_VALUE"""),"Turbina")</f>
        <v>Turbina</v>
      </c>
      <c r="R403" s="45"/>
      <c r="S403" s="45"/>
      <c r="T403" s="45"/>
      <c r="U403" s="45"/>
      <c r="V403" s="45"/>
      <c r="W403" s="45"/>
      <c r="X403" s="47"/>
      <c r="Y403" s="45" t="str">
        <f>IFERROR(__xludf.DUMMYFUNCTION("""COMPUTED_VALUE"""),"Si")</f>
        <v>Si</v>
      </c>
      <c r="Z403" s="45" t="str">
        <f>IFERROR(__xludf.DUMMYFUNCTION("""COMPUTED_VALUE"""),"Acepto")</f>
        <v>Acepto</v>
      </c>
      <c r="AA403" s="45" t="str">
        <f>IFERROR(__xludf.DUMMYFUNCTION("""COMPUTED_VALUE"""),"Pendiente")</f>
        <v>Pendiente</v>
      </c>
      <c r="AB403" s="45"/>
      <c r="AC403" s="7"/>
      <c r="AD403" s="7"/>
      <c r="AE403" s="7" t="str">
        <f>IFERROR(__xludf.DUMMYFUNCTION("""COMPUTED_VALUE"""),"No Corresp")</f>
        <v>No Corresp</v>
      </c>
      <c r="AF403" s="45"/>
    </row>
    <row r="404">
      <c r="A404" s="42">
        <f>IFERROR(__xludf.DUMMYFUNCTION("""COMPUTED_VALUE"""),45544.880731805555)</f>
        <v>45544.88073</v>
      </c>
      <c r="B404" s="43" t="str">
        <f>IFERROR(__xludf.DUMMYFUNCTION("""COMPUTED_VALUE"""),"Lucía ")</f>
        <v>Lucía </v>
      </c>
      <c r="C404" s="43" t="str">
        <f>IFERROR(__xludf.DUMMYFUNCTION("""COMPUTED_VALUE"""),"Arcuri")</f>
        <v>Arcuri</v>
      </c>
      <c r="D404" s="43" t="str">
        <f>IFERROR(__xludf.DUMMYFUNCTION("""COMPUTED_VALUE"""),"San Isidro ")</f>
        <v>San Isidro </v>
      </c>
      <c r="E404" s="45" t="str">
        <f>IFERROR(__xludf.DUMMYFUNCTION("""COMPUTED_VALUE"""),"ARG")</f>
        <v>ARG</v>
      </c>
      <c r="F404" s="45">
        <f>IFERROR(__xludf.DUMMYFUNCTION("""COMPUTED_VALUE"""),5.4460028E7)</f>
        <v>54460028</v>
      </c>
      <c r="G404" s="44">
        <f>IFERROR(__xludf.DUMMYFUNCTION("""COMPUTED_VALUE"""),42006.0)</f>
        <v>42006</v>
      </c>
      <c r="H404" s="45">
        <f>IFERROR(__xludf.DUMMYFUNCTION("""COMPUTED_VALUE"""),1.133244946E9)</f>
        <v>1133244946</v>
      </c>
      <c r="I404" s="45">
        <f>IFERROR(__xludf.DUMMYFUNCTION("""COMPUTED_VALUE"""),1.133244947E9)</f>
        <v>1133244947</v>
      </c>
      <c r="J404" s="45" t="str">
        <f>IFERROR(__xludf.DUMMYFUNCTION("""COMPUTED_VALUE"""),"francisco_arcuri@mac.com")</f>
        <v>francisco_arcuri@mac.com</v>
      </c>
      <c r="K404" s="45" t="str">
        <f>IFERROR(__xludf.DUMMYFUNCTION("""COMPUTED_VALUE"""),"Femenino")</f>
        <v>Femenino</v>
      </c>
      <c r="L404" s="45" t="str">
        <f>IFERROR(__xludf.DUMMYFUNCTION("""COMPUTED_VALUE"""),"YCA")</f>
        <v>YCA</v>
      </c>
      <c r="M404" s="45" t="str">
        <f>IFERROR(__xludf.DUMMYFUNCTION("""COMPUTED_VALUE"""),"Femenino")</f>
        <v>Femenino</v>
      </c>
      <c r="N404" s="45" t="str">
        <f>IFERROR(__xludf.DUMMYFUNCTION("""COMPUTED_VALUE"""),"OPTIMIST PRINCIPIANTES")</f>
        <v>OPTIMIST PRINCIPIANTES</v>
      </c>
      <c r="O404" s="7"/>
      <c r="P404" s="7">
        <f>IFERROR(__xludf.DUMMYFUNCTION("""COMPUTED_VALUE"""),3614.0)</f>
        <v>3614</v>
      </c>
      <c r="Q404" s="45" t="str">
        <f>IFERROR(__xludf.DUMMYFUNCTION("""COMPUTED_VALUE"""),"Black Bull")</f>
        <v>Black Bull</v>
      </c>
      <c r="R404" s="45"/>
      <c r="S404" s="45"/>
      <c r="T404" s="45"/>
      <c r="U404" s="45"/>
      <c r="V404" s="45"/>
      <c r="W404" s="45"/>
      <c r="X404" s="47" t="str">
        <f>IFERROR(__xludf.DUMMYFUNCTION("""COMPUTED_VALUE"""),"Medicus ")</f>
        <v>Medicus </v>
      </c>
      <c r="Y404" s="45" t="str">
        <f>IFERROR(__xludf.DUMMYFUNCTION("""COMPUTED_VALUE"""),"No")</f>
        <v>No</v>
      </c>
      <c r="Z404" s="45" t="str">
        <f>IFERROR(__xludf.DUMMYFUNCTION("""COMPUTED_VALUE"""),"Acepto")</f>
        <v>Acepto</v>
      </c>
      <c r="AA404" s="45" t="str">
        <f>IFERROR(__xludf.DUMMYFUNCTION("""COMPUTED_VALUE"""),"Terminado")</f>
        <v>Terminado</v>
      </c>
      <c r="AB404" s="45">
        <f>IFERROR(__xludf.DUMMYFUNCTION("""COMPUTED_VALUE"""),50000.0)</f>
        <v>50000</v>
      </c>
      <c r="AC404" s="7">
        <f>IFERROR(__xludf.DUMMYFUNCTION("""COMPUTED_VALUE"""),205630.0)</f>
        <v>205630</v>
      </c>
      <c r="AD404" s="7" t="str">
        <f>IFERROR(__xludf.DUMMYFUNCTION("""COMPUTED_VALUE"""),"TRF 09-09")</f>
        <v>TRF 09-09</v>
      </c>
      <c r="AE404" s="7" t="str">
        <f>IFERROR(__xludf.DUMMYFUNCTION("""COMPUTED_VALUE"""),"Pendiente")</f>
        <v>Pendiente</v>
      </c>
      <c r="AF404" s="45"/>
    </row>
    <row r="405">
      <c r="A405" s="42">
        <f>IFERROR(__xludf.DUMMYFUNCTION("""COMPUTED_VALUE"""),45544.90473405093)</f>
        <v>45544.90473</v>
      </c>
      <c r="B405" s="43" t="str">
        <f>IFERROR(__xludf.DUMMYFUNCTION("""COMPUTED_VALUE"""),"Lucia")</f>
        <v>Lucia</v>
      </c>
      <c r="C405" s="43" t="str">
        <f>IFERROR(__xludf.DUMMYFUNCTION("""COMPUTED_VALUE"""),"Romero")</f>
        <v>Romero</v>
      </c>
      <c r="D405" s="43" t="str">
        <f>IFERROR(__xludf.DUMMYFUNCTION("""COMPUTED_VALUE"""),"Buenos Aires")</f>
        <v>Buenos Aires</v>
      </c>
      <c r="E405" s="45" t="str">
        <f>IFERROR(__xludf.DUMMYFUNCTION("""COMPUTED_VALUE"""),"ARG")</f>
        <v>ARG</v>
      </c>
      <c r="F405" s="45">
        <f>IFERROR(__xludf.DUMMYFUNCTION("""COMPUTED_VALUE"""),5.0233618E7)</f>
        <v>50233618</v>
      </c>
      <c r="G405" s="44">
        <f>IFERROR(__xludf.DUMMYFUNCTION("""COMPUTED_VALUE"""),40243.0)</f>
        <v>40243</v>
      </c>
      <c r="H405" s="45">
        <f>IFERROR(__xludf.DUMMYFUNCTION("""COMPUTED_VALUE"""),5.41169786563E11)</f>
        <v>541169786563</v>
      </c>
      <c r="I405" s="45">
        <f>IFERROR(__xludf.DUMMYFUNCTION("""COMPUTED_VALUE"""),5.41169786563E11)</f>
        <v>541169786563</v>
      </c>
      <c r="J405" s="45" t="str">
        <f>IFERROR(__xludf.DUMMYFUNCTION("""COMPUTED_VALUE"""),"tana_oxilia@yahoo.com")</f>
        <v>tana_oxilia@yahoo.com</v>
      </c>
      <c r="K405" s="45" t="str">
        <f>IFERROR(__xludf.DUMMYFUNCTION("""COMPUTED_VALUE"""),"Femenino")</f>
        <v>Femenino</v>
      </c>
      <c r="L405" s="45" t="str">
        <f>IFERROR(__xludf.DUMMYFUNCTION("""COMPUTED_VALUE"""),"CUBA")</f>
        <v>CUBA</v>
      </c>
      <c r="M405" s="45" t="str">
        <f>IFERROR(__xludf.DUMMYFUNCTION("""COMPUTED_VALUE"""),"Femenino")</f>
        <v>Femenino</v>
      </c>
      <c r="N405" s="45" t="str">
        <f>IFERROR(__xludf.DUMMYFUNCTION("""COMPUTED_VALUE"""),"OPTIMIST TIMONELES")</f>
        <v>OPTIMIST TIMONELES</v>
      </c>
      <c r="O405" s="7"/>
      <c r="P405" s="7">
        <f>IFERROR(__xludf.DUMMYFUNCTION("""COMPUTED_VALUE"""),4040.0)</f>
        <v>4040</v>
      </c>
      <c r="Q405" s="45"/>
      <c r="R405" s="45"/>
      <c r="S405" s="45"/>
      <c r="T405" s="45"/>
      <c r="U405" s="45"/>
      <c r="V405" s="45"/>
      <c r="W405" s="45"/>
      <c r="X405" s="47" t="str">
        <f>IFERROR(__xludf.DUMMYFUNCTION("""COMPUTED_VALUE"""),"OMINT")</f>
        <v>OMINT</v>
      </c>
      <c r="Y405" s="45" t="str">
        <f>IFERROR(__xludf.DUMMYFUNCTION("""COMPUTED_VALUE"""),"Si")</f>
        <v>Si</v>
      </c>
      <c r="Z405" s="45" t="str">
        <f>IFERROR(__xludf.DUMMYFUNCTION("""COMPUTED_VALUE"""),"Acepto")</f>
        <v>Acepto</v>
      </c>
      <c r="AA405" s="45" t="str">
        <f>IFERROR(__xludf.DUMMYFUNCTION("""COMPUTED_VALUE"""),"Terminado")</f>
        <v>Terminado</v>
      </c>
      <c r="AB405" s="45">
        <f>IFERROR(__xludf.DUMMYFUNCTION("""COMPUTED_VALUE"""),50000.0)</f>
        <v>50000</v>
      </c>
      <c r="AC405" s="7">
        <f>IFERROR(__xludf.DUMMYFUNCTION("""COMPUTED_VALUE"""),205647.0)</f>
        <v>205647</v>
      </c>
      <c r="AD405" s="7" t="str">
        <f>IFERROR(__xludf.DUMMYFUNCTION("""COMPUTED_VALUE"""),"TRF 10-09")</f>
        <v>TRF 10-09</v>
      </c>
      <c r="AE405" s="7" t="str">
        <f>IFERROR(__xludf.DUMMYFUNCTION("""COMPUTED_VALUE"""),"Ok")</f>
        <v>Ok</v>
      </c>
      <c r="AF405" s="45"/>
    </row>
    <row r="406">
      <c r="A406" s="42">
        <f>IFERROR(__xludf.DUMMYFUNCTION("""COMPUTED_VALUE"""),45544.91577548611)</f>
        <v>45544.91578</v>
      </c>
      <c r="B406" s="43" t="str">
        <f>IFERROR(__xludf.DUMMYFUNCTION("""COMPUTED_VALUE"""),"Juan ignacio")</f>
        <v>Juan ignacio</v>
      </c>
      <c r="C406" s="43" t="str">
        <f>IFERROR(__xludf.DUMMYFUNCTION("""COMPUTED_VALUE"""),"Estevez")</f>
        <v>Estevez</v>
      </c>
      <c r="D406" s="43" t="str">
        <f>IFERROR(__xludf.DUMMYFUNCTION("""COMPUTED_VALUE"""),"Buenos Aires ")</f>
        <v>Buenos Aires </v>
      </c>
      <c r="E406" s="45" t="str">
        <f>IFERROR(__xludf.DUMMYFUNCTION("""COMPUTED_VALUE"""),"ARG")</f>
        <v>ARG</v>
      </c>
      <c r="F406" s="45">
        <f>IFERROR(__xludf.DUMMYFUNCTION("""COMPUTED_VALUE"""),5.1222406E7)</f>
        <v>51222406</v>
      </c>
      <c r="G406" s="44">
        <f>IFERROR(__xludf.DUMMYFUNCTION("""COMPUTED_VALUE"""),40686.0)</f>
        <v>40686</v>
      </c>
      <c r="H406" s="45">
        <f>IFERROR(__xludf.DUMMYFUNCTION("""COMPUTED_VALUE"""),1.166560022E9)</f>
        <v>1166560022</v>
      </c>
      <c r="I406" s="45"/>
      <c r="J406" s="45" t="str">
        <f>IFERROR(__xludf.DUMMYFUNCTION("""COMPUTED_VALUE"""),"carolauseglio@gmail.com")</f>
        <v>carolauseglio@gmail.com</v>
      </c>
      <c r="K406" s="45" t="str">
        <f>IFERROR(__xludf.DUMMYFUNCTION("""COMPUTED_VALUE"""),"Masculino")</f>
        <v>Masculino</v>
      </c>
      <c r="L406" s="45" t="str">
        <f>IFERROR(__xludf.DUMMYFUNCTION("""COMPUTED_VALUE"""),"CGLNM")</f>
        <v>CGLNM</v>
      </c>
      <c r="M406" s="45" t="str">
        <f>IFERROR(__xludf.DUMMYFUNCTION("""COMPUTED_VALUE"""),"Interior (Optimist)")</f>
        <v>Interior (Optimist)</v>
      </c>
      <c r="N406" s="45" t="str">
        <f>IFERROR(__xludf.DUMMYFUNCTION("""COMPUTED_VALUE"""),"OPTIMIST TIMONELES")</f>
        <v>OPTIMIST TIMONELES</v>
      </c>
      <c r="O406" s="7"/>
      <c r="P406" s="7">
        <f>IFERROR(__xludf.DUMMYFUNCTION("""COMPUTED_VALUE"""),3185.0)</f>
        <v>3185</v>
      </c>
      <c r="Q406" s="45"/>
      <c r="R406" s="45"/>
      <c r="S406" s="45"/>
      <c r="T406" s="45"/>
      <c r="U406" s="45"/>
      <c r="V406" s="45"/>
      <c r="W406" s="45"/>
      <c r="X406" s="47" t="str">
        <f>IFERROR(__xludf.DUMMYFUNCTION("""COMPUTED_VALUE"""),"OSDE")</f>
        <v>OSDE</v>
      </c>
      <c r="Y406" s="45" t="str">
        <f>IFERROR(__xludf.DUMMYFUNCTION("""COMPUTED_VALUE"""),"Si")</f>
        <v>Si</v>
      </c>
      <c r="Z406" s="45" t="str">
        <f>IFERROR(__xludf.DUMMYFUNCTION("""COMPUTED_VALUE"""),"Acepto")</f>
        <v>Acepto</v>
      </c>
      <c r="AA406" s="45" t="str">
        <f>IFERROR(__xludf.DUMMYFUNCTION("""COMPUTED_VALUE"""),"Terminado")</f>
        <v>Terminado</v>
      </c>
      <c r="AB406" s="45">
        <f>IFERROR(__xludf.DUMMYFUNCTION("""COMPUTED_VALUE"""),50000.0)</f>
        <v>50000</v>
      </c>
      <c r="AC406" s="7">
        <f>IFERROR(__xludf.DUMMYFUNCTION("""COMPUTED_VALUE"""),205649.0)</f>
        <v>205649</v>
      </c>
      <c r="AD406" s="7" t="str">
        <f>IFERROR(__xludf.DUMMYFUNCTION("""COMPUTED_VALUE"""),"TRF 10-09")</f>
        <v>TRF 10-09</v>
      </c>
      <c r="AE406" s="7" t="str">
        <f>IFERROR(__xludf.DUMMYFUNCTION("""COMPUTED_VALUE"""),"OK")</f>
        <v>OK</v>
      </c>
      <c r="AF406" s="45"/>
    </row>
    <row r="407">
      <c r="A407" s="42">
        <f>IFERROR(__xludf.DUMMYFUNCTION("""COMPUTED_VALUE"""),45544.988625451384)</f>
        <v>45544.98863</v>
      </c>
      <c r="B407" s="43" t="str">
        <f>IFERROR(__xludf.DUMMYFUNCTION("""COMPUTED_VALUE"""),"Guillermo (Willy)")</f>
        <v>Guillermo (Willy)</v>
      </c>
      <c r="C407" s="43" t="str">
        <f>IFERROR(__xludf.DUMMYFUNCTION("""COMPUTED_VALUE"""),"Soares Netto")</f>
        <v>Soares Netto</v>
      </c>
      <c r="D407" s="43" t="str">
        <f>IFERROR(__xludf.DUMMYFUNCTION("""COMPUTED_VALUE"""),"CABA")</f>
        <v>CABA</v>
      </c>
      <c r="E407" s="45" t="str">
        <f>IFERROR(__xludf.DUMMYFUNCTION("""COMPUTED_VALUE"""),"ARG")</f>
        <v>ARG</v>
      </c>
      <c r="F407" s="45">
        <f>IFERROR(__xludf.DUMMYFUNCTION("""COMPUTED_VALUE"""),9.2418808E7)</f>
        <v>92418808</v>
      </c>
      <c r="G407" s="44">
        <f>IFERROR(__xludf.DUMMYFUNCTION("""COMPUTED_VALUE"""),25092.0)</f>
        <v>25092</v>
      </c>
      <c r="H407" s="45">
        <f>IFERROR(__xludf.DUMMYFUNCTION("""COMPUTED_VALUE"""),1.151035512E9)</f>
        <v>1151035512</v>
      </c>
      <c r="I407" s="45">
        <f>IFERROR(__xludf.DUMMYFUNCTION("""COMPUTED_VALUE"""),5.492213176347E12)</f>
        <v>5492213176347</v>
      </c>
      <c r="J407" s="45" t="str">
        <f>IFERROR(__xludf.DUMMYFUNCTION("""COMPUTED_VALUE"""),"soaresnettoguille@gmail.com")</f>
        <v>soaresnettoguille@gmail.com</v>
      </c>
      <c r="K407" s="45" t="str">
        <f>IFERROR(__xludf.DUMMYFUNCTION("""COMPUTED_VALUE"""),"Masculino")</f>
        <v>Masculino</v>
      </c>
      <c r="L407" s="45" t="str">
        <f>IFERROR(__xludf.DUMMYFUNCTION("""COMPUTED_VALUE"""),"Barrancas")</f>
        <v>Barrancas</v>
      </c>
      <c r="M407" s="45" t="str">
        <f>IFERROR(__xludf.DUMMYFUNCTION("""COMPUTED_VALUE"""),"Master (ILCA)")</f>
        <v>Master (ILCA)</v>
      </c>
      <c r="N407" s="45" t="str">
        <f>IFERROR(__xludf.DUMMYFUNCTION("""COMPUTED_VALUE"""),"ILCA 6")</f>
        <v>ILCA 6</v>
      </c>
      <c r="O407" s="7"/>
      <c r="P407" s="7">
        <f>IFERROR(__xludf.DUMMYFUNCTION("""COMPUTED_VALUE"""),140069.0)</f>
        <v>140069</v>
      </c>
      <c r="Q407" s="45"/>
      <c r="R407" s="45"/>
      <c r="S407" s="45"/>
      <c r="T407" s="45"/>
      <c r="U407" s="45"/>
      <c r="V407" s="45"/>
      <c r="W407" s="45"/>
      <c r="X407" s="47" t="str">
        <f>IFERROR(__xludf.DUMMYFUNCTION("""COMPUTED_VALUE"""),"Swiss Medical 0935129-01-0001")</f>
        <v>Swiss Medical 0935129-01-0001</v>
      </c>
      <c r="Y407" s="45" t="str">
        <f>IFERROR(__xludf.DUMMYFUNCTION("""COMPUTED_VALUE"""),"No")</f>
        <v>No</v>
      </c>
      <c r="Z407" s="45" t="str">
        <f>IFERROR(__xludf.DUMMYFUNCTION("""COMPUTED_VALUE"""),"Acepto")</f>
        <v>Acepto</v>
      </c>
      <c r="AA407" s="45" t="str">
        <f>IFERROR(__xludf.DUMMYFUNCTION("""COMPUTED_VALUE"""),"Pendiente")</f>
        <v>Pendiente</v>
      </c>
      <c r="AB407" s="45"/>
      <c r="AC407" s="7"/>
      <c r="AD407" s="7"/>
      <c r="AE407" s="7" t="str">
        <f>IFERROR(__xludf.DUMMYFUNCTION("""COMPUTED_VALUE"""),"No Corresp")</f>
        <v>No Corresp</v>
      </c>
      <c r="AF407" s="45"/>
    </row>
    <row r="408">
      <c r="A408" s="42">
        <f>IFERROR(__xludf.DUMMYFUNCTION("""COMPUTED_VALUE"""),45544.99110002315)</f>
        <v>45544.9911</v>
      </c>
      <c r="B408" s="43" t="str">
        <f>IFERROR(__xludf.DUMMYFUNCTION("""COMPUTED_VALUE"""),"Carolina ")</f>
        <v>Carolina </v>
      </c>
      <c r="C408" s="43" t="str">
        <f>IFERROR(__xludf.DUMMYFUNCTION("""COMPUTED_VALUE"""),"Gallucci")</f>
        <v>Gallucci</v>
      </c>
      <c r="D408" s="43" t="str">
        <f>IFERROR(__xludf.DUMMYFUNCTION("""COMPUTED_VALUE"""),"CABA")</f>
        <v>CABA</v>
      </c>
      <c r="E408" s="45" t="str">
        <f>IFERROR(__xludf.DUMMYFUNCTION("""COMPUTED_VALUE"""),"ARG")</f>
        <v>ARG</v>
      </c>
      <c r="F408" s="45">
        <f>IFERROR(__xludf.DUMMYFUNCTION("""COMPUTED_VALUE"""),2.5704972E7)</f>
        <v>25704972</v>
      </c>
      <c r="G408" s="44">
        <f>IFERROR(__xludf.DUMMYFUNCTION("""COMPUTED_VALUE"""),28100.0)</f>
        <v>28100</v>
      </c>
      <c r="H408" s="45">
        <f>IFERROR(__xludf.DUMMYFUNCTION("""COMPUTED_VALUE"""),1.130315602E9)</f>
        <v>1130315602</v>
      </c>
      <c r="I408" s="45">
        <f>IFERROR(__xludf.DUMMYFUNCTION("""COMPUTED_VALUE"""),5.492213176347E12)</f>
        <v>5492213176347</v>
      </c>
      <c r="J408" s="45" t="str">
        <f>IFERROR(__xludf.DUMMYFUNCTION("""COMPUTED_VALUE"""),"carogalu@gmail.com")</f>
        <v>carogalu@gmail.com</v>
      </c>
      <c r="K408" s="45" t="str">
        <f>IFERROR(__xludf.DUMMYFUNCTION("""COMPUTED_VALUE"""),"Femenino")</f>
        <v>Femenino</v>
      </c>
      <c r="L408" s="45" t="str">
        <f>IFERROR(__xludf.DUMMYFUNCTION("""COMPUTED_VALUE"""),"Barrancas")</f>
        <v>Barrancas</v>
      </c>
      <c r="M408" s="45" t="str">
        <f>IFERROR(__xludf.DUMMYFUNCTION("""COMPUTED_VALUE"""),"Femenino, Master (ILCA)")</f>
        <v>Femenino, Master (ILCA)</v>
      </c>
      <c r="N408" s="45" t="str">
        <f>IFERROR(__xludf.DUMMYFUNCTION("""COMPUTED_VALUE"""),"ILCA 6")</f>
        <v>ILCA 6</v>
      </c>
      <c r="O408" s="7"/>
      <c r="P408" s="7">
        <f>IFERROR(__xludf.DUMMYFUNCTION("""COMPUTED_VALUE"""),140089.0)</f>
        <v>140089</v>
      </c>
      <c r="Q408" s="45"/>
      <c r="R408" s="45"/>
      <c r="S408" s="45"/>
      <c r="T408" s="45"/>
      <c r="U408" s="45"/>
      <c r="V408" s="45"/>
      <c r="W408" s="45"/>
      <c r="X408" s="47" t="str">
        <f>IFERROR(__xludf.DUMMYFUNCTION("""COMPUTED_VALUE"""),"OSDE Binario 61577519401")</f>
        <v>OSDE Binario 61577519401</v>
      </c>
      <c r="Y408" s="45" t="str">
        <f>IFERROR(__xludf.DUMMYFUNCTION("""COMPUTED_VALUE"""),"No")</f>
        <v>No</v>
      </c>
      <c r="Z408" s="45" t="str">
        <f>IFERROR(__xludf.DUMMYFUNCTION("""COMPUTED_VALUE"""),"Acepto")</f>
        <v>Acepto</v>
      </c>
      <c r="AA408" s="45" t="str">
        <f>IFERROR(__xludf.DUMMYFUNCTION("""COMPUTED_VALUE"""),"Pendiente")</f>
        <v>Pendiente</v>
      </c>
      <c r="AB408" s="45"/>
      <c r="AC408" s="7"/>
      <c r="AD408" s="7"/>
      <c r="AE408" s="7" t="str">
        <f>IFERROR(__xludf.DUMMYFUNCTION("""COMPUTED_VALUE"""),"No Corresp")</f>
        <v>No Corresp</v>
      </c>
      <c r="AF408" s="45"/>
    </row>
    <row r="409">
      <c r="A409" s="42">
        <f>IFERROR(__xludf.DUMMYFUNCTION("""COMPUTED_VALUE"""),45545.168573310184)</f>
        <v>45545.16857</v>
      </c>
      <c r="B409" s="43" t="str">
        <f>IFERROR(__xludf.DUMMYFUNCTION("""COMPUTED_VALUE"""),"Felipe ")</f>
        <v>Felipe </v>
      </c>
      <c r="C409" s="43" t="str">
        <f>IFERROR(__xludf.DUMMYFUNCTION("""COMPUTED_VALUE"""),"Ridella ")</f>
        <v>Ridella </v>
      </c>
      <c r="D409" s="43" t="str">
        <f>IFERROR(__xludf.DUMMYFUNCTION("""COMPUTED_VALUE"""),"Tigre")</f>
        <v>Tigre</v>
      </c>
      <c r="E409" s="45" t="str">
        <f>IFERROR(__xludf.DUMMYFUNCTION("""COMPUTED_VALUE"""),"ARG")</f>
        <v>ARG</v>
      </c>
      <c r="F409" s="45">
        <f>IFERROR(__xludf.DUMMYFUNCTION("""COMPUTED_VALUE"""),5.2703082E7)</f>
        <v>52703082</v>
      </c>
      <c r="G409" s="44">
        <f>IFERROR(__xludf.DUMMYFUNCTION("""COMPUTED_VALUE"""),41168.0)</f>
        <v>41168</v>
      </c>
      <c r="H409" s="45">
        <f>IFERROR(__xludf.DUMMYFUNCTION("""COMPUTED_VALUE"""),1.164697301E9)</f>
        <v>1164697301</v>
      </c>
      <c r="I409" s="45">
        <f>IFERROR(__xludf.DUMMYFUNCTION("""COMPUTED_VALUE"""),1.169625716E9)</f>
        <v>1169625716</v>
      </c>
      <c r="J409" s="45" t="str">
        <f>IFERROR(__xludf.DUMMYFUNCTION("""COMPUTED_VALUE"""),"pabloridella@hotmail.com")</f>
        <v>pabloridella@hotmail.com</v>
      </c>
      <c r="K409" s="45" t="str">
        <f>IFERROR(__xludf.DUMMYFUNCTION("""COMPUTED_VALUE"""),"Masculino")</f>
        <v>Masculino</v>
      </c>
      <c r="L409" s="45" t="str">
        <f>IFERROR(__xludf.DUMMYFUNCTION("""COMPUTED_VALUE"""),"CNSE")</f>
        <v>CNSE</v>
      </c>
      <c r="M409" s="45" t="str">
        <f>IFERROR(__xludf.DUMMYFUNCTION("""COMPUTED_VALUE"""),"Principiante optimist")</f>
        <v>Principiante optimist</v>
      </c>
      <c r="N409" s="45" t="str">
        <f>IFERROR(__xludf.DUMMYFUNCTION("""COMPUTED_VALUE"""),"OPTIMIST PRINCIPIANTES")</f>
        <v>OPTIMIST PRINCIPIANTES</v>
      </c>
      <c r="O409" s="7"/>
      <c r="P409" s="7">
        <f>IFERROR(__xludf.DUMMYFUNCTION("""COMPUTED_VALUE"""),4071.0)</f>
        <v>4071</v>
      </c>
      <c r="Q409" s="45"/>
      <c r="R409" s="45"/>
      <c r="S409" s="45"/>
      <c r="T409" s="45"/>
      <c r="U409" s="45"/>
      <c r="V409" s="45"/>
      <c r="W409" s="45"/>
      <c r="X409" s="47" t="str">
        <f>IFERROR(__xludf.DUMMYFUNCTION("""COMPUTED_VALUE"""),"Smg 800006 0472280 03 0016")</f>
        <v>Smg 800006 0472280 03 0016</v>
      </c>
      <c r="Y409" s="45" t="str">
        <f>IFERROR(__xludf.DUMMYFUNCTION("""COMPUTED_VALUE"""),"Si")</f>
        <v>Si</v>
      </c>
      <c r="Z409" s="45" t="str">
        <f>IFERROR(__xludf.DUMMYFUNCTION("""COMPUTED_VALUE"""),"Acepto")</f>
        <v>Acepto</v>
      </c>
      <c r="AA409" s="45" t="str">
        <f>IFERROR(__xludf.DUMMYFUNCTION("""COMPUTED_VALUE"""),"Terminado")</f>
        <v>Terminado</v>
      </c>
      <c r="AB409" s="45">
        <f>IFERROR(__xludf.DUMMYFUNCTION("""COMPUTED_VALUE"""),50000.0)</f>
        <v>50000</v>
      </c>
      <c r="AC409" s="7">
        <f>IFERROR(__xludf.DUMMYFUNCTION("""COMPUTED_VALUE"""),205639.0)</f>
        <v>205639</v>
      </c>
      <c r="AD409" s="7" t="str">
        <f>IFERROR(__xludf.DUMMYFUNCTION("""COMPUTED_VALUE"""),"TRF 09-09")</f>
        <v>TRF 09-09</v>
      </c>
      <c r="AE409" s="7" t="str">
        <f>IFERROR(__xludf.DUMMYFUNCTION("""COMPUTED_VALUE"""),"OK")</f>
        <v>OK</v>
      </c>
      <c r="AF409" s="45"/>
    </row>
    <row r="410">
      <c r="A410" s="42">
        <f>IFERROR(__xludf.DUMMYFUNCTION("""COMPUTED_VALUE"""),45545.34916708333)</f>
        <v>45545.34917</v>
      </c>
      <c r="B410" s="43" t="str">
        <f>IFERROR(__xludf.DUMMYFUNCTION("""COMPUTED_VALUE"""),"Federico ")</f>
        <v>Federico </v>
      </c>
      <c r="C410" s="43" t="str">
        <f>IFERROR(__xludf.DUMMYFUNCTION("""COMPUTED_VALUE"""),"Warburg ")</f>
        <v>Warburg </v>
      </c>
      <c r="D410" s="43" t="str">
        <f>IFERROR(__xludf.DUMMYFUNCTION("""COMPUTED_VALUE"""),"San Fernando, Buenos aires")</f>
        <v>San Fernando, Buenos aires</v>
      </c>
      <c r="E410" s="45" t="str">
        <f>IFERROR(__xludf.DUMMYFUNCTION("""COMPUTED_VALUE"""),"ARG")</f>
        <v>ARG</v>
      </c>
      <c r="F410" s="45">
        <f>IFERROR(__xludf.DUMMYFUNCTION("""COMPUTED_VALUE"""),4.6416265E7)</f>
        <v>46416265</v>
      </c>
      <c r="G410" s="44">
        <f>IFERROR(__xludf.DUMMYFUNCTION("""COMPUTED_VALUE"""),38364.0)</f>
        <v>38364</v>
      </c>
      <c r="H410" s="45">
        <f>IFERROR(__xludf.DUMMYFUNCTION("""COMPUTED_VALUE"""),1.15592552E9)</f>
        <v>1155925520</v>
      </c>
      <c r="I410" s="45"/>
      <c r="J410" s="45" t="str">
        <f>IFERROR(__xludf.DUMMYFUNCTION("""COMPUTED_VALUE"""),"fedewarburg@gmail.com")</f>
        <v>fedewarburg@gmail.com</v>
      </c>
      <c r="K410" s="45" t="str">
        <f>IFERROR(__xludf.DUMMYFUNCTION("""COMPUTED_VALUE"""),"Masculino")</f>
        <v>Masculino</v>
      </c>
      <c r="L410" s="45" t="str">
        <f>IFERROR(__xludf.DUMMYFUNCTION("""COMPUTED_VALUE"""),"CNSI-CPNLB")</f>
        <v>CNSI-CPNLB</v>
      </c>
      <c r="M410" s="45"/>
      <c r="N410" s="45">
        <f>IFERROR(__xludf.DUMMYFUNCTION("""COMPUTED_VALUE"""),420.0)</f>
        <v>420</v>
      </c>
      <c r="O410" s="7" t="str">
        <f>IFERROR(__xludf.DUMMYFUNCTION("""COMPUTED_VALUE"""),"01")</f>
        <v>01</v>
      </c>
      <c r="P410" s="7">
        <f>IFERROR(__xludf.DUMMYFUNCTION("""COMPUTED_VALUE"""),57290.0)</f>
        <v>57290</v>
      </c>
      <c r="Q410" s="45"/>
      <c r="R410" s="45" t="str">
        <f>IFERROR(__xludf.DUMMYFUNCTION("""COMPUTED_VALUE"""),"Gaspar Bürg ")</f>
        <v>Gaspar Bürg </v>
      </c>
      <c r="S410" s="45"/>
      <c r="T410" s="45"/>
      <c r="U410" s="45"/>
      <c r="V410" s="45"/>
      <c r="W410" s="45"/>
      <c r="X410" s="47"/>
      <c r="Y410" s="45" t="str">
        <f>IFERROR(__xludf.DUMMYFUNCTION("""COMPUTED_VALUE"""),"No")</f>
        <v>No</v>
      </c>
      <c r="Z410" s="45" t="str">
        <f>IFERROR(__xludf.DUMMYFUNCTION("""COMPUTED_VALUE"""),"Acepto")</f>
        <v>Acepto</v>
      </c>
      <c r="AA410" s="45" t="str">
        <f>IFERROR(__xludf.DUMMYFUNCTION("""COMPUTED_VALUE"""),"Terminado")</f>
        <v>Terminado</v>
      </c>
      <c r="AB410" s="45">
        <f>IFERROR(__xludf.DUMMYFUNCTION("""COMPUTED_VALUE"""),65000.0)</f>
        <v>65000</v>
      </c>
      <c r="AC410" s="7">
        <f>IFERROR(__xludf.DUMMYFUNCTION("""COMPUTED_VALUE"""),205653.0)</f>
        <v>205653</v>
      </c>
      <c r="AD410" s="7" t="str">
        <f>IFERROR(__xludf.DUMMYFUNCTION("""COMPUTED_VALUE"""),"TRF 10-09")</f>
        <v>TRF 10-09</v>
      </c>
      <c r="AE410" s="7" t="str">
        <f>IFERROR(__xludf.DUMMYFUNCTION("""COMPUTED_VALUE"""),"No Corresp")</f>
        <v>No Corresp</v>
      </c>
      <c r="AF410" s="45" t="str">
        <f>IFERROR(__xludf.DUMMYFUNCTION("""COMPUTED_VALUE"""),"Si")</f>
        <v>Si</v>
      </c>
    </row>
    <row r="411">
      <c r="A411" s="42">
        <f>IFERROR(__xludf.DUMMYFUNCTION("""COMPUTED_VALUE"""),45545.358510300925)</f>
        <v>45545.35851</v>
      </c>
      <c r="B411" s="43" t="str">
        <f>IFERROR(__xludf.DUMMYFUNCTION("""COMPUTED_VALUE"""),"Ian ")</f>
        <v>Ian </v>
      </c>
      <c r="C411" s="43" t="str">
        <f>IFERROR(__xludf.DUMMYFUNCTION("""COMPUTED_VALUE"""),"Sly")</f>
        <v>Sly</v>
      </c>
      <c r="D411" s="43" t="str">
        <f>IFERROR(__xludf.DUMMYFUNCTION("""COMPUTED_VALUE"""),"Martinez")</f>
        <v>Martinez</v>
      </c>
      <c r="E411" s="45" t="str">
        <f>IFERROR(__xludf.DUMMYFUNCTION("""COMPUTED_VALUE"""),"ARG")</f>
        <v>ARG</v>
      </c>
      <c r="F411" s="45">
        <f>IFERROR(__xludf.DUMMYFUNCTION("""COMPUTED_VALUE"""),5.2703564E7)</f>
        <v>52703564</v>
      </c>
      <c r="G411" s="44">
        <f>IFERROR(__xludf.DUMMYFUNCTION("""COMPUTED_VALUE"""),41158.0)</f>
        <v>41158</v>
      </c>
      <c r="H411" s="45">
        <f>IFERROR(__xludf.DUMMYFUNCTION("""COMPUTED_VALUE"""),1.149747273E9)</f>
        <v>1149747273</v>
      </c>
      <c r="I411" s="45">
        <f>IFERROR(__xludf.DUMMYFUNCTION("""COMPUTED_VALUE"""),1.149747273E9)</f>
        <v>1149747273</v>
      </c>
      <c r="J411" s="45" t="str">
        <f>IFERROR(__xludf.DUMMYFUNCTION("""COMPUTED_VALUE"""),"roysly@gmail.com")</f>
        <v>roysly@gmail.com</v>
      </c>
      <c r="K411" s="45" t="str">
        <f>IFERROR(__xludf.DUMMYFUNCTION("""COMPUTED_VALUE"""),"Masculino")</f>
        <v>Masculino</v>
      </c>
      <c r="L411" s="45" t="str">
        <f>IFERROR(__xludf.DUMMYFUNCTION("""COMPUTED_VALUE"""),"CVB")</f>
        <v>CVB</v>
      </c>
      <c r="M411" s="45"/>
      <c r="N411" s="45" t="str">
        <f>IFERROR(__xludf.DUMMYFUNCTION("""COMPUTED_VALUE"""),"OPTIMIST PRINCIPIANTES")</f>
        <v>OPTIMIST PRINCIPIANTES</v>
      </c>
      <c r="O411" s="7"/>
      <c r="P411" s="7">
        <f>IFERROR(__xludf.DUMMYFUNCTION("""COMPUTED_VALUE"""),3527.0)</f>
        <v>3527</v>
      </c>
      <c r="Q411" s="45" t="str">
        <f>IFERROR(__xludf.DUMMYFUNCTION("""COMPUTED_VALUE"""),"Quinto Elemento")</f>
        <v>Quinto Elemento</v>
      </c>
      <c r="R411" s="45"/>
      <c r="S411" s="45"/>
      <c r="T411" s="45"/>
      <c r="U411" s="45"/>
      <c r="V411" s="45"/>
      <c r="W411" s="45"/>
      <c r="X411" s="47" t="str">
        <f>IFERROR(__xludf.DUMMYFUNCTION("""COMPUTED_VALUE"""),"Unión Personal")</f>
        <v>Unión Personal</v>
      </c>
      <c r="Y411" s="45" t="str">
        <f>IFERROR(__xludf.DUMMYFUNCTION("""COMPUTED_VALUE"""),"Si")</f>
        <v>Si</v>
      </c>
      <c r="Z411" s="45" t="str">
        <f>IFERROR(__xludf.DUMMYFUNCTION("""COMPUTED_VALUE"""),"Acepto")</f>
        <v>Acepto</v>
      </c>
      <c r="AA411" s="45" t="str">
        <f>IFERROR(__xludf.DUMMYFUNCTION("""COMPUTED_VALUE"""),"Pendiente")</f>
        <v>Pendiente</v>
      </c>
      <c r="AB411" s="45"/>
      <c r="AC411" s="7"/>
      <c r="AD411" s="7"/>
      <c r="AE411" s="7" t="str">
        <f>IFERROR(__xludf.DUMMYFUNCTION("""COMPUTED_VALUE"""),"OK")</f>
        <v>OK</v>
      </c>
      <c r="AF411" s="45" t="str">
        <f>IFERROR(__xludf.DUMMYFUNCTION("""COMPUTED_VALUE"""),"SI")</f>
        <v>SI</v>
      </c>
    </row>
    <row r="412">
      <c r="A412" s="42">
        <f>IFERROR(__xludf.DUMMYFUNCTION("""COMPUTED_VALUE"""),45545.36074309028)</f>
        <v>45545.36074</v>
      </c>
      <c r="B412" s="43" t="str">
        <f>IFERROR(__xludf.DUMMYFUNCTION("""COMPUTED_VALUE"""),"MANUEL W")</f>
        <v>MANUEL W</v>
      </c>
      <c r="C412" s="43" t="str">
        <f>IFERROR(__xludf.DUMMYFUNCTION("""COMPUTED_VALUE"""),"IGLESIAS KUSTER")</f>
        <v>IGLESIAS KUSTER</v>
      </c>
      <c r="D412" s="43" t="str">
        <f>IFERROR(__xludf.DUMMYFUNCTION("""COMPUTED_VALUE"""),"SAN JUAN")</f>
        <v>SAN JUAN</v>
      </c>
      <c r="E412" s="45" t="str">
        <f>IFERROR(__xludf.DUMMYFUNCTION("""COMPUTED_VALUE"""),"ARG")</f>
        <v>ARG</v>
      </c>
      <c r="F412" s="45">
        <f>IFERROR(__xludf.DUMMYFUNCTION("""COMPUTED_VALUE"""),5.2069861E7)</f>
        <v>52069861</v>
      </c>
      <c r="G412" s="44">
        <f>IFERROR(__xludf.DUMMYFUNCTION("""COMPUTED_VALUE"""),40940.0)</f>
        <v>40940</v>
      </c>
      <c r="H412" s="45" t="str">
        <f>IFERROR(__xludf.DUMMYFUNCTION("""COMPUTED_VALUE"""),"+5492644704475")</f>
        <v>+5492644704475</v>
      </c>
      <c r="I412" s="45" t="str">
        <f>IFERROR(__xludf.DUMMYFUNCTION("""COMPUTED_VALUE"""),"+5492644114077")</f>
        <v>+5492644114077</v>
      </c>
      <c r="J412" s="45" t="str">
        <f>IFERROR(__xludf.DUMMYFUNCTION("""COMPUTED_VALUE"""),"jukuster-iglesias@hotmail.com")</f>
        <v>jukuster-iglesias@hotmail.com</v>
      </c>
      <c r="K412" s="45" t="str">
        <f>IFERROR(__xludf.DUMMYFUNCTION("""COMPUTED_VALUE"""),"Masculino")</f>
        <v>Masculino</v>
      </c>
      <c r="L412" s="45" t="str">
        <f>IFERROR(__xludf.DUMMYFUNCTION("""COMPUTED_VALUE"""),"CSV&amp;R")</f>
        <v>CSV&amp;R</v>
      </c>
      <c r="M412" s="45" t="str">
        <f>IFERROR(__xludf.DUMMYFUNCTION("""COMPUTED_VALUE"""),"Interior (Optimist)")</f>
        <v>Interior (Optimist)</v>
      </c>
      <c r="N412" s="45" t="str">
        <f>IFERROR(__xludf.DUMMYFUNCTION("""COMPUTED_VALUE"""),"OPTIMIST PRINCIPIANTES")</f>
        <v>OPTIMIST PRINCIPIANTES</v>
      </c>
      <c r="O412" s="7"/>
      <c r="P412" s="7">
        <f>IFERROR(__xludf.DUMMYFUNCTION("""COMPUTED_VALUE"""),3244.0)</f>
        <v>3244</v>
      </c>
      <c r="Q412" s="45" t="str">
        <f>IFERROR(__xludf.DUMMYFUNCTION("""COMPUTED_VALUE"""),"BANDIDO III")</f>
        <v>BANDIDO III</v>
      </c>
      <c r="R412" s="45"/>
      <c r="S412" s="45"/>
      <c r="T412" s="45"/>
      <c r="U412" s="45"/>
      <c r="V412" s="45"/>
      <c r="W412" s="45"/>
      <c r="X412" s="47">
        <f>IFERROR(__xludf.DUMMYFUNCTION("""COMPUTED_VALUE"""),6.1017100204E10)</f>
        <v>61017100204</v>
      </c>
      <c r="Y412" s="45" t="str">
        <f>IFERROR(__xludf.DUMMYFUNCTION("""COMPUTED_VALUE"""),"Si")</f>
        <v>Si</v>
      </c>
      <c r="Z412" s="45" t="str">
        <f>IFERROR(__xludf.DUMMYFUNCTION("""COMPUTED_VALUE"""),"Acepto")</f>
        <v>Acepto</v>
      </c>
      <c r="AA412" s="45" t="str">
        <f>IFERROR(__xludf.DUMMYFUNCTION("""COMPUTED_VALUE"""),"Terminado")</f>
        <v>Terminado</v>
      </c>
      <c r="AB412" s="45">
        <f>IFERROR(__xludf.DUMMYFUNCTION("""COMPUTED_VALUE"""),42500.0)</f>
        <v>42500</v>
      </c>
      <c r="AC412" s="7">
        <f>IFERROR(__xludf.DUMMYFUNCTION("""COMPUTED_VALUE"""),205662.0)</f>
        <v>205662</v>
      </c>
      <c r="AD412" s="7" t="str">
        <f>IFERROR(__xludf.DUMMYFUNCTION("""COMPUTED_VALUE"""),"TRF 10-09")</f>
        <v>TRF 10-09</v>
      </c>
      <c r="AE412" s="7" t="str">
        <f>IFERROR(__xludf.DUMMYFUNCTION("""COMPUTED_VALUE"""),"OK")</f>
        <v>OK</v>
      </c>
      <c r="AF412" s="45"/>
    </row>
    <row r="413">
      <c r="A413" s="42">
        <f>IFERROR(__xludf.DUMMYFUNCTION("""COMPUTED_VALUE"""),45545.379902500004)</f>
        <v>45545.3799</v>
      </c>
      <c r="B413" s="43" t="str">
        <f>IFERROR(__xludf.DUMMYFUNCTION("""COMPUTED_VALUE"""),"Veronica")</f>
        <v>Veronica</v>
      </c>
      <c r="C413" s="43" t="str">
        <f>IFERROR(__xludf.DUMMYFUNCTION("""COMPUTED_VALUE"""),"Jordana ")</f>
        <v>Jordana </v>
      </c>
      <c r="D413" s="43" t="str">
        <f>IFERROR(__xludf.DUMMYFUNCTION("""COMPUTED_VALUE"""),"San Isidro ")</f>
        <v>San Isidro </v>
      </c>
      <c r="E413" s="45" t="str">
        <f>IFERROR(__xludf.DUMMYFUNCTION("""COMPUTED_VALUE"""),"ARG")</f>
        <v>ARG</v>
      </c>
      <c r="F413" s="45">
        <f>IFERROR(__xludf.DUMMYFUNCTION("""COMPUTED_VALUE"""),2.6583473E7)</f>
        <v>26583473</v>
      </c>
      <c r="G413" s="44">
        <f>IFERROR(__xludf.DUMMYFUNCTION("""COMPUTED_VALUE"""),28590.0)</f>
        <v>28590</v>
      </c>
      <c r="H413" s="45">
        <f>IFERROR(__xludf.DUMMYFUNCTION("""COMPUTED_VALUE"""),5.4114171609E11)</f>
        <v>541141716090</v>
      </c>
      <c r="I413" s="45"/>
      <c r="J413" s="45" t="str">
        <f>IFERROR(__xludf.DUMMYFUNCTION("""COMPUTED_VALUE"""),"Vjordana@gmail.com")</f>
        <v>Vjordana@gmail.com</v>
      </c>
      <c r="K413" s="45" t="str">
        <f>IFERROR(__xludf.DUMMYFUNCTION("""COMPUTED_VALUE"""),"Femenino")</f>
        <v>Femenino</v>
      </c>
      <c r="L413" s="45" t="str">
        <f>IFERROR(__xludf.DUMMYFUNCTION("""COMPUTED_VALUE"""),"CPNLB")</f>
        <v>CPNLB</v>
      </c>
      <c r="M413" s="45" t="str">
        <f>IFERROR(__xludf.DUMMYFUNCTION("""COMPUTED_VALUE"""),"Femenino, Master (ILCA)")</f>
        <v>Femenino, Master (ILCA)</v>
      </c>
      <c r="N413" s="45" t="str">
        <f>IFERROR(__xludf.DUMMYFUNCTION("""COMPUTED_VALUE"""),"ILCA 6")</f>
        <v>ILCA 6</v>
      </c>
      <c r="O413" s="7"/>
      <c r="P413" s="7">
        <f>IFERROR(__xludf.DUMMYFUNCTION("""COMPUTED_VALUE"""),200516.0)</f>
        <v>200516</v>
      </c>
      <c r="Q413" s="45" t="str">
        <f>IFERROR(__xludf.DUMMYFUNCTION("""COMPUTED_VALUE"""),"Milhouse")</f>
        <v>Milhouse</v>
      </c>
      <c r="R413" s="45"/>
      <c r="S413" s="45"/>
      <c r="T413" s="45"/>
      <c r="U413" s="45"/>
      <c r="V413" s="45"/>
      <c r="W413" s="45"/>
      <c r="X413" s="47"/>
      <c r="Y413" s="45" t="str">
        <f>IFERROR(__xludf.DUMMYFUNCTION("""COMPUTED_VALUE"""),"No")</f>
        <v>No</v>
      </c>
      <c r="Z413" s="45" t="str">
        <f>IFERROR(__xludf.DUMMYFUNCTION("""COMPUTED_VALUE"""),"Acepto")</f>
        <v>Acepto</v>
      </c>
      <c r="AA413" s="45" t="str">
        <f>IFERROR(__xludf.DUMMYFUNCTION("""COMPUTED_VALUE"""),"Pendiente")</f>
        <v>Pendiente</v>
      </c>
      <c r="AB413" s="45"/>
      <c r="AC413" s="7"/>
      <c r="AD413" s="7"/>
      <c r="AE413" s="7" t="str">
        <f>IFERROR(__xludf.DUMMYFUNCTION("""COMPUTED_VALUE"""),"No Corresp")</f>
        <v>No Corresp</v>
      </c>
      <c r="AF413" s="45"/>
    </row>
    <row r="414">
      <c r="A414" s="42">
        <f>IFERROR(__xludf.DUMMYFUNCTION("""COMPUTED_VALUE"""),45545.380035277776)</f>
        <v>45545.38004</v>
      </c>
      <c r="B414" s="43" t="str">
        <f>IFERROR(__xludf.DUMMYFUNCTION("""COMPUTED_VALUE"""),"Fran ")</f>
        <v>Fran </v>
      </c>
      <c r="C414" s="43" t="str">
        <f>IFERROR(__xludf.DUMMYFUNCTION("""COMPUTED_VALUE"""),"May")</f>
        <v>May</v>
      </c>
      <c r="D414" s="43" t="str">
        <f>IFERROR(__xludf.DUMMYFUNCTION("""COMPUTED_VALUE"""),"San Isidro ")</f>
        <v>San Isidro </v>
      </c>
      <c r="E414" s="45" t="str">
        <f>IFERROR(__xludf.DUMMYFUNCTION("""COMPUTED_VALUE"""),"ARG")</f>
        <v>ARG</v>
      </c>
      <c r="F414" s="45">
        <f>IFERROR(__xludf.DUMMYFUNCTION("""COMPUTED_VALUE"""),3.1089637E7)</f>
        <v>31089637</v>
      </c>
      <c r="G414" s="44">
        <f>IFERROR(__xludf.DUMMYFUNCTION("""COMPUTED_VALUE"""),30873.0)</f>
        <v>30873</v>
      </c>
      <c r="H414" s="45">
        <f>IFERROR(__xludf.DUMMYFUNCTION("""COMPUTED_VALUE"""),1.15750011E9)</f>
        <v>1157500110</v>
      </c>
      <c r="I414" s="45">
        <f>IFERROR(__xludf.DUMMYFUNCTION("""COMPUTED_VALUE"""),1.135900259E9)</f>
        <v>1135900259</v>
      </c>
      <c r="J414" s="45" t="str">
        <f>IFERROR(__xludf.DUMMYFUNCTION("""COMPUTED_VALUE"""),"franciscomay84@gmail.com")</f>
        <v>franciscomay84@gmail.com</v>
      </c>
      <c r="K414" s="45" t="str">
        <f>IFERROR(__xludf.DUMMYFUNCTION("""COMPUTED_VALUE"""),"Masculino")</f>
        <v>Masculino</v>
      </c>
      <c r="L414" s="45" t="str">
        <f>IFERROR(__xludf.DUMMYFUNCTION("""COMPUTED_VALUE"""),"Barrancas")</f>
        <v>Barrancas</v>
      </c>
      <c r="M414" s="45" t="str">
        <f>IFERROR(__xludf.DUMMYFUNCTION("""COMPUTED_VALUE"""),"Master (ILCA)")</f>
        <v>Master (ILCA)</v>
      </c>
      <c r="N414" s="45" t="str">
        <f>IFERROR(__xludf.DUMMYFUNCTION("""COMPUTED_VALUE"""),"ILCA 6")</f>
        <v>ILCA 6</v>
      </c>
      <c r="O414" s="7"/>
      <c r="P414" s="7">
        <f>IFERROR(__xludf.DUMMYFUNCTION("""COMPUTED_VALUE"""),192117.0)</f>
        <v>192117</v>
      </c>
      <c r="Q414" s="45" t="str">
        <f>IFERROR(__xludf.DUMMYFUNCTION("""COMPUTED_VALUE"""),"Cebollita")</f>
        <v>Cebollita</v>
      </c>
      <c r="R414" s="45"/>
      <c r="S414" s="45"/>
      <c r="T414" s="45"/>
      <c r="U414" s="45"/>
      <c r="V414" s="45"/>
      <c r="W414" s="45"/>
      <c r="X414" s="47"/>
      <c r="Y414" s="45" t="str">
        <f>IFERROR(__xludf.DUMMYFUNCTION("""COMPUTED_VALUE"""),"No")</f>
        <v>No</v>
      </c>
      <c r="Z414" s="45" t="str">
        <f>IFERROR(__xludf.DUMMYFUNCTION("""COMPUTED_VALUE"""),"Acepto")</f>
        <v>Acepto</v>
      </c>
      <c r="AA414" s="45" t="str">
        <f>IFERROR(__xludf.DUMMYFUNCTION("""COMPUTED_VALUE"""),"Terminado")</f>
        <v>Terminado</v>
      </c>
      <c r="AB414" s="45">
        <f>IFERROR(__xludf.DUMMYFUNCTION("""COMPUTED_VALUE"""),45000.0)</f>
        <v>45000</v>
      </c>
      <c r="AC414" s="7">
        <f>IFERROR(__xludf.DUMMYFUNCTION("""COMPUTED_VALUE"""),205645.0)</f>
        <v>205645</v>
      </c>
      <c r="AD414" s="7" t="str">
        <f>IFERROR(__xludf.DUMMYFUNCTION("""COMPUTED_VALUE"""),"TRF 10-09")</f>
        <v>TRF 10-09</v>
      </c>
      <c r="AE414" s="7" t="str">
        <f>IFERROR(__xludf.DUMMYFUNCTION("""COMPUTED_VALUE"""),"No Corresp")</f>
        <v>No Corresp</v>
      </c>
      <c r="AF414" s="45"/>
    </row>
    <row r="415">
      <c r="A415" s="42">
        <f>IFERROR(__xludf.DUMMYFUNCTION("""COMPUTED_VALUE"""),45545.397056284724)</f>
        <v>45545.39706</v>
      </c>
      <c r="B415" s="43" t="str">
        <f>IFERROR(__xludf.DUMMYFUNCTION("""COMPUTED_VALUE"""),"Federico")</f>
        <v>Federico</v>
      </c>
      <c r="C415" s="43" t="str">
        <f>IFERROR(__xludf.DUMMYFUNCTION("""COMPUTED_VALUE"""),"Buiatti Fagalde")</f>
        <v>Buiatti Fagalde</v>
      </c>
      <c r="D415" s="43" t="str">
        <f>IFERROR(__xludf.DUMMYFUNCTION("""COMPUTED_VALUE"""),"Rosario")</f>
        <v>Rosario</v>
      </c>
      <c r="E415" s="45" t="str">
        <f>IFERROR(__xludf.DUMMYFUNCTION("""COMPUTED_VALUE"""),"ARG")</f>
        <v>ARG</v>
      </c>
      <c r="F415" s="45">
        <f>IFERROR(__xludf.DUMMYFUNCTION("""COMPUTED_VALUE"""),3.3562001E7)</f>
        <v>33562001</v>
      </c>
      <c r="G415" s="44">
        <f>IFERROR(__xludf.DUMMYFUNCTION("""COMPUTED_VALUE"""),32113.0)</f>
        <v>32113</v>
      </c>
      <c r="H415" s="45">
        <f>IFERROR(__xludf.DUMMYFUNCTION("""COMPUTED_VALUE"""),3.416930095E9)</f>
        <v>3416930095</v>
      </c>
      <c r="I415" s="45">
        <f>IFERROR(__xludf.DUMMYFUNCTION("""COMPUTED_VALUE"""),3.416116318E9)</f>
        <v>3416116318</v>
      </c>
      <c r="J415" s="45" t="str">
        <f>IFERROR(__xludf.DUMMYFUNCTION("""COMPUTED_VALUE"""),"buiattiflorencia@gmail.com")</f>
        <v>buiattiflorencia@gmail.com</v>
      </c>
      <c r="K415" s="45" t="str">
        <f>IFERROR(__xludf.DUMMYFUNCTION("""COMPUTED_VALUE"""),"Masculino")</f>
        <v>Masculino</v>
      </c>
      <c r="L415" s="45" t="str">
        <f>IFERROR(__xludf.DUMMYFUNCTION("""COMPUTED_VALUE"""),"YCR")</f>
        <v>YCR</v>
      </c>
      <c r="M415" s="45" t="str">
        <f>IFERROR(__xludf.DUMMYFUNCTION("""COMPUTED_VALUE"""),"Mixto")</f>
        <v>Mixto</v>
      </c>
      <c r="N415" s="45" t="str">
        <f>IFERROR(__xludf.DUMMYFUNCTION("""COMPUTED_VALUE"""),"SNIPE")</f>
        <v>SNIPE</v>
      </c>
      <c r="O415" s="7"/>
      <c r="P415" s="7">
        <f>IFERROR(__xludf.DUMMYFUNCTION("""COMPUTED_VALUE"""),31160.0)</f>
        <v>31160</v>
      </c>
      <c r="Q415" s="45"/>
      <c r="R415" s="45" t="str">
        <f>IFERROR(__xludf.DUMMYFUNCTION("""COMPUTED_VALUE"""),"Florencia Buiatti Fagalde")</f>
        <v>Florencia Buiatti Fagalde</v>
      </c>
      <c r="S415" s="45"/>
      <c r="T415" s="45"/>
      <c r="U415" s="45"/>
      <c r="V415" s="45"/>
      <c r="W415" s="45"/>
      <c r="X415" s="47" t="str">
        <f>IFERROR(__xludf.DUMMYFUNCTION("""COMPUTED_VALUE"""),"Caja ingenieros")</f>
        <v>Caja ingenieros</v>
      </c>
      <c r="Y415" s="45" t="str">
        <f>IFERROR(__xludf.DUMMYFUNCTION("""COMPUTED_VALUE"""),"Si")</f>
        <v>Si</v>
      </c>
      <c r="Z415" s="45" t="str">
        <f>IFERROR(__xludf.DUMMYFUNCTION("""COMPUTED_VALUE"""),"Acepto")</f>
        <v>Acepto</v>
      </c>
      <c r="AA415" s="45" t="str">
        <f>IFERROR(__xludf.DUMMYFUNCTION("""COMPUTED_VALUE"""),"Terminado")</f>
        <v>Terminado</v>
      </c>
      <c r="AB415" s="45">
        <f>IFERROR(__xludf.DUMMYFUNCTION("""COMPUTED_VALUE"""),51000.0)</f>
        <v>51000</v>
      </c>
      <c r="AC415" s="7">
        <f>IFERROR(__xludf.DUMMYFUNCTION("""COMPUTED_VALUE"""),205682.0)</f>
        <v>205682</v>
      </c>
      <c r="AD415" s="7" t="str">
        <f>IFERROR(__xludf.DUMMYFUNCTION("""COMPUTED_VALUE"""),"TRF 11-09")</f>
        <v>TRF 11-09</v>
      </c>
      <c r="AE415" s="7" t="str">
        <f>IFERROR(__xludf.DUMMYFUNCTION("""COMPUTED_VALUE"""),"No Corresp")</f>
        <v>No Corresp</v>
      </c>
      <c r="AF415" s="45"/>
    </row>
    <row r="416">
      <c r="A416" s="42">
        <f>IFERROR(__xludf.DUMMYFUNCTION("""COMPUTED_VALUE"""),45545.45571892361)</f>
        <v>45545.45572</v>
      </c>
      <c r="B416" s="43" t="str">
        <f>IFERROR(__xludf.DUMMYFUNCTION("""COMPUTED_VALUE"""),"Dante")</f>
        <v>Dante</v>
      </c>
      <c r="C416" s="43" t="str">
        <f>IFERROR(__xludf.DUMMYFUNCTION("""COMPUTED_VALUE"""),"Cittadini")</f>
        <v>Cittadini</v>
      </c>
      <c r="D416" s="43" t="str">
        <f>IFERROR(__xludf.DUMMYFUNCTION("""COMPUTED_VALUE"""),"San Pedro")</f>
        <v>San Pedro</v>
      </c>
      <c r="E416" s="45" t="str">
        <f>IFERROR(__xludf.DUMMYFUNCTION("""COMPUTED_VALUE"""),"ARG")</f>
        <v>ARG</v>
      </c>
      <c r="F416" s="45">
        <f>IFERROR(__xludf.DUMMYFUNCTION("""COMPUTED_VALUE"""),4.3513461E7)</f>
        <v>43513461</v>
      </c>
      <c r="G416" s="44">
        <f>IFERROR(__xludf.DUMMYFUNCTION("""COMPUTED_VALUE"""),37166.0)</f>
        <v>37166</v>
      </c>
      <c r="H416" s="45">
        <f>IFERROR(__xludf.DUMMYFUNCTION("""COMPUTED_VALUE"""),3.329316637E9)</f>
        <v>3329316637</v>
      </c>
      <c r="I416" s="45"/>
      <c r="J416" s="45" t="str">
        <f>IFERROR(__xludf.DUMMYFUNCTION("""COMPUTED_VALUE"""),"octidorbessan@hotmail.com")</f>
        <v>octidorbessan@hotmail.com</v>
      </c>
      <c r="K416" s="45" t="str">
        <f>IFERROR(__xludf.DUMMYFUNCTION("""COMPUTED_VALUE"""),"Masculino")</f>
        <v>Masculino</v>
      </c>
      <c r="L416" s="45" t="str">
        <f>IFERROR(__xludf.DUMMYFUNCTION("""COMPUTED_VALUE"""),"CNSP - CNP")</f>
        <v>CNSP - CNP</v>
      </c>
      <c r="M416" s="45"/>
      <c r="N416" s="45" t="str">
        <f>IFERROR(__xludf.DUMMYFUNCTION("""COMPUTED_VALUE"""),"F 18")</f>
        <v>F 18</v>
      </c>
      <c r="O416" s="7"/>
      <c r="P416" s="7" t="str">
        <f>IFERROR(__xludf.DUMMYFUNCTION("""COMPUTED_VALUE"""),"ARG 111")</f>
        <v>ARG 111</v>
      </c>
      <c r="Q416" s="45"/>
      <c r="R416" s="45" t="str">
        <f>IFERROR(__xludf.DUMMYFUNCTION("""COMPUTED_VALUE"""),"Octavio Dorbessan")</f>
        <v>Octavio Dorbessan</v>
      </c>
      <c r="S416" s="45"/>
      <c r="T416" s="45"/>
      <c r="U416" s="45"/>
      <c r="V416" s="45"/>
      <c r="W416" s="45"/>
      <c r="X416" s="47"/>
      <c r="Y416" s="45" t="str">
        <f>IFERROR(__xludf.DUMMYFUNCTION("""COMPUTED_VALUE"""),"No")</f>
        <v>No</v>
      </c>
      <c r="Z416" s="45" t="str">
        <f>IFERROR(__xludf.DUMMYFUNCTION("""COMPUTED_VALUE"""),"Acepto")</f>
        <v>Acepto</v>
      </c>
      <c r="AA416" s="45" t="str">
        <f>IFERROR(__xludf.DUMMYFUNCTION("""COMPUTED_VALUE"""),"Pendiente")</f>
        <v>Pendiente</v>
      </c>
      <c r="AB416" s="45"/>
      <c r="AC416" s="7"/>
      <c r="AD416" s="7"/>
      <c r="AE416" s="7" t="str">
        <f>IFERROR(__xludf.DUMMYFUNCTION("""COMPUTED_VALUE"""),"No Corresp")</f>
        <v>No Corresp</v>
      </c>
      <c r="AF416" s="45"/>
    </row>
    <row r="417">
      <c r="A417" s="42">
        <f>IFERROR(__xludf.DUMMYFUNCTION("""COMPUTED_VALUE"""),45545.48303491898)</f>
        <v>45545.48303</v>
      </c>
      <c r="B417" s="43" t="str">
        <f>IFERROR(__xludf.DUMMYFUNCTION("""COMPUTED_VALUE"""),"Gaston")</f>
        <v>Gaston</v>
      </c>
      <c r="C417" s="43" t="str">
        <f>IFERROR(__xludf.DUMMYFUNCTION("""COMPUTED_VALUE"""),"Nogues")</f>
        <v>Nogues</v>
      </c>
      <c r="D417" s="43" t="str">
        <f>IFERROR(__xludf.DUMMYFUNCTION("""COMPUTED_VALUE"""),"DEL VISO")</f>
        <v>DEL VISO</v>
      </c>
      <c r="E417" s="45" t="str">
        <f>IFERROR(__xludf.DUMMYFUNCTION("""COMPUTED_VALUE"""),"ARG")</f>
        <v>ARG</v>
      </c>
      <c r="F417" s="45">
        <f>IFERROR(__xludf.DUMMYFUNCTION("""COMPUTED_VALUE"""),2.2080721E7)</f>
        <v>22080721</v>
      </c>
      <c r="G417" s="44">
        <f>IFERROR(__xludf.DUMMYFUNCTION("""COMPUTED_VALUE"""),26007.0)</f>
        <v>26007</v>
      </c>
      <c r="H417" s="45">
        <f>IFERROR(__xludf.DUMMYFUNCTION("""COMPUTED_VALUE"""),1.137828753E9)</f>
        <v>1137828753</v>
      </c>
      <c r="I417" s="45"/>
      <c r="J417" s="45" t="str">
        <f>IFERROR(__xludf.DUMMYFUNCTION("""COMPUTED_VALUE"""),"belen.baiking@gmail.com")</f>
        <v>belen.baiking@gmail.com</v>
      </c>
      <c r="K417" s="45" t="str">
        <f>IFERROR(__xludf.DUMMYFUNCTION("""COMPUTED_VALUE"""),"Masculino")</f>
        <v>Masculino</v>
      </c>
      <c r="L417" s="45" t="str">
        <f>IFERROR(__xludf.DUMMYFUNCTION("""COMPUTED_VALUE"""),"CNO")</f>
        <v>CNO</v>
      </c>
      <c r="M417" s="45"/>
      <c r="N417" s="45" t="str">
        <f>IFERROR(__xludf.DUMMYFUNCTION("""COMPUTED_VALUE"""),"SNIPE")</f>
        <v>SNIPE</v>
      </c>
      <c r="O417" s="7"/>
      <c r="P417" s="7">
        <f>IFERROR(__xludf.DUMMYFUNCTION("""COMPUTED_VALUE"""),31547.0)</f>
        <v>31547</v>
      </c>
      <c r="Q417" s="45"/>
      <c r="R417" s="45" t="str">
        <f>IFERROR(__xludf.DUMMYFUNCTION("""COMPUTED_VALUE"""),"Belen Larguia")</f>
        <v>Belen Larguia</v>
      </c>
      <c r="S417" s="45"/>
      <c r="T417" s="45"/>
      <c r="U417" s="45"/>
      <c r="V417" s="45"/>
      <c r="W417" s="45"/>
      <c r="X417" s="47"/>
      <c r="Y417" s="45" t="str">
        <f>IFERROR(__xludf.DUMMYFUNCTION("""COMPUTED_VALUE"""),"No")</f>
        <v>No</v>
      </c>
      <c r="Z417" s="45" t="str">
        <f>IFERROR(__xludf.DUMMYFUNCTION("""COMPUTED_VALUE"""),"Acepto")</f>
        <v>Acepto</v>
      </c>
      <c r="AA417" s="45" t="str">
        <f>IFERROR(__xludf.DUMMYFUNCTION("""COMPUTED_VALUE"""),"Pendiente")</f>
        <v>Pendiente</v>
      </c>
      <c r="AB417" s="45"/>
      <c r="AC417" s="7"/>
      <c r="AD417" s="7"/>
      <c r="AE417" s="7" t="str">
        <f>IFERROR(__xludf.DUMMYFUNCTION("""COMPUTED_VALUE"""),"No Corresp")</f>
        <v>No Corresp</v>
      </c>
      <c r="AF417" s="45"/>
    </row>
    <row r="418">
      <c r="A418" s="42">
        <f>IFERROR(__xludf.DUMMYFUNCTION("""COMPUTED_VALUE"""),45545.48499912037)</f>
        <v>45545.485</v>
      </c>
      <c r="B418" s="43" t="str">
        <f>IFERROR(__xludf.DUMMYFUNCTION("""COMPUTED_VALUE"""),"Silvio")</f>
        <v>Silvio</v>
      </c>
      <c r="C418" s="43" t="str">
        <f>IFERROR(__xludf.DUMMYFUNCTION("""COMPUTED_VALUE"""),"Folguera")</f>
        <v>Folguera</v>
      </c>
      <c r="D418" s="43" t="str">
        <f>IFERROR(__xludf.DUMMYFUNCTION("""COMPUTED_VALUE"""),"CABA")</f>
        <v>CABA</v>
      </c>
      <c r="E418" s="45" t="str">
        <f>IFERROR(__xludf.DUMMYFUNCTION("""COMPUTED_VALUE"""),"ARG")</f>
        <v>ARG</v>
      </c>
      <c r="F418" s="45">
        <f>IFERROR(__xludf.DUMMYFUNCTION("""COMPUTED_VALUE"""),5.1511518E7)</f>
        <v>51511518</v>
      </c>
      <c r="G418" s="44">
        <f>IFERROR(__xludf.DUMMYFUNCTION("""COMPUTED_VALUE"""),40833.0)</f>
        <v>40833</v>
      </c>
      <c r="H418" s="45">
        <f>IFERROR(__xludf.DUMMYFUNCTION("""COMPUTED_VALUE"""),1.161649489E9)</f>
        <v>1161649489</v>
      </c>
      <c r="I418" s="45" t="str">
        <f>IFERROR(__xludf.DUMMYFUNCTION("""COMPUTED_VALUE"""),"1161649489/1151576844")</f>
        <v>1161649489/1151576844</v>
      </c>
      <c r="J418" s="45" t="str">
        <f>IFERROR(__xludf.DUMMYFUNCTION("""COMPUTED_VALUE"""),"chelcich@gmail.com")</f>
        <v>chelcich@gmail.com</v>
      </c>
      <c r="K418" s="45" t="str">
        <f>IFERROR(__xludf.DUMMYFUNCTION("""COMPUTED_VALUE"""),"Masculino")</f>
        <v>Masculino</v>
      </c>
      <c r="L418" s="45" t="str">
        <f>IFERROR(__xludf.DUMMYFUNCTION("""COMPUTED_VALUE"""),"CPNLB")</f>
        <v>CPNLB</v>
      </c>
      <c r="M418" s="45"/>
      <c r="N418" s="45" t="str">
        <f>IFERROR(__xludf.DUMMYFUNCTION("""COMPUTED_VALUE"""),"OPTIMIST TIMONELES")</f>
        <v>OPTIMIST TIMONELES</v>
      </c>
      <c r="O418" s="7"/>
      <c r="P418" s="7">
        <f>IFERROR(__xludf.DUMMYFUNCTION("""COMPUTED_VALUE"""),3158.0)</f>
        <v>3158</v>
      </c>
      <c r="Q418" s="45"/>
      <c r="R418" s="45"/>
      <c r="S418" s="45"/>
      <c r="T418" s="45"/>
      <c r="U418" s="45"/>
      <c r="V418" s="45"/>
      <c r="W418" s="45"/>
      <c r="X418" s="47" t="str">
        <f>IFERROR(__xludf.DUMMYFUNCTION("""COMPUTED_VALUE"""),"SMG 800006 0595969 04 0029")</f>
        <v>SMG 800006 0595969 04 0029</v>
      </c>
      <c r="Y418" s="45" t="str">
        <f>IFERROR(__xludf.DUMMYFUNCTION("""COMPUTED_VALUE"""),"Si")</f>
        <v>Si</v>
      </c>
      <c r="Z418" s="45" t="str">
        <f>IFERROR(__xludf.DUMMYFUNCTION("""COMPUTED_VALUE"""),"Acepto")</f>
        <v>Acepto</v>
      </c>
      <c r="AA418" s="45" t="str">
        <f>IFERROR(__xludf.DUMMYFUNCTION("""COMPUTED_VALUE"""),"Terminado")</f>
        <v>Terminado</v>
      </c>
      <c r="AB418" s="45">
        <f>IFERROR(__xludf.DUMMYFUNCTION("""COMPUTED_VALUE"""),50000.0)</f>
        <v>50000</v>
      </c>
      <c r="AC418" s="7">
        <f>IFERROR(__xludf.DUMMYFUNCTION("""COMPUTED_VALUE"""),205652.0)</f>
        <v>205652</v>
      </c>
      <c r="AD418" s="7" t="str">
        <f>IFERROR(__xludf.DUMMYFUNCTION("""COMPUTED_VALUE"""),"TRF 10-09")</f>
        <v>TRF 10-09</v>
      </c>
      <c r="AE418" s="7" t="str">
        <f>IFERROR(__xludf.DUMMYFUNCTION("""COMPUTED_VALUE"""),"OK")</f>
        <v>OK</v>
      </c>
      <c r="AF418" s="45" t="str">
        <f>IFERROR(__xludf.DUMMYFUNCTION("""COMPUTED_VALUE"""),"SI")</f>
        <v>SI</v>
      </c>
    </row>
    <row r="419">
      <c r="A419" s="42">
        <f>IFERROR(__xludf.DUMMYFUNCTION("""COMPUTED_VALUE"""),45545.52495329861)</f>
        <v>45545.52495</v>
      </c>
      <c r="B419" s="43" t="str">
        <f>IFERROR(__xludf.DUMMYFUNCTION("""COMPUTED_VALUE"""),"ca")</f>
        <v>ca</v>
      </c>
      <c r="C419" s="43" t="str">
        <f>IFERROR(__xludf.DUMMYFUNCTION("""COMPUTED_VALUE"""),"e")</f>
        <v>e</v>
      </c>
      <c r="D419" s="43" t="str">
        <f>IFERROR(__xludf.DUMMYFUNCTION("""COMPUTED_VALUE"""),"e")</f>
        <v>e</v>
      </c>
      <c r="E419" s="45" t="str">
        <f>IFERROR(__xludf.DUMMYFUNCTION("""COMPUTED_VALUE"""),"ARG")</f>
        <v>ARG</v>
      </c>
      <c r="F419" s="45">
        <f>IFERROR(__xludf.DUMMYFUNCTION("""COMPUTED_VALUE"""),111.0)</f>
        <v>111</v>
      </c>
      <c r="G419" s="44">
        <f>IFERROR(__xludf.DUMMYFUNCTION("""COMPUTED_VALUE"""),40493.0)</f>
        <v>40493</v>
      </c>
      <c r="H419" s="45"/>
      <c r="I419" s="45"/>
      <c r="J419" s="45" t="str">
        <f>IFERROR(__xludf.DUMMYFUNCTION("""COMPUTED_VALUE"""),"@")</f>
        <v>@</v>
      </c>
      <c r="K419" s="45" t="str">
        <f>IFERROR(__xludf.DUMMYFUNCTION("""COMPUTED_VALUE"""),"Masculino")</f>
        <v>Masculino</v>
      </c>
      <c r="L419" s="45" t="str">
        <f>IFERROR(__xludf.DUMMYFUNCTION("""COMPUTED_VALUE"""),"qqwwqw")</f>
        <v>qqwwqw</v>
      </c>
      <c r="M419" s="45" t="str">
        <f>IFERROR(__xludf.DUMMYFUNCTION("""COMPUTED_VALUE"""),"Interior (Optimist)")</f>
        <v>Interior (Optimist)</v>
      </c>
      <c r="N419" s="45" t="str">
        <f>IFERROR(__xludf.DUMMYFUNCTION("""COMPUTED_VALUE"""),"OPTIMIST PRINCIPIANTES")</f>
        <v>OPTIMIST PRINCIPIANTES</v>
      </c>
      <c r="O419" s="7">
        <f>IFERROR(__xludf.DUMMYFUNCTION("""COMPUTED_VALUE"""),223.0)</f>
        <v>223</v>
      </c>
      <c r="P419" s="7">
        <f>IFERROR(__xludf.DUMMYFUNCTION("""COMPUTED_VALUE"""),2112.0)</f>
        <v>2112</v>
      </c>
      <c r="Q419" s="45"/>
      <c r="R419" s="45"/>
      <c r="S419" s="45"/>
      <c r="T419" s="45"/>
      <c r="U419" s="45"/>
      <c r="V419" s="45"/>
      <c r="W419" s="45"/>
      <c r="X419" s="47"/>
      <c r="Y419" s="45" t="str">
        <f>IFERROR(__xludf.DUMMYFUNCTION("""COMPUTED_VALUE"""),"No")</f>
        <v>No</v>
      </c>
      <c r="Z419" s="45" t="str">
        <f>IFERROR(__xludf.DUMMYFUNCTION("""COMPUTED_VALUE"""),"Acepto")</f>
        <v>Acepto</v>
      </c>
      <c r="AA419" s="45" t="str">
        <f>IFERROR(__xludf.DUMMYFUNCTION("""COMPUTED_VALUE"""),"Pendiente")</f>
        <v>Pendiente</v>
      </c>
      <c r="AB419" s="45"/>
      <c r="AC419" s="7"/>
      <c r="AD419" s="7"/>
      <c r="AE419" s="7" t="str">
        <f>IFERROR(__xludf.DUMMYFUNCTION("""COMPUTED_VALUE"""),"Pendiente")</f>
        <v>Pendiente</v>
      </c>
      <c r="AF419" s="45"/>
    </row>
    <row r="420">
      <c r="A420" s="42">
        <f>IFERROR(__xludf.DUMMYFUNCTION("""COMPUTED_VALUE"""),45545.52671101852)</f>
        <v>45545.52671</v>
      </c>
      <c r="B420" s="43" t="str">
        <f>IFERROR(__xludf.DUMMYFUNCTION("""COMPUTED_VALUE"""),"Isabella ")</f>
        <v>Isabella </v>
      </c>
      <c r="C420" s="43" t="str">
        <f>IFERROR(__xludf.DUMMYFUNCTION("""COMPUTED_VALUE"""),"Sagretti ")</f>
        <v>Sagretti </v>
      </c>
      <c r="D420" s="43" t="str">
        <f>IFERROR(__xludf.DUMMYFUNCTION("""COMPUTED_VALUE"""),"Buenos Aires")</f>
        <v>Buenos Aires</v>
      </c>
      <c r="E420" s="45" t="str">
        <f>IFERROR(__xludf.DUMMYFUNCTION("""COMPUTED_VALUE"""),"ARG")</f>
        <v>ARG</v>
      </c>
      <c r="F420" s="45">
        <f>IFERROR(__xludf.DUMMYFUNCTION("""COMPUTED_VALUE"""),5.5074992E7)</f>
        <v>55074992</v>
      </c>
      <c r="G420" s="44">
        <f>IFERROR(__xludf.DUMMYFUNCTION("""COMPUTED_VALUE"""),42264.0)</f>
        <v>42264</v>
      </c>
      <c r="H420" s="45">
        <f>IFERROR(__xludf.DUMMYFUNCTION("""COMPUTED_VALUE"""),1.163028894E9)</f>
        <v>1163028894</v>
      </c>
      <c r="I420" s="45">
        <f>IFERROR(__xludf.DUMMYFUNCTION("""COMPUTED_VALUE"""),1.163028894E9)</f>
        <v>1163028894</v>
      </c>
      <c r="J420" s="45" t="str">
        <f>IFERROR(__xludf.DUMMYFUNCTION("""COMPUTED_VALUE"""),"javier.sagretti@gmail.com")</f>
        <v>javier.sagretti@gmail.com</v>
      </c>
      <c r="K420" s="45" t="str">
        <f>IFERROR(__xludf.DUMMYFUNCTION("""COMPUTED_VALUE"""),"Femenino")</f>
        <v>Femenino</v>
      </c>
      <c r="L420" s="45" t="str">
        <f>IFERROR(__xludf.DUMMYFUNCTION("""COMPUTED_VALUE"""),"YCO")</f>
        <v>YCO</v>
      </c>
      <c r="M420" s="45" t="str">
        <f>IFERROR(__xludf.DUMMYFUNCTION("""COMPUTED_VALUE"""),"Interior (Optimist)")</f>
        <v>Interior (Optimist)</v>
      </c>
      <c r="N420" s="45" t="str">
        <f>IFERROR(__xludf.DUMMYFUNCTION("""COMPUTED_VALUE"""),"OPTIMIST PRINCIPIANTES")</f>
        <v>OPTIMIST PRINCIPIANTES</v>
      </c>
      <c r="O420" s="7"/>
      <c r="P420" s="7">
        <f>IFERROR(__xludf.DUMMYFUNCTION("""COMPUTED_VALUE"""),3278.0)</f>
        <v>3278</v>
      </c>
      <c r="Q420" s="45"/>
      <c r="R420" s="45"/>
      <c r="S420" s="45"/>
      <c r="T420" s="45"/>
      <c r="U420" s="45"/>
      <c r="V420" s="45"/>
      <c r="W420" s="45"/>
      <c r="X420" s="47" t="str">
        <f>IFERROR(__xludf.DUMMYFUNCTION("""COMPUTED_VALUE"""),"OSDE")</f>
        <v>OSDE</v>
      </c>
      <c r="Y420" s="45" t="str">
        <f>IFERROR(__xludf.DUMMYFUNCTION("""COMPUTED_VALUE"""),"Si")</f>
        <v>Si</v>
      </c>
      <c r="Z420" s="45" t="str">
        <f>IFERROR(__xludf.DUMMYFUNCTION("""COMPUTED_VALUE"""),"Acepto")</f>
        <v>Acepto</v>
      </c>
      <c r="AA420" s="45" t="str">
        <f>IFERROR(__xludf.DUMMYFUNCTION("""COMPUTED_VALUE"""),"Pendiente")</f>
        <v>Pendiente</v>
      </c>
      <c r="AB420" s="45"/>
      <c r="AC420" s="7"/>
      <c r="AD420" s="7"/>
      <c r="AE420" s="7" t="str">
        <f>IFERROR(__xludf.DUMMYFUNCTION("""COMPUTED_VALUE"""),"Pendiente")</f>
        <v>Pendiente</v>
      </c>
      <c r="AF420" s="45"/>
    </row>
    <row r="421">
      <c r="A421" s="42">
        <f>IFERROR(__xludf.DUMMYFUNCTION("""COMPUTED_VALUE"""),45545.52955070602)</f>
        <v>45545.52955</v>
      </c>
      <c r="B421" s="43" t="str">
        <f>IFERROR(__xludf.DUMMYFUNCTION("""COMPUTED_VALUE"""),"Isabella ")</f>
        <v>Isabella </v>
      </c>
      <c r="C421" s="43" t="str">
        <f>IFERROR(__xludf.DUMMYFUNCTION("""COMPUTED_VALUE"""),"Sagretti ")</f>
        <v>Sagretti </v>
      </c>
      <c r="D421" s="43" t="str">
        <f>IFERROR(__xludf.DUMMYFUNCTION("""COMPUTED_VALUE"""),"Bue")</f>
        <v>Bue</v>
      </c>
      <c r="E421" s="45" t="str">
        <f>IFERROR(__xludf.DUMMYFUNCTION("""COMPUTED_VALUE"""),"ARG")</f>
        <v>ARG</v>
      </c>
      <c r="F421" s="45">
        <f>IFERROR(__xludf.DUMMYFUNCTION("""COMPUTED_VALUE"""),5.5074992E7)</f>
        <v>55074992</v>
      </c>
      <c r="G421" s="44">
        <f>IFERROR(__xludf.DUMMYFUNCTION("""COMPUTED_VALUE"""),42264.0)</f>
        <v>42264</v>
      </c>
      <c r="H421" s="45">
        <f>IFERROR(__xludf.DUMMYFUNCTION("""COMPUTED_VALUE"""),1.163928894E9)</f>
        <v>1163928894</v>
      </c>
      <c r="I421" s="45">
        <f>IFERROR(__xludf.DUMMYFUNCTION("""COMPUTED_VALUE"""),1.103028894E9)</f>
        <v>1103028894</v>
      </c>
      <c r="J421" s="45" t="str">
        <f>IFERROR(__xludf.DUMMYFUNCTION("""COMPUTED_VALUE"""),"javier.sagretti@gmail.com")</f>
        <v>javier.sagretti@gmail.com</v>
      </c>
      <c r="K421" s="45" t="str">
        <f>IFERROR(__xludf.DUMMYFUNCTION("""COMPUTED_VALUE"""),"Femenino")</f>
        <v>Femenino</v>
      </c>
      <c r="L421" s="45" t="str">
        <f>IFERROR(__xludf.DUMMYFUNCTION("""COMPUTED_VALUE"""),"YCO")</f>
        <v>YCO</v>
      </c>
      <c r="M421" s="45" t="str">
        <f>IFERROR(__xludf.DUMMYFUNCTION("""COMPUTED_VALUE"""),"Femenino")</f>
        <v>Femenino</v>
      </c>
      <c r="N421" s="45" t="str">
        <f>IFERROR(__xludf.DUMMYFUNCTION("""COMPUTED_VALUE"""),"OPTIMIST PRINCIPIANTES")</f>
        <v>OPTIMIST PRINCIPIANTES</v>
      </c>
      <c r="O421" s="7"/>
      <c r="P421" s="7">
        <f>IFERROR(__xludf.DUMMYFUNCTION("""COMPUTED_VALUE"""),3278.0)</f>
        <v>3278</v>
      </c>
      <c r="Q421" s="45"/>
      <c r="R421" s="45"/>
      <c r="S421" s="45"/>
      <c r="T421" s="45"/>
      <c r="U421" s="45"/>
      <c r="V421" s="45"/>
      <c r="W421" s="45"/>
      <c r="X421" s="47" t="str">
        <f>IFERROR(__xludf.DUMMYFUNCTION("""COMPUTED_VALUE"""),"OSDE")</f>
        <v>OSDE</v>
      </c>
      <c r="Y421" s="45" t="str">
        <f>IFERROR(__xludf.DUMMYFUNCTION("""COMPUTED_VALUE"""),"Si")</f>
        <v>Si</v>
      </c>
      <c r="Z421" s="45" t="str">
        <f>IFERROR(__xludf.DUMMYFUNCTION("""COMPUTED_VALUE"""),"Acepto")</f>
        <v>Acepto</v>
      </c>
      <c r="AA421" s="45" t="str">
        <f>IFERROR(__xludf.DUMMYFUNCTION("""COMPUTED_VALUE"""),"Repetido")</f>
        <v>Repetido</v>
      </c>
      <c r="AB421" s="45"/>
      <c r="AC421" s="7"/>
      <c r="AD421" s="7"/>
      <c r="AE421" s="7" t="str">
        <f>IFERROR(__xludf.DUMMYFUNCTION("""COMPUTED_VALUE"""),"Pendiente")</f>
        <v>Pendiente</v>
      </c>
      <c r="AF421" s="45"/>
    </row>
    <row r="422">
      <c r="A422" s="42">
        <f>IFERROR(__xludf.DUMMYFUNCTION("""COMPUTED_VALUE"""),45545.550604965276)</f>
        <v>45545.5506</v>
      </c>
      <c r="B422" s="43" t="str">
        <f>IFERROR(__xludf.DUMMYFUNCTION("""COMPUTED_VALUE"""),"Alfredo ")</f>
        <v>Alfredo </v>
      </c>
      <c r="C422" s="43" t="str">
        <f>IFERROR(__xludf.DUMMYFUNCTION("""COMPUTED_VALUE"""),"Agote")</f>
        <v>Agote</v>
      </c>
      <c r="D422" s="43" t="str">
        <f>IFERROR(__xludf.DUMMYFUNCTION("""COMPUTED_VALUE"""),"Caba")</f>
        <v>Caba</v>
      </c>
      <c r="E422" s="45" t="str">
        <f>IFERROR(__xludf.DUMMYFUNCTION("""COMPUTED_VALUE"""),"ARG")</f>
        <v>ARG</v>
      </c>
      <c r="F422" s="45">
        <f>IFERROR(__xludf.DUMMYFUNCTION("""COMPUTED_VALUE"""),4.5749525E7)</f>
        <v>45749525</v>
      </c>
      <c r="G422" s="44">
        <f>IFERROR(__xludf.DUMMYFUNCTION("""COMPUTED_VALUE"""),38111.0)</f>
        <v>38111</v>
      </c>
      <c r="H422" s="45">
        <f>IFERROR(__xludf.DUMMYFUNCTION("""COMPUTED_VALUE"""),1.125169438E9)</f>
        <v>1125169438</v>
      </c>
      <c r="I422" s="45">
        <f>IFERROR(__xludf.DUMMYFUNCTION("""COMPUTED_VALUE"""),1.135529126E9)</f>
        <v>1135529126</v>
      </c>
      <c r="J422" s="45" t="str">
        <f>IFERROR(__xludf.DUMMYFUNCTION("""COMPUTED_VALUE"""),"tinchobarletta@gmail.com")</f>
        <v>tinchobarletta@gmail.com</v>
      </c>
      <c r="K422" s="45" t="str">
        <f>IFERROR(__xludf.DUMMYFUNCTION("""COMPUTED_VALUE"""),"Masculino")</f>
        <v>Masculino</v>
      </c>
      <c r="L422" s="45" t="str">
        <f>IFERROR(__xludf.DUMMYFUNCTION("""COMPUTED_VALUE"""),"YCA")</f>
        <v>YCA</v>
      </c>
      <c r="M422" s="45"/>
      <c r="N422" s="45" t="str">
        <f>IFERROR(__xludf.DUMMYFUNCTION("""COMPUTED_VALUE"""),"F 18")</f>
        <v>F 18</v>
      </c>
      <c r="O422" s="7"/>
      <c r="P422" s="7">
        <f>IFERROR(__xludf.DUMMYFUNCTION("""COMPUTED_VALUE"""),90.0)</f>
        <v>90</v>
      </c>
      <c r="Q422" s="45"/>
      <c r="R422" s="45" t="str">
        <f>IFERROR(__xludf.DUMMYFUNCTION("""COMPUTED_VALUE"""),"Martin Barletta")</f>
        <v>Martin Barletta</v>
      </c>
      <c r="S422" s="45"/>
      <c r="T422" s="45"/>
      <c r="U422" s="45"/>
      <c r="V422" s="45"/>
      <c r="W422" s="45"/>
      <c r="X422" s="47"/>
      <c r="Y422" s="45" t="str">
        <f>IFERROR(__xludf.DUMMYFUNCTION("""COMPUTED_VALUE"""),"No")</f>
        <v>No</v>
      </c>
      <c r="Z422" s="45" t="str">
        <f>IFERROR(__xludf.DUMMYFUNCTION("""COMPUTED_VALUE"""),"Acepto")</f>
        <v>Acepto</v>
      </c>
      <c r="AA422" s="45" t="str">
        <f>IFERROR(__xludf.DUMMYFUNCTION("""COMPUTED_VALUE"""),"Pendiente")</f>
        <v>Pendiente</v>
      </c>
      <c r="AB422" s="45"/>
      <c r="AC422" s="7"/>
      <c r="AD422" s="7"/>
      <c r="AE422" s="7" t="str">
        <f>IFERROR(__xludf.DUMMYFUNCTION("""COMPUTED_VALUE"""),"No Corresp")</f>
        <v>No Corresp</v>
      </c>
      <c r="AF422" s="45"/>
    </row>
    <row r="423">
      <c r="A423" s="42">
        <f>IFERROR(__xludf.DUMMYFUNCTION("""COMPUTED_VALUE"""),45545.594908009254)</f>
        <v>45545.59491</v>
      </c>
      <c r="B423" s="43" t="str">
        <f>IFERROR(__xludf.DUMMYFUNCTION("""COMPUTED_VALUE"""),"Alejandro")</f>
        <v>Alejandro</v>
      </c>
      <c r="C423" s="43" t="str">
        <f>IFERROR(__xludf.DUMMYFUNCTION("""COMPUTED_VALUE"""),"Colombo")</f>
        <v>Colombo</v>
      </c>
      <c r="D423" s="43" t="str">
        <f>IFERROR(__xludf.DUMMYFUNCTION("""COMPUTED_VALUE"""),"Buenos Aires")</f>
        <v>Buenos Aires</v>
      </c>
      <c r="E423" s="45" t="str">
        <f>IFERROR(__xludf.DUMMYFUNCTION("""COMPUTED_VALUE"""),"ARG")</f>
        <v>ARG</v>
      </c>
      <c r="F423" s="45">
        <f>IFERROR(__xludf.DUMMYFUNCTION("""COMPUTED_VALUE"""),1.3995051E7)</f>
        <v>13995051</v>
      </c>
      <c r="G423" s="44">
        <f>IFERROR(__xludf.DUMMYFUNCTION("""COMPUTED_VALUE"""),21942.0)</f>
        <v>21942</v>
      </c>
      <c r="H423" s="45">
        <f>IFERROR(__xludf.DUMMYFUNCTION("""COMPUTED_VALUE"""),1.150222553E9)</f>
        <v>1150222553</v>
      </c>
      <c r="I423" s="45">
        <f>IFERROR(__xludf.DUMMYFUNCTION("""COMPUTED_VALUE"""),1.155266231E9)</f>
        <v>1155266231</v>
      </c>
      <c r="J423" s="45" t="str">
        <f>IFERROR(__xludf.DUMMYFUNCTION("""COMPUTED_VALUE"""),"alejandro.m.colombo@gmail.com")</f>
        <v>alejandro.m.colombo@gmail.com</v>
      </c>
      <c r="K423" s="45" t="str">
        <f>IFERROR(__xludf.DUMMYFUNCTION("""COMPUTED_VALUE"""),"Masculino")</f>
        <v>Masculino</v>
      </c>
      <c r="L423" s="45" t="str">
        <f>IFERROR(__xludf.DUMMYFUNCTION("""COMPUTED_VALUE"""),"CVSI")</f>
        <v>CVSI</v>
      </c>
      <c r="M423" s="45"/>
      <c r="N423" s="45" t="str">
        <f>IFERROR(__xludf.DUMMYFUNCTION("""COMPUTED_VALUE"""),"F 18")</f>
        <v>F 18</v>
      </c>
      <c r="O423" s="7"/>
      <c r="P423" s="7">
        <f>IFERROR(__xludf.DUMMYFUNCTION("""COMPUTED_VALUE"""),1062.0)</f>
        <v>1062</v>
      </c>
      <c r="Q423" s="45"/>
      <c r="R423" s="45" t="str">
        <f>IFERROR(__xludf.DUMMYFUNCTION("""COMPUTED_VALUE"""),"Santiago Sotomayor")</f>
        <v>Santiago Sotomayor</v>
      </c>
      <c r="S423" s="45"/>
      <c r="T423" s="45"/>
      <c r="U423" s="45"/>
      <c r="V423" s="45"/>
      <c r="W423" s="45"/>
      <c r="X423" s="47" t="str">
        <f>IFERROR(__xludf.DUMMYFUNCTION("""COMPUTED_VALUE"""),"OSDE 60874747701")</f>
        <v>OSDE 60874747701</v>
      </c>
      <c r="Y423" s="45" t="str">
        <f>IFERROR(__xludf.DUMMYFUNCTION("""COMPUTED_VALUE"""),"No")</f>
        <v>No</v>
      </c>
      <c r="Z423" s="45" t="str">
        <f>IFERROR(__xludf.DUMMYFUNCTION("""COMPUTED_VALUE"""),"Acepto")</f>
        <v>Acepto</v>
      </c>
      <c r="AA423" s="45" t="str">
        <f>IFERROR(__xludf.DUMMYFUNCTION("""COMPUTED_VALUE"""),"Pendiente")</f>
        <v>Pendiente</v>
      </c>
      <c r="AB423" s="45"/>
      <c r="AC423" s="7"/>
      <c r="AD423" s="7"/>
      <c r="AE423" s="7" t="str">
        <f>IFERROR(__xludf.DUMMYFUNCTION("""COMPUTED_VALUE"""),"No Corresp")</f>
        <v>No Corresp</v>
      </c>
      <c r="AF423" s="45"/>
    </row>
    <row r="424">
      <c r="A424" s="42">
        <f>IFERROR(__xludf.DUMMYFUNCTION("""COMPUTED_VALUE"""),45545.632140671296)</f>
        <v>45545.63214</v>
      </c>
      <c r="B424" s="43" t="str">
        <f>IFERROR(__xludf.DUMMYFUNCTION("""COMPUTED_VALUE"""),"Cruz")</f>
        <v>Cruz</v>
      </c>
      <c r="C424" s="43" t="str">
        <f>IFERROR(__xludf.DUMMYFUNCTION("""COMPUTED_VALUE"""),"Gonzalez Smith")</f>
        <v>Gonzalez Smith</v>
      </c>
      <c r="D424" s="43" t="str">
        <f>IFERROR(__xludf.DUMMYFUNCTION("""COMPUTED_VALUE"""),"Vicente Lopez")</f>
        <v>Vicente Lopez</v>
      </c>
      <c r="E424" s="45" t="str">
        <f>IFERROR(__xludf.DUMMYFUNCTION("""COMPUTED_VALUE"""),"ARG")</f>
        <v>ARG</v>
      </c>
      <c r="F424" s="45">
        <f>IFERROR(__xludf.DUMMYFUNCTION("""COMPUTED_VALUE"""),2.4892642E7)</f>
        <v>24892642</v>
      </c>
      <c r="G424" s="44">
        <f>IFERROR(__xludf.DUMMYFUNCTION("""COMPUTED_VALUE"""),27733.0)</f>
        <v>27733</v>
      </c>
      <c r="H424" s="45">
        <f>IFERROR(__xludf.DUMMYFUNCTION("""COMPUTED_VALUE"""),1.149353764E9)</f>
        <v>1149353764</v>
      </c>
      <c r="I424" s="45">
        <f>IFERROR(__xludf.DUMMYFUNCTION("""COMPUTED_VALUE"""),1.136979873E9)</f>
        <v>1136979873</v>
      </c>
      <c r="J424" s="45" t="str">
        <f>IFERROR(__xludf.DUMMYFUNCTION("""COMPUTED_VALUE"""),"cruzgsmith@gmail.com")</f>
        <v>cruzgsmith@gmail.com</v>
      </c>
      <c r="K424" s="45" t="str">
        <f>IFERROR(__xludf.DUMMYFUNCTION("""COMPUTED_VALUE"""),"Masculino")</f>
        <v>Masculino</v>
      </c>
      <c r="L424" s="45" t="str">
        <f>IFERROR(__xludf.DUMMYFUNCTION("""COMPUTED_VALUE"""),"YCA")</f>
        <v>YCA</v>
      </c>
      <c r="M424" s="45" t="str">
        <f>IFERROR(__xludf.DUMMYFUNCTION("""COMPUTED_VALUE"""),"F18")</f>
        <v>F18</v>
      </c>
      <c r="N424" s="45" t="str">
        <f>IFERROR(__xludf.DUMMYFUNCTION("""COMPUTED_VALUE"""),"F 18")</f>
        <v>F 18</v>
      </c>
      <c r="O424" s="7"/>
      <c r="P424" s="7" t="str">
        <f>IFERROR(__xludf.DUMMYFUNCTION("""COMPUTED_VALUE"""),"AUS05")</f>
        <v>AUS05</v>
      </c>
      <c r="Q424" s="45" t="str">
        <f>IFERROR(__xludf.DUMMYFUNCTION("""COMPUTED_VALUE"""),"CRAZY CHICKEN")</f>
        <v>CRAZY CHICKEN</v>
      </c>
      <c r="R424" s="45" t="str">
        <f>IFERROR(__xludf.DUMMYFUNCTION("""COMPUTED_VALUE"""),"Mariano Heuser")</f>
        <v>Mariano Heuser</v>
      </c>
      <c r="S424" s="45"/>
      <c r="T424" s="45"/>
      <c r="U424" s="45"/>
      <c r="V424" s="45"/>
      <c r="W424" s="45"/>
      <c r="X424" s="47"/>
      <c r="Y424" s="45" t="str">
        <f>IFERROR(__xludf.DUMMYFUNCTION("""COMPUTED_VALUE"""),"Si")</f>
        <v>Si</v>
      </c>
      <c r="Z424" s="45" t="str">
        <f>IFERROR(__xludf.DUMMYFUNCTION("""COMPUTED_VALUE"""),"Acepto")</f>
        <v>Acepto</v>
      </c>
      <c r="AA424" s="45" t="str">
        <f>IFERROR(__xludf.DUMMYFUNCTION("""COMPUTED_VALUE"""),"Terminado")</f>
        <v>Terminado</v>
      </c>
      <c r="AB424" s="45">
        <f>IFERROR(__xludf.DUMMYFUNCTION("""COMPUTED_VALUE"""),60000.0)</f>
        <v>60000</v>
      </c>
      <c r="AC424" s="7">
        <f>IFERROR(__xludf.DUMMYFUNCTION("""COMPUTED_VALUE"""),205651.0)</f>
        <v>205651</v>
      </c>
      <c r="AD424" s="7" t="str">
        <f>IFERROR(__xludf.DUMMYFUNCTION("""COMPUTED_VALUE"""),"TRF 10-09")</f>
        <v>TRF 10-09</v>
      </c>
      <c r="AE424" s="7" t="str">
        <f>IFERROR(__xludf.DUMMYFUNCTION("""COMPUTED_VALUE"""),"No Corresp")</f>
        <v>No Corresp</v>
      </c>
      <c r="AF424" s="45"/>
    </row>
    <row r="425">
      <c r="A425" s="42">
        <f>IFERROR(__xludf.DUMMYFUNCTION("""COMPUTED_VALUE"""),45545.70399340278)</f>
        <v>45545.70399</v>
      </c>
      <c r="B425" s="43" t="str">
        <f>IFERROR(__xludf.DUMMYFUNCTION("""COMPUTED_VALUE"""),"Juana")</f>
        <v>Juana</v>
      </c>
      <c r="C425" s="43" t="str">
        <f>IFERROR(__xludf.DUMMYFUNCTION("""COMPUTED_VALUE"""),"Maldonado")</f>
        <v>Maldonado</v>
      </c>
      <c r="D425" s="43" t="str">
        <f>IFERROR(__xludf.DUMMYFUNCTION("""COMPUTED_VALUE"""),"San Fernando")</f>
        <v>San Fernando</v>
      </c>
      <c r="E425" s="45" t="str">
        <f>IFERROR(__xludf.DUMMYFUNCTION("""COMPUTED_VALUE"""),"ARG")</f>
        <v>ARG</v>
      </c>
      <c r="F425" s="45">
        <f>IFERROR(__xludf.DUMMYFUNCTION("""COMPUTED_VALUE"""),5.4055425E7)</f>
        <v>54055425</v>
      </c>
      <c r="G425" s="44">
        <f>IFERROR(__xludf.DUMMYFUNCTION("""COMPUTED_VALUE"""),41765.0)</f>
        <v>41765</v>
      </c>
      <c r="H425" s="45">
        <f>IFERROR(__xludf.DUMMYFUNCTION("""COMPUTED_VALUE"""),1.134014525E9)</f>
        <v>1134014525</v>
      </c>
      <c r="I425" s="45">
        <f>IFERROR(__xludf.DUMMYFUNCTION("""COMPUTED_VALUE"""),1.134014521E9)</f>
        <v>1134014521</v>
      </c>
      <c r="J425" s="45" t="str">
        <f>IFERROR(__xludf.DUMMYFUNCTION("""COMPUTED_VALUE"""),"amaldonado_prepol@gmail.com.ar")</f>
        <v>amaldonado_prepol@gmail.com.ar</v>
      </c>
      <c r="K425" s="45" t="str">
        <f>IFERROR(__xludf.DUMMYFUNCTION("""COMPUTED_VALUE"""),"Femenino")</f>
        <v>Femenino</v>
      </c>
      <c r="L425" s="45" t="str">
        <f>IFERROR(__xludf.DUMMYFUNCTION("""COMPUTED_VALUE"""),"CVB")</f>
        <v>CVB</v>
      </c>
      <c r="M425" s="45" t="str">
        <f>IFERROR(__xludf.DUMMYFUNCTION("""COMPUTED_VALUE"""),"Femenino")</f>
        <v>Femenino</v>
      </c>
      <c r="N425" s="45" t="str">
        <f>IFERROR(__xludf.DUMMYFUNCTION("""COMPUTED_VALUE"""),"OPTIMIST PRINCIPIANTES")</f>
        <v>OPTIMIST PRINCIPIANTES</v>
      </c>
      <c r="O425" s="7"/>
      <c r="P425" s="7">
        <f>IFERROR(__xludf.DUMMYFUNCTION("""COMPUTED_VALUE"""),13676.0)</f>
        <v>13676</v>
      </c>
      <c r="Q425" s="45"/>
      <c r="R425" s="45"/>
      <c r="S425" s="45"/>
      <c r="T425" s="45"/>
      <c r="U425" s="45"/>
      <c r="V425" s="45"/>
      <c r="W425" s="45"/>
      <c r="X425" s="47" t="str">
        <f>IFERROR(__xludf.DUMMYFUNCTION("""COMPUTED_VALUE"""),"Medicus")</f>
        <v>Medicus</v>
      </c>
      <c r="Y425" s="45" t="str">
        <f>IFERROR(__xludf.DUMMYFUNCTION("""COMPUTED_VALUE"""),"Si")</f>
        <v>Si</v>
      </c>
      <c r="Z425" s="45" t="str">
        <f>IFERROR(__xludf.DUMMYFUNCTION("""COMPUTED_VALUE"""),"Acepto")</f>
        <v>Acepto</v>
      </c>
      <c r="AA425" s="45" t="str">
        <f>IFERROR(__xludf.DUMMYFUNCTION("""COMPUTED_VALUE"""),"Terminado")</f>
        <v>Terminado</v>
      </c>
      <c r="AB425" s="45">
        <f>IFERROR(__xludf.DUMMYFUNCTION("""COMPUTED_VALUE"""),50000.0)</f>
        <v>50000</v>
      </c>
      <c r="AC425" s="7">
        <f>IFERROR(__xludf.DUMMYFUNCTION("""COMPUTED_VALUE"""),205664.0)</f>
        <v>205664</v>
      </c>
      <c r="AD425" s="7" t="str">
        <f>IFERROR(__xludf.DUMMYFUNCTION("""COMPUTED_VALUE"""),"TRF 10-09")</f>
        <v>TRF 10-09</v>
      </c>
      <c r="AE425" s="7" t="str">
        <f>IFERROR(__xludf.DUMMYFUNCTION("""COMPUTED_VALUE"""),"OK")</f>
        <v>OK</v>
      </c>
      <c r="AF425" s="45" t="str">
        <f>IFERROR(__xludf.DUMMYFUNCTION("""COMPUTED_VALUE"""),"SI")</f>
        <v>SI</v>
      </c>
    </row>
    <row r="426">
      <c r="A426" s="42">
        <f>IFERROR(__xludf.DUMMYFUNCTION("""COMPUTED_VALUE"""),45545.74603722223)</f>
        <v>45545.74604</v>
      </c>
      <c r="B426" s="43" t="str">
        <f>IFERROR(__xludf.DUMMYFUNCTION("""COMPUTED_VALUE"""),"Emilia")</f>
        <v>Emilia</v>
      </c>
      <c r="C426" s="43" t="str">
        <f>IFERROR(__xludf.DUMMYFUNCTION("""COMPUTED_VALUE"""),"Iribarne ")</f>
        <v>Iribarne </v>
      </c>
      <c r="D426" s="43" t="str">
        <f>IFERROR(__xludf.DUMMYFUNCTION("""COMPUTED_VALUE"""),"Bahia Blanca")</f>
        <v>Bahia Blanca</v>
      </c>
      <c r="E426" s="45" t="str">
        <f>IFERROR(__xludf.DUMMYFUNCTION("""COMPUTED_VALUE"""),"ARG")</f>
        <v>ARG</v>
      </c>
      <c r="F426" s="45">
        <f>IFERROR(__xludf.DUMMYFUNCTION("""COMPUTED_VALUE"""),5.2784897E7)</f>
        <v>52784897</v>
      </c>
      <c r="G426" s="44">
        <f>IFERROR(__xludf.DUMMYFUNCTION("""COMPUTED_VALUE"""),41198.0)</f>
        <v>41198</v>
      </c>
      <c r="H426" s="45">
        <f>IFERROR(__xludf.DUMMYFUNCTION("""COMPUTED_VALUE"""),2.91418476E9)</f>
        <v>2914184760</v>
      </c>
      <c r="I426" s="45">
        <f>IFERROR(__xludf.DUMMYFUNCTION("""COMPUTED_VALUE"""),2.91418476E9)</f>
        <v>2914184760</v>
      </c>
      <c r="J426" s="45" t="str">
        <f>IFERROR(__xludf.DUMMYFUNCTION("""COMPUTED_VALUE"""),"isamanuela84@gmail.com")</f>
        <v>isamanuela84@gmail.com</v>
      </c>
      <c r="K426" s="45" t="str">
        <f>IFERROR(__xludf.DUMMYFUNCTION("""COMPUTED_VALUE"""),"Femenino")</f>
        <v>Femenino</v>
      </c>
      <c r="L426" s="45" t="str">
        <f>IFERROR(__xludf.DUMMYFUNCTION("""COMPUTED_VALUE"""),"CNBB")</f>
        <v>CNBB</v>
      </c>
      <c r="M426" s="45" t="str">
        <f>IFERROR(__xludf.DUMMYFUNCTION("""COMPUTED_VALUE"""),"Interior (Optimist)")</f>
        <v>Interior (Optimist)</v>
      </c>
      <c r="N426" s="45" t="str">
        <f>IFERROR(__xludf.DUMMYFUNCTION("""COMPUTED_VALUE"""),"OPTIMIST PRINCIPIANTES")</f>
        <v>OPTIMIST PRINCIPIANTES</v>
      </c>
      <c r="O426" s="7"/>
      <c r="P426" s="7">
        <f>IFERROR(__xludf.DUMMYFUNCTION("""COMPUTED_VALUE"""),3809.0)</f>
        <v>3809</v>
      </c>
      <c r="Q426" s="45" t="str">
        <f>IFERROR(__xludf.DUMMYFUNCTION("""COMPUTED_VALUE"""),"Aupa")</f>
        <v>Aupa</v>
      </c>
      <c r="R426" s="45"/>
      <c r="S426" s="45"/>
      <c r="T426" s="45"/>
      <c r="U426" s="45"/>
      <c r="V426" s="45"/>
      <c r="W426" s="45"/>
      <c r="X426" s="47" t="str">
        <f>IFERROR(__xludf.DUMMYFUNCTION("""COMPUTED_VALUE"""),"Federada Salud")</f>
        <v>Federada Salud</v>
      </c>
      <c r="Y426" s="45" t="str">
        <f>IFERROR(__xludf.DUMMYFUNCTION("""COMPUTED_VALUE"""),"Si")</f>
        <v>Si</v>
      </c>
      <c r="Z426" s="45" t="str">
        <f>IFERROR(__xludf.DUMMYFUNCTION("""COMPUTED_VALUE"""),"Acepto")</f>
        <v>Acepto</v>
      </c>
      <c r="AA426" s="45" t="str">
        <f>IFERROR(__xludf.DUMMYFUNCTION("""COMPUTED_VALUE"""),"Terminado")</f>
        <v>Terminado</v>
      </c>
      <c r="AB426" s="45">
        <f>IFERROR(__xludf.DUMMYFUNCTION("""COMPUTED_VALUE"""),42500.0)</f>
        <v>42500</v>
      </c>
      <c r="AC426" s="7">
        <f>IFERROR(__xludf.DUMMYFUNCTION("""COMPUTED_VALUE"""),205655.0)</f>
        <v>205655</v>
      </c>
      <c r="AD426" s="7" t="str">
        <f>IFERROR(__xludf.DUMMYFUNCTION("""COMPUTED_VALUE"""),"TRF 10-09")</f>
        <v>TRF 10-09</v>
      </c>
      <c r="AE426" s="7" t="str">
        <f>IFERROR(__xludf.DUMMYFUNCTION("""COMPUTED_VALUE"""),"OK")</f>
        <v>OK</v>
      </c>
      <c r="AF426" s="45"/>
    </row>
    <row r="427">
      <c r="A427" s="42">
        <f>IFERROR(__xludf.DUMMYFUNCTION("""COMPUTED_VALUE"""),45545.75832405093)</f>
        <v>45545.75832</v>
      </c>
      <c r="B427" s="43" t="str">
        <f>IFERROR(__xludf.DUMMYFUNCTION("""COMPUTED_VALUE"""),"Lucas")</f>
        <v>Lucas</v>
      </c>
      <c r="C427" s="43" t="str">
        <f>IFERROR(__xludf.DUMMYFUNCTION("""COMPUTED_VALUE"""),"Fagnani")</f>
        <v>Fagnani</v>
      </c>
      <c r="D427" s="43" t="str">
        <f>IFERROR(__xludf.DUMMYFUNCTION("""COMPUTED_VALUE"""),"General San Martín ")</f>
        <v>General San Martín </v>
      </c>
      <c r="E427" s="45" t="str">
        <f>IFERROR(__xludf.DUMMYFUNCTION("""COMPUTED_VALUE"""),"ARG")</f>
        <v>ARG</v>
      </c>
      <c r="F427" s="45">
        <f>IFERROR(__xludf.DUMMYFUNCTION("""COMPUTED_VALUE"""),3.0654303E7)</f>
        <v>30654303</v>
      </c>
      <c r="G427" s="44">
        <f>IFERROR(__xludf.DUMMYFUNCTION("""COMPUTED_VALUE"""),30668.0)</f>
        <v>30668</v>
      </c>
      <c r="H427" s="45">
        <f>IFERROR(__xludf.DUMMYFUNCTION("""COMPUTED_VALUE"""),1.157450073E9)</f>
        <v>1157450073</v>
      </c>
      <c r="I427" s="45">
        <f>IFERROR(__xludf.DUMMYFUNCTION("""COMPUTED_VALUE"""),1.166719827E9)</f>
        <v>1166719827</v>
      </c>
      <c r="J427" s="45" t="str">
        <f>IFERROR(__xludf.DUMMYFUNCTION("""COMPUTED_VALUE"""),"fagnanilucas@hotmail.com")</f>
        <v>fagnanilucas@hotmail.com</v>
      </c>
      <c r="K427" s="45" t="str">
        <f>IFERROR(__xludf.DUMMYFUNCTION("""COMPUTED_VALUE"""),"Masculino")</f>
        <v>Masculino</v>
      </c>
      <c r="L427" s="45" t="str">
        <f>IFERROR(__xludf.DUMMYFUNCTION("""COMPUTED_VALUE"""),"YCO - YCSI")</f>
        <v>YCO - YCSI</v>
      </c>
      <c r="M427" s="45" t="str">
        <f>IFERROR(__xludf.DUMMYFUNCTION("""COMPUTED_VALUE"""),"Master (ILCA)")</f>
        <v>Master (ILCA)</v>
      </c>
      <c r="N427" s="45" t="str">
        <f>IFERROR(__xludf.DUMMYFUNCTION("""COMPUTED_VALUE"""),"ILCA 7")</f>
        <v>ILCA 7</v>
      </c>
      <c r="O427" s="7"/>
      <c r="P427" s="7">
        <f>IFERROR(__xludf.DUMMYFUNCTION("""COMPUTED_VALUE"""),202581.0)</f>
        <v>202581</v>
      </c>
      <c r="Q427" s="45" t="str">
        <f>IFERROR(__xludf.DUMMYFUNCTION("""COMPUTED_VALUE"""),"-")</f>
        <v>-</v>
      </c>
      <c r="R427" s="45"/>
      <c r="S427" s="45"/>
      <c r="T427" s="45"/>
      <c r="U427" s="45"/>
      <c r="V427" s="45"/>
      <c r="W427" s="45"/>
      <c r="X427" s="47" t="str">
        <f>IFERROR(__xludf.DUMMYFUNCTION("""COMPUTED_VALUE"""),"Swiss Medical")</f>
        <v>Swiss Medical</v>
      </c>
      <c r="Y427" s="45" t="str">
        <f>IFERROR(__xludf.DUMMYFUNCTION("""COMPUTED_VALUE"""),"Si")</f>
        <v>Si</v>
      </c>
      <c r="Z427" s="45" t="str">
        <f>IFERROR(__xludf.DUMMYFUNCTION("""COMPUTED_VALUE"""),"Acepto")</f>
        <v>Acepto</v>
      </c>
      <c r="AA427" s="45" t="str">
        <f>IFERROR(__xludf.DUMMYFUNCTION("""COMPUTED_VALUE"""),"Terminado")</f>
        <v>Terminado</v>
      </c>
      <c r="AB427" s="45">
        <f>IFERROR(__xludf.DUMMYFUNCTION("""COMPUTED_VALUE"""),45000.0)</f>
        <v>45000</v>
      </c>
      <c r="AC427" s="7">
        <f>IFERROR(__xludf.DUMMYFUNCTION("""COMPUTED_VALUE"""),205656.0)</f>
        <v>205656</v>
      </c>
      <c r="AD427" s="7" t="str">
        <f>IFERROR(__xludf.DUMMYFUNCTION("""COMPUTED_VALUE"""),"TRF 10-09")</f>
        <v>TRF 10-09</v>
      </c>
      <c r="AE427" s="7" t="str">
        <f>IFERROR(__xludf.DUMMYFUNCTION("""COMPUTED_VALUE"""),"No Corresp")</f>
        <v>No Corresp</v>
      </c>
      <c r="AF427" s="45"/>
    </row>
    <row r="428">
      <c r="A428" s="42">
        <f>IFERROR(__xludf.DUMMYFUNCTION("""COMPUTED_VALUE"""),45545.77545645833)</f>
        <v>45545.77546</v>
      </c>
      <c r="B428" s="43" t="str">
        <f>IFERROR(__xludf.DUMMYFUNCTION("""COMPUTED_VALUE"""),"Thiago ")</f>
        <v>Thiago </v>
      </c>
      <c r="C428" s="43" t="str">
        <f>IFERROR(__xludf.DUMMYFUNCTION("""COMPUTED_VALUE"""),"Lueg ")</f>
        <v>Lueg </v>
      </c>
      <c r="D428" s="43" t="str">
        <f>IFERROR(__xludf.DUMMYFUNCTION("""COMPUTED_VALUE"""),"Buenos Aires ")</f>
        <v>Buenos Aires </v>
      </c>
      <c r="E428" s="45" t="str">
        <f>IFERROR(__xludf.DUMMYFUNCTION("""COMPUTED_VALUE"""),"ARG")</f>
        <v>ARG</v>
      </c>
      <c r="F428" s="45">
        <f>IFERROR(__xludf.DUMMYFUNCTION("""COMPUTED_VALUE"""),4.9825462E7)</f>
        <v>49825462</v>
      </c>
      <c r="G428" s="44">
        <f>IFERROR(__xludf.DUMMYFUNCTION("""COMPUTED_VALUE"""),40539.0)</f>
        <v>40539</v>
      </c>
      <c r="H428" s="45">
        <f>IFERROR(__xludf.DUMMYFUNCTION("""COMPUTED_VALUE"""),1.524973959E9)</f>
        <v>1524973959</v>
      </c>
      <c r="I428" s="45">
        <f>IFERROR(__xludf.DUMMYFUNCTION("""COMPUTED_VALUE"""),1.130107759E9)</f>
        <v>1130107759</v>
      </c>
      <c r="J428" s="45" t="str">
        <f>IFERROR(__xludf.DUMMYFUNCTION("""COMPUTED_VALUE"""),"luegstiftung@yahoo.com.ar")</f>
        <v>luegstiftung@yahoo.com.ar</v>
      </c>
      <c r="K428" s="45" t="str">
        <f>IFERROR(__xludf.DUMMYFUNCTION("""COMPUTED_VALUE"""),"Masculino")</f>
        <v>Masculino</v>
      </c>
      <c r="L428" s="45" t="str">
        <f>IFERROR(__xludf.DUMMYFUNCTION("""COMPUTED_VALUE"""),"Cnsi ")</f>
        <v>Cnsi </v>
      </c>
      <c r="M428" s="45"/>
      <c r="N428" s="45" t="str">
        <f>IFERROR(__xludf.DUMMYFUNCTION("""COMPUTED_VALUE"""),"OPTIMIST TIMONELES")</f>
        <v>OPTIMIST TIMONELES</v>
      </c>
      <c r="O428" s="7"/>
      <c r="P428" s="7">
        <f>IFERROR(__xludf.DUMMYFUNCTION("""COMPUTED_VALUE"""),3981.0)</f>
        <v>3981</v>
      </c>
      <c r="Q428" s="45" t="str">
        <f>IFERROR(__xludf.DUMMYFUNCTION("""COMPUTED_VALUE"""),"Tornado ")</f>
        <v>Tornado </v>
      </c>
      <c r="R428" s="45"/>
      <c r="S428" s="45"/>
      <c r="T428" s="45"/>
      <c r="U428" s="45"/>
      <c r="V428" s="45"/>
      <c r="W428" s="45"/>
      <c r="X428" s="47">
        <f>IFERROR(__xludf.DUMMYFUNCTION("""COMPUTED_VALUE"""),6.1129936305E10)</f>
        <v>61129936305</v>
      </c>
      <c r="Y428" s="45" t="str">
        <f>IFERROR(__xludf.DUMMYFUNCTION("""COMPUTED_VALUE"""),"Si")</f>
        <v>Si</v>
      </c>
      <c r="Z428" s="45" t="str">
        <f>IFERROR(__xludf.DUMMYFUNCTION("""COMPUTED_VALUE"""),"Acepto")</f>
        <v>Acepto</v>
      </c>
      <c r="AA428" s="45" t="str">
        <f>IFERROR(__xludf.DUMMYFUNCTION("""COMPUTED_VALUE"""),"Terminado")</f>
        <v>Terminado</v>
      </c>
      <c r="AB428" s="45">
        <f>IFERROR(__xludf.DUMMYFUNCTION("""COMPUTED_VALUE"""),50000.0)</f>
        <v>50000</v>
      </c>
      <c r="AC428" s="7">
        <f>IFERROR(__xludf.DUMMYFUNCTION("""COMPUTED_VALUE"""),205665.0)</f>
        <v>205665</v>
      </c>
      <c r="AD428" s="7" t="str">
        <f>IFERROR(__xludf.DUMMYFUNCTION("""COMPUTED_VALUE"""),"TRF 10-09")</f>
        <v>TRF 10-09</v>
      </c>
      <c r="AE428" s="7" t="str">
        <f>IFERROR(__xludf.DUMMYFUNCTION("""COMPUTED_VALUE"""),"OK")</f>
        <v>OK</v>
      </c>
      <c r="AF428" s="45"/>
    </row>
    <row r="429">
      <c r="A429" s="42">
        <f>IFERROR(__xludf.DUMMYFUNCTION("""COMPUTED_VALUE"""),45545.800053750005)</f>
        <v>45545.80005</v>
      </c>
      <c r="B429" s="43" t="str">
        <f>IFERROR(__xludf.DUMMYFUNCTION("""COMPUTED_VALUE"""),"isabel ")</f>
        <v>isabel </v>
      </c>
      <c r="C429" s="43" t="str">
        <f>IFERROR(__xludf.DUMMYFUNCTION("""COMPUTED_VALUE"""),"caranti")</f>
        <v>caranti</v>
      </c>
      <c r="D429" s="43" t="str">
        <f>IFERROR(__xludf.DUMMYFUNCTION("""COMPUTED_VALUE"""),"caba")</f>
        <v>caba</v>
      </c>
      <c r="E429" s="45" t="str">
        <f>IFERROR(__xludf.DUMMYFUNCTION("""COMPUTED_VALUE"""),"ARG")</f>
        <v>ARG</v>
      </c>
      <c r="F429" s="45">
        <f>IFERROR(__xludf.DUMMYFUNCTION("""COMPUTED_VALUE"""),5.2164372E7)</f>
        <v>52164372</v>
      </c>
      <c r="G429" s="44">
        <f>IFERROR(__xludf.DUMMYFUNCTION("""COMPUTED_VALUE"""),40962.0)</f>
        <v>40962</v>
      </c>
      <c r="H429" s="45">
        <f>IFERROR(__xludf.DUMMYFUNCTION("""COMPUTED_VALUE"""),1.132320706E9)</f>
        <v>1132320706</v>
      </c>
      <c r="I429" s="45">
        <f>IFERROR(__xludf.DUMMYFUNCTION("""COMPUTED_VALUE"""),1.132320706E9)</f>
        <v>1132320706</v>
      </c>
      <c r="J429" s="45" t="str">
        <f>IFERROR(__xludf.DUMMYFUNCTION("""COMPUTED_VALUE"""),"carantiisabel@gmail.com")</f>
        <v>carantiisabel@gmail.com</v>
      </c>
      <c r="K429" s="45" t="str">
        <f>IFERROR(__xludf.DUMMYFUNCTION("""COMPUTED_VALUE"""),"Femenino")</f>
        <v>Femenino</v>
      </c>
      <c r="L429" s="45" t="str">
        <f>IFERROR(__xludf.DUMMYFUNCTION("""COMPUTED_VALUE"""),"cnsi")</f>
        <v>cnsi</v>
      </c>
      <c r="M429" s="45" t="str">
        <f>IFERROR(__xludf.DUMMYFUNCTION("""COMPUTED_VALUE"""),"Femenino")</f>
        <v>Femenino</v>
      </c>
      <c r="N429" s="45" t="str">
        <f>IFERROR(__xludf.DUMMYFUNCTION("""COMPUTED_VALUE"""),"OPTIMIST TIMONELES")</f>
        <v>OPTIMIST TIMONELES</v>
      </c>
      <c r="O429" s="7"/>
      <c r="P429" s="7">
        <f>IFERROR(__xludf.DUMMYFUNCTION("""COMPUTED_VALUE"""),3584.0)</f>
        <v>3584</v>
      </c>
      <c r="Q429" s="45"/>
      <c r="R429" s="45"/>
      <c r="S429" s="45"/>
      <c r="T429" s="45"/>
      <c r="U429" s="45"/>
      <c r="V429" s="45"/>
      <c r="W429" s="45"/>
      <c r="X429" s="47" t="str">
        <f>IFERROR(__xludf.DUMMYFUNCTION("""COMPUTED_VALUE"""),"osde")</f>
        <v>osde</v>
      </c>
      <c r="Y429" s="45" t="str">
        <f>IFERROR(__xludf.DUMMYFUNCTION("""COMPUTED_VALUE"""),"Si")</f>
        <v>Si</v>
      </c>
      <c r="Z429" s="45" t="str">
        <f>IFERROR(__xludf.DUMMYFUNCTION("""COMPUTED_VALUE"""),"Acepto")</f>
        <v>Acepto</v>
      </c>
      <c r="AA429" s="45" t="str">
        <f>IFERROR(__xludf.DUMMYFUNCTION("""COMPUTED_VALUE"""),"Terminado")</f>
        <v>Terminado</v>
      </c>
      <c r="AB429" s="45">
        <f>IFERROR(__xludf.DUMMYFUNCTION("""COMPUTED_VALUE"""),50000.0)</f>
        <v>50000</v>
      </c>
      <c r="AC429" s="7">
        <f>IFERROR(__xludf.DUMMYFUNCTION("""COMPUTED_VALUE"""),205658.0)</f>
        <v>205658</v>
      </c>
      <c r="AD429" s="7" t="str">
        <f>IFERROR(__xludf.DUMMYFUNCTION("""COMPUTED_VALUE"""),"TRF 10-09")</f>
        <v>TRF 10-09</v>
      </c>
      <c r="AE429" s="7" t="str">
        <f>IFERROR(__xludf.DUMMYFUNCTION("""COMPUTED_VALUE"""),"OK")</f>
        <v>OK</v>
      </c>
      <c r="AF429" s="45"/>
    </row>
    <row r="430">
      <c r="A430" s="42">
        <f>IFERROR(__xludf.DUMMYFUNCTION("""COMPUTED_VALUE"""),45545.80259046296)</f>
        <v>45545.80259</v>
      </c>
      <c r="B430" s="43" t="str">
        <f>IFERROR(__xludf.DUMMYFUNCTION("""COMPUTED_VALUE"""),"alejandro")</f>
        <v>alejandro</v>
      </c>
      <c r="C430" s="43" t="str">
        <f>IFERROR(__xludf.DUMMYFUNCTION("""COMPUTED_VALUE"""),"caranti")</f>
        <v>caranti</v>
      </c>
      <c r="D430" s="43" t="str">
        <f>IFERROR(__xludf.DUMMYFUNCTION("""COMPUTED_VALUE"""),"caba")</f>
        <v>caba</v>
      </c>
      <c r="E430" s="45" t="str">
        <f>IFERROR(__xludf.DUMMYFUNCTION("""COMPUTED_VALUE"""),"ARG")</f>
        <v>ARG</v>
      </c>
      <c r="F430" s="45">
        <f>IFERROR(__xludf.DUMMYFUNCTION("""COMPUTED_VALUE"""),4.9192992E7)</f>
        <v>49192992</v>
      </c>
      <c r="G430" s="44">
        <f>IFERROR(__xludf.DUMMYFUNCTION("""COMPUTED_VALUE"""),39825.0)</f>
        <v>39825</v>
      </c>
      <c r="H430" s="45">
        <f>IFERROR(__xludf.DUMMYFUNCTION("""COMPUTED_VALUE"""),1.156404268E9)</f>
        <v>1156404268</v>
      </c>
      <c r="I430" s="45">
        <f>IFERROR(__xludf.DUMMYFUNCTION("""COMPUTED_VALUE"""),1.132320706E9)</f>
        <v>1132320706</v>
      </c>
      <c r="J430" s="45" t="str">
        <f>IFERROR(__xludf.DUMMYFUNCTION("""COMPUTED_VALUE"""),"alexcaranti09@gmail.com")</f>
        <v>alexcaranti09@gmail.com</v>
      </c>
      <c r="K430" s="45" t="str">
        <f>IFERROR(__xludf.DUMMYFUNCTION("""COMPUTED_VALUE"""),"Masculino")</f>
        <v>Masculino</v>
      </c>
      <c r="L430" s="45" t="str">
        <f>IFERROR(__xludf.DUMMYFUNCTION("""COMPUTED_VALUE"""),"cnsi")</f>
        <v>cnsi</v>
      </c>
      <c r="M430" s="45"/>
      <c r="N430" s="45" t="str">
        <f>IFERROR(__xludf.DUMMYFUNCTION("""COMPUTED_VALUE"""),"OPTIMIST TIMONELES")</f>
        <v>OPTIMIST TIMONELES</v>
      </c>
      <c r="O430" s="7"/>
      <c r="P430" s="7">
        <f>IFERROR(__xludf.DUMMYFUNCTION("""COMPUTED_VALUE"""),4117.0)</f>
        <v>4117</v>
      </c>
      <c r="Q430" s="45"/>
      <c r="R430" s="45"/>
      <c r="S430" s="45"/>
      <c r="T430" s="45"/>
      <c r="U430" s="45"/>
      <c r="V430" s="45"/>
      <c r="W430" s="45"/>
      <c r="X430" s="47" t="str">
        <f>IFERROR(__xludf.DUMMYFUNCTION("""COMPUTED_VALUE"""),"osde")</f>
        <v>osde</v>
      </c>
      <c r="Y430" s="45" t="str">
        <f>IFERROR(__xludf.DUMMYFUNCTION("""COMPUTED_VALUE"""),"Si")</f>
        <v>Si</v>
      </c>
      <c r="Z430" s="45" t="str">
        <f>IFERROR(__xludf.DUMMYFUNCTION("""COMPUTED_VALUE"""),"Acepto")</f>
        <v>Acepto</v>
      </c>
      <c r="AA430" s="45" t="str">
        <f>IFERROR(__xludf.DUMMYFUNCTION("""COMPUTED_VALUE"""),"Terminado")</f>
        <v>Terminado</v>
      </c>
      <c r="AB430" s="45">
        <f>IFERROR(__xludf.DUMMYFUNCTION("""COMPUTED_VALUE"""),50000.0)</f>
        <v>50000</v>
      </c>
      <c r="AC430" s="7">
        <f>IFERROR(__xludf.DUMMYFUNCTION("""COMPUTED_VALUE"""),205658.0)</f>
        <v>205658</v>
      </c>
      <c r="AD430" s="7" t="str">
        <f>IFERROR(__xludf.DUMMYFUNCTION("""COMPUTED_VALUE"""),"TRF 10-09")</f>
        <v>TRF 10-09</v>
      </c>
      <c r="AE430" s="7" t="str">
        <f>IFERROR(__xludf.DUMMYFUNCTION("""COMPUTED_VALUE"""),"OK")</f>
        <v>OK</v>
      </c>
      <c r="AF430" s="45"/>
    </row>
    <row r="431">
      <c r="A431" s="42">
        <f>IFERROR(__xludf.DUMMYFUNCTION("""COMPUTED_VALUE"""),45545.80706760417)</f>
        <v>45545.80707</v>
      </c>
      <c r="B431" s="43" t="str">
        <f>IFERROR(__xludf.DUMMYFUNCTION("""COMPUTED_VALUE"""),"Felipe")</f>
        <v>Felipe</v>
      </c>
      <c r="C431" s="43" t="str">
        <f>IFERROR(__xludf.DUMMYFUNCTION("""COMPUTED_VALUE"""),"Llauro")</f>
        <v>Llauro</v>
      </c>
      <c r="D431" s="43" t="str">
        <f>IFERROR(__xludf.DUMMYFUNCTION("""COMPUTED_VALUE"""),"Tigre")</f>
        <v>Tigre</v>
      </c>
      <c r="E431" s="45" t="str">
        <f>IFERROR(__xludf.DUMMYFUNCTION("""COMPUTED_VALUE"""),"ARG")</f>
        <v>ARG</v>
      </c>
      <c r="F431" s="45">
        <f>IFERROR(__xludf.DUMMYFUNCTION("""COMPUTED_VALUE"""),5.0701994E7)</f>
        <v>50701994</v>
      </c>
      <c r="G431" s="44">
        <f>IFERROR(__xludf.DUMMYFUNCTION("""COMPUTED_VALUE"""),40526.0)</f>
        <v>40526</v>
      </c>
      <c r="H431" s="45" t="str">
        <f>IFERROR(__xludf.DUMMYFUNCTION("""COMPUTED_VALUE"""),"‎‪+54 9 11 2656‑6469‬")</f>
        <v>‎‪+54 9 11 2656‑6469‬</v>
      </c>
      <c r="I431" s="45">
        <f>IFERROR(__xludf.DUMMYFUNCTION("""COMPUTED_VALUE"""),1.162200871E9)</f>
        <v>1162200871</v>
      </c>
      <c r="J431" s="45" t="str">
        <f>IFERROR(__xludf.DUMMYFUNCTION("""COMPUTED_VALUE"""),"Felipellauro@gmail.com")</f>
        <v>Felipellauro@gmail.com</v>
      </c>
      <c r="K431" s="45" t="str">
        <f>IFERROR(__xludf.DUMMYFUNCTION("""COMPUTED_VALUE"""),"Masculino")</f>
        <v>Masculino</v>
      </c>
      <c r="L431" s="45" t="str">
        <f>IFERROR(__xludf.DUMMYFUNCTION("""COMPUTED_VALUE"""),"CNSI")</f>
        <v>CNSI</v>
      </c>
      <c r="M431" s="45" t="str">
        <f>IFERROR(__xludf.DUMMYFUNCTION("""COMPUTED_VALUE"""),"Optimist ")</f>
        <v>Optimist </v>
      </c>
      <c r="N431" s="45" t="str">
        <f>IFERROR(__xludf.DUMMYFUNCTION("""COMPUTED_VALUE"""),"OPTIMIST TIMONELES")</f>
        <v>OPTIMIST TIMONELES</v>
      </c>
      <c r="O431" s="7"/>
      <c r="P431" s="7">
        <f>IFERROR(__xludf.DUMMYFUNCTION("""COMPUTED_VALUE"""),3534.0)</f>
        <v>3534</v>
      </c>
      <c r="Q431" s="45"/>
      <c r="R431" s="45"/>
      <c r="S431" s="45"/>
      <c r="T431" s="45"/>
      <c r="U431" s="45"/>
      <c r="V431" s="45"/>
      <c r="W431" s="45"/>
      <c r="X431" s="47" t="str">
        <f>IFERROR(__xludf.DUMMYFUNCTION("""COMPUTED_VALUE"""),"Osde 61022833003")</f>
        <v>Osde 61022833003</v>
      </c>
      <c r="Y431" s="45" t="str">
        <f>IFERROR(__xludf.DUMMYFUNCTION("""COMPUTED_VALUE"""),"Si")</f>
        <v>Si</v>
      </c>
      <c r="Z431" s="45" t="str">
        <f>IFERROR(__xludf.DUMMYFUNCTION("""COMPUTED_VALUE"""),"Acepto")</f>
        <v>Acepto</v>
      </c>
      <c r="AA431" s="45" t="str">
        <f>IFERROR(__xludf.DUMMYFUNCTION("""COMPUTED_VALUE"""),"Terminado")</f>
        <v>Terminado</v>
      </c>
      <c r="AB431" s="45">
        <f>IFERROR(__xludf.DUMMYFUNCTION("""COMPUTED_VALUE"""),50000.0)</f>
        <v>50000</v>
      </c>
      <c r="AC431" s="7">
        <f>IFERROR(__xludf.DUMMYFUNCTION("""COMPUTED_VALUE"""),205666.0)</f>
        <v>205666</v>
      </c>
      <c r="AD431" s="7" t="str">
        <f>IFERROR(__xludf.DUMMYFUNCTION("""COMPUTED_VALUE"""),"TRF 10-09")</f>
        <v>TRF 10-09</v>
      </c>
      <c r="AE431" s="7" t="str">
        <f>IFERROR(__xludf.DUMMYFUNCTION("""COMPUTED_VALUE"""),"OK")</f>
        <v>OK</v>
      </c>
      <c r="AF431" s="45"/>
    </row>
    <row r="432">
      <c r="A432" s="42">
        <f>IFERROR(__xludf.DUMMYFUNCTION("""COMPUTED_VALUE"""),45545.818980104166)</f>
        <v>45545.81898</v>
      </c>
      <c r="B432" s="43" t="str">
        <f>IFERROR(__xludf.DUMMYFUNCTION("""COMPUTED_VALUE"""),"Nicolás augusto")</f>
        <v>Nicolás augusto</v>
      </c>
      <c r="C432" s="43" t="str">
        <f>IFERROR(__xludf.DUMMYFUNCTION("""COMPUTED_VALUE"""),"Valor")</f>
        <v>Valor</v>
      </c>
      <c r="D432" s="43" t="str">
        <f>IFERROR(__xludf.DUMMYFUNCTION("""COMPUTED_VALUE"""),"La plata")</f>
        <v>La plata</v>
      </c>
      <c r="E432" s="45" t="str">
        <f>IFERROR(__xludf.DUMMYFUNCTION("""COMPUTED_VALUE"""),"ARG")</f>
        <v>ARG</v>
      </c>
      <c r="F432" s="45">
        <f>IFERROR(__xludf.DUMMYFUNCTION("""COMPUTED_VALUE"""),5.0244437E7)</f>
        <v>50244437</v>
      </c>
      <c r="G432" s="44">
        <f>IFERROR(__xludf.DUMMYFUNCTION("""COMPUTED_VALUE"""),40282.0)</f>
        <v>40282</v>
      </c>
      <c r="H432" s="45">
        <f>IFERROR(__xludf.DUMMYFUNCTION("""COMPUTED_VALUE"""),2.215060649E9)</f>
        <v>2215060649</v>
      </c>
      <c r="I432" s="45">
        <f>IFERROR(__xludf.DUMMYFUNCTION("""COMPUTED_VALUE"""),2.215055637E9)</f>
        <v>2215055637</v>
      </c>
      <c r="J432" s="45" t="str">
        <f>IFERROR(__xludf.DUMMYFUNCTION("""COMPUTED_VALUE"""),"marinabaldo71@gmail.com")</f>
        <v>marinabaldo71@gmail.com</v>
      </c>
      <c r="K432" s="45" t="str">
        <f>IFERROR(__xludf.DUMMYFUNCTION("""COMPUTED_VALUE"""),"Masculino")</f>
        <v>Masculino</v>
      </c>
      <c r="L432" s="45" t="str">
        <f>IFERROR(__xludf.DUMMYFUNCTION("""COMPUTED_VALUE"""),"CRLP")</f>
        <v>CRLP</v>
      </c>
      <c r="M432" s="45" t="str">
        <f>IFERROR(__xludf.DUMMYFUNCTION("""COMPUTED_VALUE"""),"Master (ILCA)")</f>
        <v>Master (ILCA)</v>
      </c>
      <c r="N432" s="45" t="str">
        <f>IFERROR(__xludf.DUMMYFUNCTION("""COMPUTED_VALUE"""),"ILCA 4")</f>
        <v>ILCA 4</v>
      </c>
      <c r="O432" s="7"/>
      <c r="P432" s="7">
        <f>IFERROR(__xludf.DUMMYFUNCTION("""COMPUTED_VALUE"""),223928.0)</f>
        <v>223928</v>
      </c>
      <c r="Q432" s="45"/>
      <c r="R432" s="45"/>
      <c r="S432" s="45"/>
      <c r="T432" s="45"/>
      <c r="U432" s="45"/>
      <c r="V432" s="45"/>
      <c r="W432" s="45"/>
      <c r="X432" s="47" t="str">
        <f>IFERROR(__xludf.DUMMYFUNCTION("""COMPUTED_VALUE"""),"Ioma/222229330303")</f>
        <v>Ioma/222229330303</v>
      </c>
      <c r="Y432" s="45" t="str">
        <f>IFERROR(__xludf.DUMMYFUNCTION("""COMPUTED_VALUE"""),"No")</f>
        <v>No</v>
      </c>
      <c r="Z432" s="45" t="str">
        <f>IFERROR(__xludf.DUMMYFUNCTION("""COMPUTED_VALUE"""),"Acepto")</f>
        <v>Acepto</v>
      </c>
      <c r="AA432" s="45" t="str">
        <f>IFERROR(__xludf.DUMMYFUNCTION("""COMPUTED_VALUE"""),"Terminado")</f>
        <v>Terminado</v>
      </c>
      <c r="AB432" s="45">
        <f>IFERROR(__xludf.DUMMYFUNCTION("""COMPUTED_VALUE"""),45000.0)</f>
        <v>45000</v>
      </c>
      <c r="AC432" s="7">
        <f>IFERROR(__xludf.DUMMYFUNCTION("""COMPUTED_VALUE"""),205657.0)</f>
        <v>205657</v>
      </c>
      <c r="AD432" s="7" t="str">
        <f>IFERROR(__xludf.DUMMYFUNCTION("""COMPUTED_VALUE"""),"TRF 10-09")</f>
        <v>TRF 10-09</v>
      </c>
      <c r="AE432" s="7" t="str">
        <f>IFERROR(__xludf.DUMMYFUNCTION("""COMPUTED_VALUE"""),"OK")</f>
        <v>OK</v>
      </c>
      <c r="AF432" s="45"/>
    </row>
    <row r="433">
      <c r="A433" s="42">
        <f>IFERROR(__xludf.DUMMYFUNCTION("""COMPUTED_VALUE"""),45545.83128375)</f>
        <v>45545.83128</v>
      </c>
      <c r="B433" s="43" t="str">
        <f>IFERROR(__xludf.DUMMYFUNCTION("""COMPUTED_VALUE"""),"Oscar ")</f>
        <v>Oscar </v>
      </c>
      <c r="C433" s="43" t="str">
        <f>IFERROR(__xludf.DUMMYFUNCTION("""COMPUTED_VALUE"""),"Montes ")</f>
        <v>Montes </v>
      </c>
      <c r="D433" s="43" t="str">
        <f>IFERROR(__xludf.DUMMYFUNCTION("""COMPUTED_VALUE"""),"Bs. As.")</f>
        <v>Bs. As.</v>
      </c>
      <c r="E433" s="45" t="str">
        <f>IFERROR(__xludf.DUMMYFUNCTION("""COMPUTED_VALUE"""),"ARG")</f>
        <v>ARG</v>
      </c>
      <c r="F433" s="45">
        <f>IFERROR(__xludf.DUMMYFUNCTION("""COMPUTED_VALUE"""),5071752.0)</f>
        <v>5071752</v>
      </c>
      <c r="G433" s="44">
        <f>IFERROR(__xludf.DUMMYFUNCTION("""COMPUTED_VALUE"""),17594.0)</f>
        <v>17594</v>
      </c>
      <c r="H433" s="45" t="str">
        <f>IFERROR(__xludf.DUMMYFUNCTION("""COMPUTED_VALUE"""),"115 428 3696")</f>
        <v>115 428 3696</v>
      </c>
      <c r="I433" s="45"/>
      <c r="J433" s="45" t="str">
        <f>IFERROR(__xludf.DUMMYFUNCTION("""COMPUTED_VALUE"""),"ominstalar@hotmail.com")</f>
        <v>ominstalar@hotmail.com</v>
      </c>
      <c r="K433" s="45" t="str">
        <f>IFERROR(__xludf.DUMMYFUNCTION("""COMPUTED_VALUE"""),"Masculino")</f>
        <v>Masculino</v>
      </c>
      <c r="L433" s="45" t="str">
        <f>IFERROR(__xludf.DUMMYFUNCTION("""COMPUTED_VALUE"""),"YCO")</f>
        <v>YCO</v>
      </c>
      <c r="M433" s="45" t="str">
        <f>IFERROR(__xludf.DUMMYFUNCTION("""COMPUTED_VALUE"""),"Master (ILCA)")</f>
        <v>Master (ILCA)</v>
      </c>
      <c r="N433" s="45" t="str">
        <f>IFERROR(__xludf.DUMMYFUNCTION("""COMPUTED_VALUE"""),"ILCA 6")</f>
        <v>ILCA 6</v>
      </c>
      <c r="O433" s="7"/>
      <c r="P433" s="58">
        <f>IFERROR(__xludf.DUMMYFUNCTION("""COMPUTED_VALUE"""),217115.0)</f>
        <v>217115</v>
      </c>
      <c r="Q433" s="45"/>
      <c r="R433" s="45"/>
      <c r="S433" s="45"/>
      <c r="T433" s="45"/>
      <c r="U433" s="45"/>
      <c r="V433" s="45"/>
      <c r="W433" s="45"/>
      <c r="X433" s="47"/>
      <c r="Y433" s="45" t="str">
        <f>IFERROR(__xludf.DUMMYFUNCTION("""COMPUTED_VALUE"""),"Si")</f>
        <v>Si</v>
      </c>
      <c r="Z433" s="45" t="str">
        <f>IFERROR(__xludf.DUMMYFUNCTION("""COMPUTED_VALUE"""),"Acepto")</f>
        <v>Acepto</v>
      </c>
      <c r="AA433" s="45" t="str">
        <f>IFERROR(__xludf.DUMMYFUNCTION("""COMPUTED_VALUE"""),"Terminado")</f>
        <v>Terminado</v>
      </c>
      <c r="AB433" s="45">
        <f>IFERROR(__xludf.DUMMYFUNCTION("""COMPUTED_VALUE"""),45000.0)</f>
        <v>45000</v>
      </c>
      <c r="AC433" s="7"/>
      <c r="AD433" s="7" t="str">
        <f>IFERROR(__xludf.DUMMYFUNCTION("""COMPUTED_VALUE"""),"AF")</f>
        <v>AF</v>
      </c>
      <c r="AE433" s="7" t="str">
        <f>IFERROR(__xludf.DUMMYFUNCTION("""COMPUTED_VALUE"""),"No Corresp")</f>
        <v>No Corresp</v>
      </c>
      <c r="AF433" s="45"/>
    </row>
    <row r="434">
      <c r="A434" s="42">
        <f>IFERROR(__xludf.DUMMYFUNCTION("""COMPUTED_VALUE"""),45545.84367540509)</f>
        <v>45545.84368</v>
      </c>
      <c r="B434" s="43" t="str">
        <f>IFERROR(__xludf.DUMMYFUNCTION("""COMPUTED_VALUE"""),"Luis")</f>
        <v>Luis</v>
      </c>
      <c r="C434" s="43" t="str">
        <f>IFERROR(__xludf.DUMMYFUNCTION("""COMPUTED_VALUE"""),"Soubie")</f>
        <v>Soubie</v>
      </c>
      <c r="D434" s="43" t="str">
        <f>IFERROR(__xludf.DUMMYFUNCTION("""COMPUTED_VALUE"""),"Mendoza")</f>
        <v>Mendoza</v>
      </c>
      <c r="E434" s="45" t="str">
        <f>IFERROR(__xludf.DUMMYFUNCTION("""COMPUTED_VALUE"""),"ARG")</f>
        <v>ARG</v>
      </c>
      <c r="F434" s="45">
        <f>IFERROR(__xludf.DUMMYFUNCTION("""COMPUTED_VALUE"""),2.1834331E7)</f>
        <v>21834331</v>
      </c>
      <c r="G434" s="44">
        <f>IFERROR(__xludf.DUMMYFUNCTION("""COMPUTED_VALUE"""),25878.0)</f>
        <v>25878</v>
      </c>
      <c r="H434" s="45">
        <f>IFERROR(__xludf.DUMMYFUNCTION("""COMPUTED_VALUE"""),1.159880088E9)</f>
        <v>1159880088</v>
      </c>
      <c r="I434" s="45">
        <f>IFERROR(__xludf.DUMMYFUNCTION("""COMPUTED_VALUE"""),1.159887328E9)</f>
        <v>1159887328</v>
      </c>
      <c r="J434" s="45" t="str">
        <f>IFERROR(__xludf.DUMMYFUNCTION("""COMPUTED_VALUE"""),"luis@soubie.com")</f>
        <v>luis@soubie.com</v>
      </c>
      <c r="K434" s="45" t="str">
        <f>IFERROR(__xludf.DUMMYFUNCTION("""COMPUTED_VALUE"""),"Masculino")</f>
        <v>Masculino</v>
      </c>
      <c r="L434" s="45" t="str">
        <f>IFERROR(__xludf.DUMMYFUNCTION("""COMPUTED_VALUE"""),"YCO/CNZ")</f>
        <v>YCO/CNZ</v>
      </c>
      <c r="M434" s="45" t="str">
        <f>IFERROR(__xludf.DUMMYFUNCTION("""COMPUTED_VALUE"""),"Snipe")</f>
        <v>Snipe</v>
      </c>
      <c r="N434" s="45" t="str">
        <f>IFERROR(__xludf.DUMMYFUNCTION("""COMPUTED_VALUE"""),"SNIPE")</f>
        <v>SNIPE</v>
      </c>
      <c r="O434" s="7"/>
      <c r="P434" s="7">
        <f>IFERROR(__xludf.DUMMYFUNCTION("""COMPUTED_VALUE"""),31701.0)</f>
        <v>31701</v>
      </c>
      <c r="Q434" s="45" t="str">
        <f>IFERROR(__xludf.DUMMYFUNCTION("""COMPUTED_VALUE"""),"Tita")</f>
        <v>Tita</v>
      </c>
      <c r="R434" s="45" t="str">
        <f>IFERROR(__xludf.DUMMYFUNCTION("""COMPUTED_VALUE"""),"Diego Lipszyc")</f>
        <v>Diego Lipszyc</v>
      </c>
      <c r="S434" s="45"/>
      <c r="T434" s="45"/>
      <c r="U434" s="45"/>
      <c r="V434" s="45"/>
      <c r="W434" s="45"/>
      <c r="X434" s="47" t="str">
        <f>IFERROR(__xludf.DUMMYFUNCTION("""COMPUTED_VALUE"""),"Swiss medical")</f>
        <v>Swiss medical</v>
      </c>
      <c r="Y434" s="45" t="str">
        <f>IFERROR(__xludf.DUMMYFUNCTION("""COMPUTED_VALUE"""),"Si")</f>
        <v>Si</v>
      </c>
      <c r="Z434" s="45" t="str">
        <f>IFERROR(__xludf.DUMMYFUNCTION("""COMPUTED_VALUE"""),"Acepto")</f>
        <v>Acepto</v>
      </c>
      <c r="AA434" s="45" t="str">
        <f>IFERROR(__xludf.DUMMYFUNCTION("""COMPUTED_VALUE"""),"Pendiente")</f>
        <v>Pendiente</v>
      </c>
      <c r="AB434" s="45"/>
      <c r="AC434" s="7"/>
      <c r="AD434" s="7"/>
      <c r="AE434" s="7" t="str">
        <f>IFERROR(__xludf.DUMMYFUNCTION("""COMPUTED_VALUE"""),"No Corresp")</f>
        <v>No Corresp</v>
      </c>
      <c r="AF434" s="45"/>
    </row>
    <row r="435">
      <c r="A435" s="42">
        <f>IFERROR(__xludf.DUMMYFUNCTION("""COMPUTED_VALUE"""),45545.85817082176)</f>
        <v>45545.85817</v>
      </c>
      <c r="B435" s="43" t="str">
        <f>IFERROR(__xludf.DUMMYFUNCTION("""COMPUTED_VALUE"""),"JOAQUIN")</f>
        <v>JOAQUIN</v>
      </c>
      <c r="C435" s="43" t="str">
        <f>IFERROR(__xludf.DUMMYFUNCTION("""COMPUTED_VALUE"""),"CARRETTO")</f>
        <v>CARRETTO</v>
      </c>
      <c r="D435" s="43" t="str">
        <f>IFERROR(__xludf.DUMMYFUNCTION("""COMPUTED_VALUE"""),"SAN NICOLAS")</f>
        <v>SAN NICOLAS</v>
      </c>
      <c r="E435" s="45" t="str">
        <f>IFERROR(__xludf.DUMMYFUNCTION("""COMPUTED_VALUE"""),"ARG")</f>
        <v>ARG</v>
      </c>
      <c r="F435" s="45">
        <f>IFERROR(__xludf.DUMMYFUNCTION("""COMPUTED_VALUE"""),5.0899423E7)</f>
        <v>50899423</v>
      </c>
      <c r="G435" s="44">
        <f>IFERROR(__xludf.DUMMYFUNCTION("""COMPUTED_VALUE"""),40689.0)</f>
        <v>40689</v>
      </c>
      <c r="H435" s="45">
        <f>IFERROR(__xludf.DUMMYFUNCTION("""COMPUTED_VALUE"""),3.364511513E9)</f>
        <v>3364511513</v>
      </c>
      <c r="I435" s="45">
        <f>IFERROR(__xludf.DUMMYFUNCTION("""COMPUTED_VALUE"""),3.364511554E9)</f>
        <v>3364511554</v>
      </c>
      <c r="J435" s="45" t="str">
        <f>IFERROR(__xludf.DUMMYFUNCTION("""COMPUTED_VALUE"""),"xtorroba@hotmail.com")</f>
        <v>xtorroba@hotmail.com</v>
      </c>
      <c r="K435" s="45" t="str">
        <f>IFERROR(__xludf.DUMMYFUNCTION("""COMPUTED_VALUE"""),"Masculino")</f>
        <v>Masculino</v>
      </c>
      <c r="L435" s="45" t="str">
        <f>IFERROR(__xludf.DUMMYFUNCTION("""COMPUTED_VALUE"""),"CRSN-CVR")</f>
        <v>CRSN-CVR</v>
      </c>
      <c r="M435" s="45" t="str">
        <f>IFERROR(__xludf.DUMMYFUNCTION("""COMPUTED_VALUE"""),"Interior (Optimist)")</f>
        <v>Interior (Optimist)</v>
      </c>
      <c r="N435" s="45" t="str">
        <f>IFERROR(__xludf.DUMMYFUNCTION("""COMPUTED_VALUE"""),"OPTIMIST TIMONELES")</f>
        <v>OPTIMIST TIMONELES</v>
      </c>
      <c r="O435" s="7"/>
      <c r="P435" s="7">
        <f>IFERROR(__xludf.DUMMYFUNCTION("""COMPUTED_VALUE"""),3953.0)</f>
        <v>3953</v>
      </c>
      <c r="Q435" s="45"/>
      <c r="R435" s="45" t="str">
        <f>IFERROR(__xludf.DUMMYFUNCTION("""COMPUTED_VALUE"""),"JOAQUIN CARRETTO")</f>
        <v>JOAQUIN CARRETTO</v>
      </c>
      <c r="S435" s="45"/>
      <c r="T435" s="45"/>
      <c r="U435" s="45"/>
      <c r="V435" s="45"/>
      <c r="W435" s="45"/>
      <c r="X435" s="47" t="str">
        <f>IFERROR(__xludf.DUMMYFUNCTION("""COMPUTED_VALUE"""),"IOMA")</f>
        <v>IOMA</v>
      </c>
      <c r="Y435" s="45" t="str">
        <f>IFERROR(__xludf.DUMMYFUNCTION("""COMPUTED_VALUE"""),"Si")</f>
        <v>Si</v>
      </c>
      <c r="Z435" s="45" t="str">
        <f>IFERROR(__xludf.DUMMYFUNCTION("""COMPUTED_VALUE"""),"Acepto")</f>
        <v>Acepto</v>
      </c>
      <c r="AA435" s="45" t="str">
        <f>IFERROR(__xludf.DUMMYFUNCTION("""COMPUTED_VALUE"""),"Terminado")</f>
        <v>Terminado</v>
      </c>
      <c r="AB435" s="45">
        <f>IFERROR(__xludf.DUMMYFUNCTION("""COMPUTED_VALUE"""),42500.0)</f>
        <v>42500</v>
      </c>
      <c r="AC435" s="7">
        <f>IFERROR(__xludf.DUMMYFUNCTION("""COMPUTED_VALUE"""),205659.0)</f>
        <v>205659</v>
      </c>
      <c r="AD435" s="7" t="str">
        <f>IFERROR(__xludf.DUMMYFUNCTION("""COMPUTED_VALUE"""),"TRF 0-09")</f>
        <v>TRF 0-09</v>
      </c>
      <c r="AE435" s="7" t="str">
        <f>IFERROR(__xludf.DUMMYFUNCTION("""COMPUTED_VALUE"""),"OK")</f>
        <v>OK</v>
      </c>
      <c r="AF435" s="45"/>
    </row>
    <row r="436">
      <c r="A436" s="42">
        <f>IFERROR(__xludf.DUMMYFUNCTION("""COMPUTED_VALUE"""),45545.87051865741)</f>
        <v>45545.87052</v>
      </c>
      <c r="B436" s="43" t="str">
        <f>IFERROR(__xludf.DUMMYFUNCTION("""COMPUTED_VALUE"""),"Lucía ")</f>
        <v>Lucía </v>
      </c>
      <c r="C436" s="43" t="str">
        <f>IFERROR(__xludf.DUMMYFUNCTION("""COMPUTED_VALUE"""),"Manrique gasme")</f>
        <v>Manrique gasme</v>
      </c>
      <c r="D436" s="43" t="str">
        <f>IFERROR(__xludf.DUMMYFUNCTION("""COMPUTED_VALUE"""),"Buenos Aires ")</f>
        <v>Buenos Aires </v>
      </c>
      <c r="E436" s="45" t="str">
        <f>IFERROR(__xludf.DUMMYFUNCTION("""COMPUTED_VALUE"""),"ARG")</f>
        <v>ARG</v>
      </c>
      <c r="F436" s="45">
        <f>IFERROR(__xludf.DUMMYFUNCTION("""COMPUTED_VALUE"""),5.0438482E7)</f>
        <v>50438482</v>
      </c>
      <c r="G436" s="44">
        <f>IFERROR(__xludf.DUMMYFUNCTION("""COMPUTED_VALUE"""),40453.0)</f>
        <v>40453</v>
      </c>
      <c r="H436" s="45">
        <f>IFERROR(__xludf.DUMMYFUNCTION("""COMPUTED_VALUE"""),1.565227E9)</f>
        <v>1565227000</v>
      </c>
      <c r="I436" s="45">
        <f>IFERROR(__xludf.DUMMYFUNCTION("""COMPUTED_VALUE"""),1.534690802E9)</f>
        <v>1534690802</v>
      </c>
      <c r="J436" s="45" t="str">
        <f>IFERROR(__xludf.DUMMYFUNCTION("""COMPUTED_VALUE"""),"Egasme@hotmail.com")</f>
        <v>Egasme@hotmail.com</v>
      </c>
      <c r="K436" s="45" t="str">
        <f>IFERROR(__xludf.DUMMYFUNCTION("""COMPUTED_VALUE"""),"Femenino")</f>
        <v>Femenino</v>
      </c>
      <c r="L436" s="45" t="str">
        <f>IFERROR(__xludf.DUMMYFUNCTION("""COMPUTED_VALUE"""),"CVSI")</f>
        <v>CVSI</v>
      </c>
      <c r="M436" s="45" t="str">
        <f>IFERROR(__xludf.DUMMYFUNCTION("""COMPUTED_VALUE"""),"Femenino")</f>
        <v>Femenino</v>
      </c>
      <c r="N436" s="45" t="str">
        <f>IFERROR(__xludf.DUMMYFUNCTION("""COMPUTED_VALUE"""),"OPTIMIST TIMONELES")</f>
        <v>OPTIMIST TIMONELES</v>
      </c>
      <c r="O436" s="7"/>
      <c r="P436" s="7">
        <f>IFERROR(__xludf.DUMMYFUNCTION("""COMPUTED_VALUE"""),4089.0)</f>
        <v>4089</v>
      </c>
      <c r="Q436" s="45" t="str">
        <f>IFERROR(__xludf.DUMMYFUNCTION("""COMPUTED_VALUE"""),"NoPosee")</f>
        <v>NoPosee</v>
      </c>
      <c r="R436" s="45"/>
      <c r="S436" s="45"/>
      <c r="T436" s="45"/>
      <c r="U436" s="45"/>
      <c r="V436" s="45"/>
      <c r="W436" s="45"/>
      <c r="X436" s="47" t="str">
        <f>IFERROR(__xludf.DUMMYFUNCTION("""COMPUTED_VALUE"""),"Osde")</f>
        <v>Osde</v>
      </c>
      <c r="Y436" s="45" t="str">
        <f>IFERROR(__xludf.DUMMYFUNCTION("""COMPUTED_VALUE"""),"Si")</f>
        <v>Si</v>
      </c>
      <c r="Z436" s="45" t="str">
        <f>IFERROR(__xludf.DUMMYFUNCTION("""COMPUTED_VALUE"""),"Acepto")</f>
        <v>Acepto</v>
      </c>
      <c r="AA436" s="45" t="str">
        <f>IFERROR(__xludf.DUMMYFUNCTION("""COMPUTED_VALUE"""),"Terminado")</f>
        <v>Terminado</v>
      </c>
      <c r="AB436" s="45">
        <f>IFERROR(__xludf.DUMMYFUNCTION("""COMPUTED_VALUE"""),50000.0)</f>
        <v>50000</v>
      </c>
      <c r="AC436" s="7">
        <f>IFERROR(__xludf.DUMMYFUNCTION("""COMPUTED_VALUE"""),205660.0)</f>
        <v>205660</v>
      </c>
      <c r="AD436" s="7" t="str">
        <f>IFERROR(__xludf.DUMMYFUNCTION("""COMPUTED_VALUE"""),"TRF 10-09")</f>
        <v>TRF 10-09</v>
      </c>
      <c r="AE436" s="7" t="str">
        <f>IFERROR(__xludf.DUMMYFUNCTION("""COMPUTED_VALUE"""),"OK")</f>
        <v>OK</v>
      </c>
      <c r="AF436" s="45"/>
    </row>
    <row r="437">
      <c r="A437" s="42">
        <f>IFERROR(__xludf.DUMMYFUNCTION("""COMPUTED_VALUE"""),45545.884586342596)</f>
        <v>45545.88459</v>
      </c>
      <c r="B437" s="43" t="str">
        <f>IFERROR(__xludf.DUMMYFUNCTION("""COMPUTED_VALUE"""),"Paula")</f>
        <v>Paula</v>
      </c>
      <c r="C437" s="43" t="str">
        <f>IFERROR(__xludf.DUMMYFUNCTION("""COMPUTED_VALUE"""),"Carneiro Uralde")</f>
        <v>Carneiro Uralde</v>
      </c>
      <c r="D437" s="43" t="str">
        <f>IFERROR(__xludf.DUMMYFUNCTION("""COMPUTED_VALUE"""),"Martínez")</f>
        <v>Martínez</v>
      </c>
      <c r="E437" s="45" t="str">
        <f>IFERROR(__xludf.DUMMYFUNCTION("""COMPUTED_VALUE"""),"ARG")</f>
        <v>ARG</v>
      </c>
      <c r="F437" s="45">
        <f>IFERROR(__xludf.DUMMYFUNCTION("""COMPUTED_VALUE"""),5.4098565E7)</f>
        <v>54098565</v>
      </c>
      <c r="G437" s="44">
        <f>IFERROR(__xludf.DUMMYFUNCTION("""COMPUTED_VALUE"""),41815.0)</f>
        <v>41815</v>
      </c>
      <c r="H437" s="45">
        <f>IFERROR(__xludf.DUMMYFUNCTION("""COMPUTED_VALUE"""),1.13183024E9)</f>
        <v>1131830240</v>
      </c>
      <c r="I437" s="45">
        <f>IFERROR(__xludf.DUMMYFUNCTION("""COMPUTED_VALUE"""),1.13183024E9)</f>
        <v>1131830240</v>
      </c>
      <c r="J437" s="45" t="str">
        <f>IFERROR(__xludf.DUMMYFUNCTION("""COMPUTED_VALUE"""),"mcarneiro.estudio@gmail.com")</f>
        <v>mcarneiro.estudio@gmail.com</v>
      </c>
      <c r="K437" s="45" t="str">
        <f>IFERROR(__xludf.DUMMYFUNCTION("""COMPUTED_VALUE"""),"Femenino")</f>
        <v>Femenino</v>
      </c>
      <c r="L437" s="45" t="str">
        <f>IFERROR(__xludf.DUMMYFUNCTION("""COMPUTED_VALUE"""),"YCO")</f>
        <v>YCO</v>
      </c>
      <c r="M437" s="45" t="str">
        <f>IFERROR(__xludf.DUMMYFUNCTION("""COMPUTED_VALUE"""),"Femenino, Optimist principiante")</f>
        <v>Femenino, Optimist principiante</v>
      </c>
      <c r="N437" s="45" t="str">
        <f>IFERROR(__xludf.DUMMYFUNCTION("""COMPUTED_VALUE"""),"OPTIMIST PRINCIPIANTES")</f>
        <v>OPTIMIST PRINCIPIANTES</v>
      </c>
      <c r="O437" s="7"/>
      <c r="P437" s="7" t="str">
        <f>IFERROR(__xludf.DUMMYFUNCTION("""COMPUTED_VALUE"""),"ARG 3817")</f>
        <v>ARG 3817</v>
      </c>
      <c r="Q437" s="45"/>
      <c r="R437" s="45"/>
      <c r="S437" s="45"/>
      <c r="T437" s="45"/>
      <c r="U437" s="45"/>
      <c r="V437" s="45"/>
      <c r="W437" s="45"/>
      <c r="X437" s="47" t="str">
        <f>IFERROR(__xludf.DUMMYFUNCTION("""COMPUTED_VALUE"""),"Swiss Medical")</f>
        <v>Swiss Medical</v>
      </c>
      <c r="Y437" s="45" t="str">
        <f>IFERROR(__xludf.DUMMYFUNCTION("""COMPUTED_VALUE"""),"Si")</f>
        <v>Si</v>
      </c>
      <c r="Z437" s="45" t="str">
        <f>IFERROR(__xludf.DUMMYFUNCTION("""COMPUTED_VALUE"""),"Acepto")</f>
        <v>Acepto</v>
      </c>
      <c r="AA437" s="45" t="str">
        <f>IFERROR(__xludf.DUMMYFUNCTION("""COMPUTED_VALUE"""),"Terminado")</f>
        <v>Terminado</v>
      </c>
      <c r="AB437" s="45">
        <f>IFERROR(__xludf.DUMMYFUNCTION("""COMPUTED_VALUE"""),50000.0)</f>
        <v>50000</v>
      </c>
      <c r="AC437" s="7"/>
      <c r="AD437" s="7" t="str">
        <f>IFERROR(__xludf.DUMMYFUNCTION("""COMPUTED_VALUE"""),"AF")</f>
        <v>AF</v>
      </c>
      <c r="AE437" s="7" t="str">
        <f>IFERROR(__xludf.DUMMYFUNCTION("""COMPUTED_VALUE"""),"Pendiente")</f>
        <v>Pendiente</v>
      </c>
      <c r="AF437" s="45"/>
    </row>
    <row r="438">
      <c r="A438" s="42">
        <f>IFERROR(__xludf.DUMMYFUNCTION("""COMPUTED_VALUE"""),45545.89691753472)</f>
        <v>45545.89692</v>
      </c>
      <c r="B438" s="43" t="str">
        <f>IFERROR(__xludf.DUMMYFUNCTION("""COMPUTED_VALUE"""),"Valentina")</f>
        <v>Valentina</v>
      </c>
      <c r="C438" s="43" t="str">
        <f>IFERROR(__xludf.DUMMYFUNCTION("""COMPUTED_VALUE"""),"Martini")</f>
        <v>Martini</v>
      </c>
      <c r="D438" s="43" t="str">
        <f>IFERROR(__xludf.DUMMYFUNCTION("""COMPUTED_VALUE"""),"Caba")</f>
        <v>Caba</v>
      </c>
      <c r="E438" s="45" t="str">
        <f>IFERROR(__xludf.DUMMYFUNCTION("""COMPUTED_VALUE"""),"ARG")</f>
        <v>ARG</v>
      </c>
      <c r="F438" s="45">
        <f>IFERROR(__xludf.DUMMYFUNCTION("""COMPUTED_VALUE"""),4.7350258E7)</f>
        <v>47350258</v>
      </c>
      <c r="G438" s="44">
        <f>IFERROR(__xludf.DUMMYFUNCTION("""COMPUTED_VALUE"""),38876.0)</f>
        <v>38876</v>
      </c>
      <c r="H438" s="45">
        <f>IFERROR(__xludf.DUMMYFUNCTION("""COMPUTED_VALUE"""),1.141471909E9)</f>
        <v>1141471909</v>
      </c>
      <c r="I438" s="45">
        <f>IFERROR(__xludf.DUMMYFUNCTION("""COMPUTED_VALUE"""),1.141471909E9)</f>
        <v>1141471909</v>
      </c>
      <c r="J438" s="45" t="str">
        <f>IFERROR(__xludf.DUMMYFUNCTION("""COMPUTED_VALUE"""),"lumartinilo@gmail.com")</f>
        <v>lumartinilo@gmail.com</v>
      </c>
      <c r="K438" s="45" t="str">
        <f>IFERROR(__xludf.DUMMYFUNCTION("""COMPUTED_VALUE"""),"Femenino")</f>
        <v>Femenino</v>
      </c>
      <c r="L438" s="45" t="str">
        <f>IFERROR(__xludf.DUMMYFUNCTION("""COMPUTED_VALUE"""),"Cuba")</f>
        <v>Cuba</v>
      </c>
      <c r="M438" s="45" t="str">
        <f>IFERROR(__xludf.DUMMYFUNCTION("""COMPUTED_VALUE"""),"Femenino")</f>
        <v>Femenino</v>
      </c>
      <c r="N438" s="45">
        <f>IFERROR(__xludf.DUMMYFUNCTION("""COMPUTED_VALUE"""),420.0)</f>
        <v>420</v>
      </c>
      <c r="O438" s="7">
        <f>IFERROR(__xludf.DUMMYFUNCTION("""COMPUTED_VALUE"""),77.0)</f>
        <v>77</v>
      </c>
      <c r="P438" s="7">
        <f>IFERROR(__xludf.DUMMYFUNCTION("""COMPUTED_VALUE"""),56303.0)</f>
        <v>56303</v>
      </c>
      <c r="Q438" s="45"/>
      <c r="R438" s="45" t="str">
        <f>IFERROR(__xludf.DUMMYFUNCTION("""COMPUTED_VALUE"""),"Eugenia Méndez Barale ")</f>
        <v>Eugenia Méndez Barale </v>
      </c>
      <c r="S438" s="45"/>
      <c r="T438" s="45"/>
      <c r="U438" s="45"/>
      <c r="V438" s="45"/>
      <c r="W438" s="45"/>
      <c r="X438" s="47" t="str">
        <f>IFERROR(__xludf.DUMMYFUNCTION("""COMPUTED_VALUE"""),"Osde 310 60744754004 ")</f>
        <v>Osde 310 60744754004 </v>
      </c>
      <c r="Y438" s="45" t="str">
        <f>IFERROR(__xludf.DUMMYFUNCTION("""COMPUTED_VALUE"""),"No")</f>
        <v>No</v>
      </c>
      <c r="Z438" s="45" t="str">
        <f>IFERROR(__xludf.DUMMYFUNCTION("""COMPUTED_VALUE"""),"Acepto")</f>
        <v>Acepto</v>
      </c>
      <c r="AA438" s="45" t="str">
        <f>IFERROR(__xludf.DUMMYFUNCTION("""COMPUTED_VALUE"""),"Terminado")</f>
        <v>Terminado</v>
      </c>
      <c r="AB438" s="45">
        <f>IFERROR(__xludf.DUMMYFUNCTION("""COMPUTED_VALUE"""),65000.0)</f>
        <v>65000</v>
      </c>
      <c r="AC438" s="7">
        <f>IFERROR(__xludf.DUMMYFUNCTION("""COMPUTED_VALUE"""),205661.0)</f>
        <v>205661</v>
      </c>
      <c r="AD438" s="7" t="str">
        <f>IFERROR(__xludf.DUMMYFUNCTION("""COMPUTED_VALUE"""),"TRF 10-09")</f>
        <v>TRF 10-09</v>
      </c>
      <c r="AE438" s="7" t="str">
        <f>IFERROR(__xludf.DUMMYFUNCTION("""COMPUTED_VALUE"""),"No Corresp")</f>
        <v>No Corresp</v>
      </c>
      <c r="AF438" s="45"/>
    </row>
    <row r="439">
      <c r="A439" s="42">
        <f>IFERROR(__xludf.DUMMYFUNCTION("""COMPUTED_VALUE"""),45545.89957083334)</f>
        <v>45545.89957</v>
      </c>
      <c r="B439" s="43" t="str">
        <f>IFERROR(__xludf.DUMMYFUNCTION("""COMPUTED_VALUE"""),"Pedro")</f>
        <v>Pedro</v>
      </c>
      <c r="C439" s="43" t="str">
        <f>IFERROR(__xludf.DUMMYFUNCTION("""COMPUTED_VALUE"""),"Anino")</f>
        <v>Anino</v>
      </c>
      <c r="D439" s="43" t="str">
        <f>IFERROR(__xludf.DUMMYFUNCTION("""COMPUTED_VALUE"""),"Cordoba")</f>
        <v>Cordoba</v>
      </c>
      <c r="E439" s="45" t="str">
        <f>IFERROR(__xludf.DUMMYFUNCTION("""COMPUTED_VALUE"""),"ARG")</f>
        <v>ARG</v>
      </c>
      <c r="F439" s="45">
        <f>IFERROR(__xludf.DUMMYFUNCTION("""COMPUTED_VALUE"""),2.2843538E7)</f>
        <v>22843538</v>
      </c>
      <c r="G439" s="44">
        <f>IFERROR(__xludf.DUMMYFUNCTION("""COMPUTED_VALUE"""),26585.0)</f>
        <v>26585</v>
      </c>
      <c r="H439" s="45">
        <f>IFERROR(__xludf.DUMMYFUNCTION("""COMPUTED_VALUE"""),5.493584251353E12)</f>
        <v>5493584251353</v>
      </c>
      <c r="I439" s="45">
        <f>IFERROR(__xludf.DUMMYFUNCTION("""COMPUTED_VALUE"""),5.491140782289E12)</f>
        <v>5491140782289</v>
      </c>
      <c r="J439" s="45" t="str">
        <f>IFERROR(__xludf.DUMMYFUNCTION("""COMPUTED_VALUE"""),"alejandrogearlab@gmail.com")</f>
        <v>alejandrogearlab@gmail.com</v>
      </c>
      <c r="K439" s="45" t="str">
        <f>IFERROR(__xludf.DUMMYFUNCTION("""COMPUTED_VALUE"""),"Masculino")</f>
        <v>Masculino</v>
      </c>
      <c r="L439" s="45" t="str">
        <f>IFERROR(__xludf.DUMMYFUNCTION("""COMPUTED_VALUE"""),"CVSI")</f>
        <v>CVSI</v>
      </c>
      <c r="M439" s="45"/>
      <c r="N439" s="45" t="str">
        <f>IFERROR(__xludf.DUMMYFUNCTION("""COMPUTED_VALUE"""),"F 18")</f>
        <v>F 18</v>
      </c>
      <c r="O439" s="7"/>
      <c r="P439" s="7">
        <f>IFERROR(__xludf.DUMMYFUNCTION("""COMPUTED_VALUE"""),27.0)</f>
        <v>27</v>
      </c>
      <c r="Q439" s="45" t="str">
        <f>IFERROR(__xludf.DUMMYFUNCTION("""COMPUTED_VALUE"""),"Dobles de Riesgo")</f>
        <v>Dobles de Riesgo</v>
      </c>
      <c r="R439" s="45" t="str">
        <f>IFERROR(__xludf.DUMMYFUNCTION("""COMPUTED_VALUE"""),"Alejandro Rosso")</f>
        <v>Alejandro Rosso</v>
      </c>
      <c r="S439" s="45"/>
      <c r="T439" s="45"/>
      <c r="U439" s="45"/>
      <c r="V439" s="45"/>
      <c r="W439" s="45"/>
      <c r="X439" s="47" t="str">
        <f>IFERROR(__xludf.DUMMYFUNCTION("""COMPUTED_VALUE"""),"Mutual Medica")</f>
        <v>Mutual Medica</v>
      </c>
      <c r="Y439" s="45" t="str">
        <f>IFERROR(__xludf.DUMMYFUNCTION("""COMPUTED_VALUE"""),"No")</f>
        <v>No</v>
      </c>
      <c r="Z439" s="45" t="str">
        <f>IFERROR(__xludf.DUMMYFUNCTION("""COMPUTED_VALUE"""),"Acepto")</f>
        <v>Acepto</v>
      </c>
      <c r="AA439" s="45" t="str">
        <f>IFERROR(__xludf.DUMMYFUNCTION("""COMPUTED_VALUE"""),"Pendiente")</f>
        <v>Pendiente</v>
      </c>
      <c r="AB439" s="45"/>
      <c r="AC439" s="7"/>
      <c r="AD439" s="7"/>
      <c r="AE439" s="7" t="str">
        <f>IFERROR(__xludf.DUMMYFUNCTION("""COMPUTED_VALUE"""),"No Corresp")</f>
        <v>No Corresp</v>
      </c>
      <c r="AF439" s="45"/>
    </row>
    <row r="440">
      <c r="A440" s="42">
        <f>IFERROR(__xludf.DUMMYFUNCTION("""COMPUTED_VALUE"""),45545.97805481481)</f>
        <v>45545.97805</v>
      </c>
      <c r="B440" s="43" t="str">
        <f>IFERROR(__xludf.DUMMYFUNCTION("""COMPUTED_VALUE"""),"Andres")</f>
        <v>Andres</v>
      </c>
      <c r="C440" s="43" t="str">
        <f>IFERROR(__xludf.DUMMYFUNCTION("""COMPUTED_VALUE"""),"Lopez Oriolo")</f>
        <v>Lopez Oriolo</v>
      </c>
      <c r="D440" s="43" t="str">
        <f>IFERROR(__xludf.DUMMYFUNCTION("""COMPUTED_VALUE"""),"CABA")</f>
        <v>CABA</v>
      </c>
      <c r="E440" s="45" t="str">
        <f>IFERROR(__xludf.DUMMYFUNCTION("""COMPUTED_VALUE"""),"ARG")</f>
        <v>ARG</v>
      </c>
      <c r="F440" s="45">
        <f>IFERROR(__xludf.DUMMYFUNCTION("""COMPUTED_VALUE"""),4.7801314E7)</f>
        <v>47801314</v>
      </c>
      <c r="G440" s="44">
        <f>IFERROR(__xludf.DUMMYFUNCTION("""COMPUTED_VALUE"""),39105.0)</f>
        <v>39105</v>
      </c>
      <c r="H440" s="45">
        <f>IFERROR(__xludf.DUMMYFUNCTION("""COMPUTED_VALUE"""),1.132358538E9)</f>
        <v>1132358538</v>
      </c>
      <c r="I440" s="45">
        <f>IFERROR(__xludf.DUMMYFUNCTION("""COMPUTED_VALUE"""),1.166910296E9)</f>
        <v>1166910296</v>
      </c>
      <c r="J440" s="45" t="str">
        <f>IFERROR(__xludf.DUMMYFUNCTION("""COMPUTED_VALUE"""),"pablolopezoriolo@gmail.com")</f>
        <v>pablolopezoriolo@gmail.com</v>
      </c>
      <c r="K440" s="45" t="str">
        <f>IFERROR(__xludf.DUMMYFUNCTION("""COMPUTED_VALUE"""),"Masculino")</f>
        <v>Masculino</v>
      </c>
      <c r="L440" s="45" t="str">
        <f>IFERROR(__xludf.DUMMYFUNCTION("""COMPUTED_VALUE"""),"CUBA")</f>
        <v>CUBA</v>
      </c>
      <c r="M440" s="45"/>
      <c r="N440" s="45">
        <f>IFERROR(__xludf.DUMMYFUNCTION("""COMPUTED_VALUE"""),420.0)</f>
        <v>420</v>
      </c>
      <c r="O440" s="7">
        <f>IFERROR(__xludf.DUMMYFUNCTION("""COMPUTED_VALUE"""),23.0)</f>
        <v>23</v>
      </c>
      <c r="P440" s="7">
        <f>IFERROR(__xludf.DUMMYFUNCTION("""COMPUTED_VALUE"""),57297.0)</f>
        <v>57297</v>
      </c>
      <c r="Q440" s="45"/>
      <c r="R440" s="45" t="str">
        <f>IFERROR(__xludf.DUMMYFUNCTION("""COMPUTED_VALUE"""),"Vito Torino")</f>
        <v>Vito Torino</v>
      </c>
      <c r="S440" s="45"/>
      <c r="T440" s="45"/>
      <c r="U440" s="45"/>
      <c r="V440" s="45"/>
      <c r="W440" s="45"/>
      <c r="X440" s="47" t="str">
        <f>IFERROR(__xludf.DUMMYFUNCTION("""COMPUTED_VALUE"""),"OSDE")</f>
        <v>OSDE</v>
      </c>
      <c r="Y440" s="45" t="str">
        <f>IFERROR(__xludf.DUMMYFUNCTION("""COMPUTED_VALUE"""),"No")</f>
        <v>No</v>
      </c>
      <c r="Z440" s="45" t="str">
        <f>IFERROR(__xludf.DUMMYFUNCTION("""COMPUTED_VALUE"""),"Acepto")</f>
        <v>Acepto</v>
      </c>
      <c r="AA440" s="45" t="str">
        <f>IFERROR(__xludf.DUMMYFUNCTION("""COMPUTED_VALUE"""),"Terminado")</f>
        <v>Terminado</v>
      </c>
      <c r="AB440" s="45">
        <f>IFERROR(__xludf.DUMMYFUNCTION("""COMPUTED_VALUE"""),65000.0)</f>
        <v>65000</v>
      </c>
      <c r="AC440" s="7">
        <f>IFERROR(__xludf.DUMMYFUNCTION("""COMPUTED_VALUE"""),205687.0)</f>
        <v>205687</v>
      </c>
      <c r="AD440" s="7" t="str">
        <f>IFERROR(__xludf.DUMMYFUNCTION("""COMPUTED_VALUE"""),"TRF 11-09")</f>
        <v>TRF 11-09</v>
      </c>
      <c r="AE440" s="7" t="str">
        <f>IFERROR(__xludf.DUMMYFUNCTION("""COMPUTED_VALUE"""),"OK")</f>
        <v>OK</v>
      </c>
      <c r="AF440" s="45" t="str">
        <f>IFERROR(__xludf.DUMMYFUNCTION("""COMPUTED_VALUE"""),"SI")</f>
        <v>SI</v>
      </c>
    </row>
    <row r="441">
      <c r="A441" s="42">
        <f>IFERROR(__xludf.DUMMYFUNCTION("""COMPUTED_VALUE"""),45546.304781053244)</f>
        <v>45546.30478</v>
      </c>
      <c r="B441" s="43" t="str">
        <f>IFERROR(__xludf.DUMMYFUNCTION("""COMPUTED_VALUE"""),"Renata ")</f>
        <v>Renata </v>
      </c>
      <c r="C441" s="43" t="str">
        <f>IFERROR(__xludf.DUMMYFUNCTION("""COMPUTED_VALUE"""),"Godoy")</f>
        <v>Godoy</v>
      </c>
      <c r="D441" s="43" t="str">
        <f>IFERROR(__xludf.DUMMYFUNCTION("""COMPUTED_VALUE"""),"Parana ")</f>
        <v>Parana </v>
      </c>
      <c r="E441" s="45" t="str">
        <f>IFERROR(__xludf.DUMMYFUNCTION("""COMPUTED_VALUE"""),"ARG")</f>
        <v>ARG</v>
      </c>
      <c r="F441" s="45">
        <f>IFERROR(__xludf.DUMMYFUNCTION("""COMPUTED_VALUE"""),5.1422775E7)</f>
        <v>51422775</v>
      </c>
      <c r="G441" s="44">
        <f>IFERROR(__xludf.DUMMYFUNCTION("""COMPUTED_VALUE"""),40855.0)</f>
        <v>40855</v>
      </c>
      <c r="H441" s="45">
        <f>IFERROR(__xludf.DUMMYFUNCTION("""COMPUTED_VALUE"""),3.435213588E9)</f>
        <v>3435213588</v>
      </c>
      <c r="I441" s="45">
        <f>IFERROR(__xludf.DUMMYFUNCTION("""COMPUTED_VALUE"""),3.435213588E9)</f>
        <v>3435213588</v>
      </c>
      <c r="J441" s="45" t="str">
        <f>IFERROR(__xludf.DUMMYFUNCTION("""COMPUTED_VALUE"""),"Colo.ngk826@gmail.com")</f>
        <v>Colo.ngk826@gmail.com</v>
      </c>
      <c r="K441" s="45" t="str">
        <f>IFERROR(__xludf.DUMMYFUNCTION("""COMPUTED_VALUE"""),"Femenino")</f>
        <v>Femenino</v>
      </c>
      <c r="L441" s="45" t="str">
        <f>IFERROR(__xludf.DUMMYFUNCTION("""COMPUTED_VALUE"""),"CNP")</f>
        <v>CNP</v>
      </c>
      <c r="M441" s="45" t="str">
        <f>IFERROR(__xludf.DUMMYFUNCTION("""COMPUTED_VALUE"""),"Femenino, Interior (Optimist)")</f>
        <v>Femenino, Interior (Optimist)</v>
      </c>
      <c r="N441" s="45" t="str">
        <f>IFERROR(__xludf.DUMMYFUNCTION("""COMPUTED_VALUE"""),"OPTIMIST TIMONELES")</f>
        <v>OPTIMIST TIMONELES</v>
      </c>
      <c r="O441" s="7"/>
      <c r="P441" s="7">
        <f>IFERROR(__xludf.DUMMYFUNCTION("""COMPUTED_VALUE"""),3862.0)</f>
        <v>3862</v>
      </c>
      <c r="Q441" s="45"/>
      <c r="R441" s="45"/>
      <c r="S441" s="45"/>
      <c r="T441" s="45"/>
      <c r="U441" s="45"/>
      <c r="V441" s="45"/>
      <c r="W441" s="45"/>
      <c r="X441" s="47" t="str">
        <f>IFERROR(__xludf.DUMMYFUNCTION("""COMPUTED_VALUE"""),"Iosper ")</f>
        <v>Iosper </v>
      </c>
      <c r="Y441" s="45" t="str">
        <f>IFERROR(__xludf.DUMMYFUNCTION("""COMPUTED_VALUE"""),"Si")</f>
        <v>Si</v>
      </c>
      <c r="Z441" s="45" t="str">
        <f>IFERROR(__xludf.DUMMYFUNCTION("""COMPUTED_VALUE"""),"Acepto")</f>
        <v>Acepto</v>
      </c>
      <c r="AA441" s="45" t="str">
        <f>IFERROR(__xludf.DUMMYFUNCTION("""COMPUTED_VALUE"""),"Pendiente")</f>
        <v>Pendiente</v>
      </c>
      <c r="AB441" s="45"/>
      <c r="AC441" s="7"/>
      <c r="AD441" s="7"/>
      <c r="AE441" s="7" t="str">
        <f>IFERROR(__xludf.DUMMYFUNCTION("""COMPUTED_VALUE"""),"OK")</f>
        <v>OK</v>
      </c>
      <c r="AF441" s="45"/>
    </row>
    <row r="442">
      <c r="A442" s="42">
        <f>IFERROR(__xludf.DUMMYFUNCTION("""COMPUTED_VALUE"""),45546.32849206019)</f>
        <v>45546.32849</v>
      </c>
      <c r="B442" s="43" t="str">
        <f>IFERROR(__xludf.DUMMYFUNCTION("""COMPUTED_VALUE"""),"Diego")</f>
        <v>Diego</v>
      </c>
      <c r="C442" s="43" t="str">
        <f>IFERROR(__xludf.DUMMYFUNCTION("""COMPUTED_VALUE"""),"Moreno")</f>
        <v>Moreno</v>
      </c>
      <c r="D442" s="43" t="str">
        <f>IFERROR(__xludf.DUMMYFUNCTION("""COMPUTED_VALUE"""),"Buenos Aires")</f>
        <v>Buenos Aires</v>
      </c>
      <c r="E442" s="45" t="str">
        <f>IFERROR(__xludf.DUMMYFUNCTION("""COMPUTED_VALUE"""),"ARG")</f>
        <v>ARG</v>
      </c>
      <c r="F442" s="45">
        <f>IFERROR(__xludf.DUMMYFUNCTION("""COMPUTED_VALUE"""),2.2657058E7)</f>
        <v>22657058</v>
      </c>
      <c r="G442" s="44">
        <f>IFERROR(__xludf.DUMMYFUNCTION("""COMPUTED_VALUE"""),26433.0)</f>
        <v>26433</v>
      </c>
      <c r="H442" s="45">
        <f>IFERROR(__xludf.DUMMYFUNCTION("""COMPUTED_VALUE"""),1.169536564E9)</f>
        <v>1169536564</v>
      </c>
      <c r="I442" s="45">
        <f>IFERROR(__xludf.DUMMYFUNCTION("""COMPUTED_VALUE"""),1.157674944E9)</f>
        <v>1157674944</v>
      </c>
      <c r="J442" s="45" t="str">
        <f>IFERROR(__xludf.DUMMYFUNCTION("""COMPUTED_VALUE"""),"Diegofvsa@gmail,com")</f>
        <v>Diegofvsa@gmail,com</v>
      </c>
      <c r="K442" s="45" t="str">
        <f>IFERROR(__xludf.DUMMYFUNCTION("""COMPUTED_VALUE"""),"Masculino")</f>
        <v>Masculino</v>
      </c>
      <c r="L442" s="45" t="str">
        <f>IFERROR(__xludf.DUMMYFUNCTION("""COMPUTED_VALUE"""),"YCO")</f>
        <v>YCO</v>
      </c>
      <c r="M442" s="45" t="str">
        <f>IFERROR(__xludf.DUMMYFUNCTION("""COMPUTED_VALUE"""),"Master (ILCA)")</f>
        <v>Master (ILCA)</v>
      </c>
      <c r="N442" s="45" t="str">
        <f>IFERROR(__xludf.DUMMYFUNCTION("""COMPUTED_VALUE"""),"ILCA 7")</f>
        <v>ILCA 7</v>
      </c>
      <c r="O442" s="7"/>
      <c r="P442" s="7">
        <f>IFERROR(__xludf.DUMMYFUNCTION("""COMPUTED_VALUE"""),8.0)</f>
        <v>8</v>
      </c>
      <c r="Q442" s="45" t="str">
        <f>IFERROR(__xludf.DUMMYFUNCTION("""COMPUTED_VALUE"""),"Picado fino")</f>
        <v>Picado fino</v>
      </c>
      <c r="R442" s="45"/>
      <c r="S442" s="45"/>
      <c r="T442" s="45"/>
      <c r="U442" s="45"/>
      <c r="V442" s="45"/>
      <c r="W442" s="45"/>
      <c r="X442" s="47"/>
      <c r="Y442" s="45" t="str">
        <f>IFERROR(__xludf.DUMMYFUNCTION("""COMPUTED_VALUE"""),"Si")</f>
        <v>Si</v>
      </c>
      <c r="Z442" s="45" t="str">
        <f>IFERROR(__xludf.DUMMYFUNCTION("""COMPUTED_VALUE"""),"Acepto")</f>
        <v>Acepto</v>
      </c>
      <c r="AA442" s="45" t="str">
        <f>IFERROR(__xludf.DUMMYFUNCTION("""COMPUTED_VALUE"""),"Pendiente")</f>
        <v>Pendiente</v>
      </c>
      <c r="AB442" s="45"/>
      <c r="AC442" s="7"/>
      <c r="AD442" s="7"/>
      <c r="AE442" s="7" t="str">
        <f>IFERROR(__xludf.DUMMYFUNCTION("""COMPUTED_VALUE"""),"No Corresp")</f>
        <v>No Corresp</v>
      </c>
      <c r="AF442" s="45"/>
    </row>
    <row r="443">
      <c r="A443" s="42">
        <f>IFERROR(__xludf.DUMMYFUNCTION("""COMPUTED_VALUE"""),45546.37442868056)</f>
        <v>45546.37443</v>
      </c>
      <c r="B443" s="43" t="str">
        <f>IFERROR(__xludf.DUMMYFUNCTION("""COMPUTED_VALUE"""),"Manuel")</f>
        <v>Manuel</v>
      </c>
      <c r="C443" s="43" t="str">
        <f>IFERROR(__xludf.DUMMYFUNCTION("""COMPUTED_VALUE"""),"Moreno Panzino")</f>
        <v>Moreno Panzino</v>
      </c>
      <c r="D443" s="43" t="str">
        <f>IFERROR(__xludf.DUMMYFUNCTION("""COMPUTED_VALUE"""),"San Isidro")</f>
        <v>San Isidro</v>
      </c>
      <c r="E443" s="45" t="str">
        <f>IFERROR(__xludf.DUMMYFUNCTION("""COMPUTED_VALUE"""),"ARG")</f>
        <v>ARG</v>
      </c>
      <c r="F443" s="45">
        <f>IFERROR(__xludf.DUMMYFUNCTION("""COMPUTED_VALUE"""),5.0417527E7)</f>
        <v>50417527</v>
      </c>
      <c r="G443" s="44">
        <f>IFERROR(__xludf.DUMMYFUNCTION("""COMPUTED_VALUE"""),40358.0)</f>
        <v>40358</v>
      </c>
      <c r="H443" s="45">
        <f>IFERROR(__xludf.DUMMYFUNCTION("""COMPUTED_VALUE"""),1.154789906E9)</f>
        <v>1154789906</v>
      </c>
      <c r="I443" s="45">
        <f>IFERROR(__xludf.DUMMYFUNCTION("""COMPUTED_VALUE"""),1.144952526E9)</f>
        <v>1144952526</v>
      </c>
      <c r="J443" s="45" t="str">
        <f>IFERROR(__xludf.DUMMYFUNCTION("""COMPUTED_VALUE"""),"maximo.moreno@gmail.com")</f>
        <v>maximo.moreno@gmail.com</v>
      </c>
      <c r="K443" s="45" t="str">
        <f>IFERROR(__xludf.DUMMYFUNCTION("""COMPUTED_VALUE"""),"Masculino")</f>
        <v>Masculino</v>
      </c>
      <c r="L443" s="45" t="str">
        <f>IFERROR(__xludf.DUMMYFUNCTION("""COMPUTED_VALUE"""),"CNSI")</f>
        <v>CNSI</v>
      </c>
      <c r="M443" s="45" t="str">
        <f>IFERROR(__xludf.DUMMYFUNCTION("""COMPUTED_VALUE"""),"Interior (Optimist)")</f>
        <v>Interior (Optimist)</v>
      </c>
      <c r="N443" s="45" t="str">
        <f>IFERROR(__xludf.DUMMYFUNCTION("""COMPUTED_VALUE"""),"OPTIMIST TIMONELES")</f>
        <v>OPTIMIST TIMONELES</v>
      </c>
      <c r="O443" s="7"/>
      <c r="P443" s="7">
        <f>IFERROR(__xludf.DUMMYFUNCTION("""COMPUTED_VALUE"""),4059.0)</f>
        <v>4059</v>
      </c>
      <c r="Q443" s="45"/>
      <c r="R443" s="45"/>
      <c r="S443" s="45"/>
      <c r="T443" s="45"/>
      <c r="U443" s="45"/>
      <c r="V443" s="45"/>
      <c r="W443" s="45"/>
      <c r="X443" s="47" t="str">
        <f>IFERROR(__xludf.DUMMYFUNCTION("""COMPUTED_VALUE"""),"OSDE 61868549802")</f>
        <v>OSDE 61868549802</v>
      </c>
      <c r="Y443" s="45" t="str">
        <f>IFERROR(__xludf.DUMMYFUNCTION("""COMPUTED_VALUE"""),"Si")</f>
        <v>Si</v>
      </c>
      <c r="Z443" s="45" t="str">
        <f>IFERROR(__xludf.DUMMYFUNCTION("""COMPUTED_VALUE"""),"Acepto")</f>
        <v>Acepto</v>
      </c>
      <c r="AA443" s="45" t="str">
        <f>IFERROR(__xludf.DUMMYFUNCTION("""COMPUTED_VALUE"""),"Pendiente")</f>
        <v>Pendiente</v>
      </c>
      <c r="AB443" s="45"/>
      <c r="AC443" s="7"/>
      <c r="AD443" s="7"/>
      <c r="AE443" s="7" t="str">
        <f>IFERROR(__xludf.DUMMYFUNCTION("""COMPUTED_VALUE"""),"OK")</f>
        <v>OK</v>
      </c>
      <c r="AF443" s="45"/>
    </row>
    <row r="444">
      <c r="A444" s="42">
        <f>IFERROR(__xludf.DUMMYFUNCTION("""COMPUTED_VALUE"""),45546.417744108796)</f>
        <v>45546.41774</v>
      </c>
      <c r="B444" s="43" t="str">
        <f>IFERROR(__xludf.DUMMYFUNCTION("""COMPUTED_VALUE"""),"Bernardo")</f>
        <v>Bernardo</v>
      </c>
      <c r="C444" s="43" t="str">
        <f>IFERROR(__xludf.DUMMYFUNCTION("""COMPUTED_VALUE"""),"Squarcia")</f>
        <v>Squarcia</v>
      </c>
      <c r="D444" s="43" t="str">
        <f>IFERROR(__xludf.DUMMYFUNCTION("""COMPUTED_VALUE"""),"Bahia Blanca")</f>
        <v>Bahia Blanca</v>
      </c>
      <c r="E444" s="45" t="str">
        <f>IFERROR(__xludf.DUMMYFUNCTION("""COMPUTED_VALUE"""),"ARG")</f>
        <v>ARG</v>
      </c>
      <c r="F444" s="45">
        <f>IFERROR(__xludf.DUMMYFUNCTION("""COMPUTED_VALUE"""),3.0423379E7)</f>
        <v>30423379</v>
      </c>
      <c r="G444" s="44">
        <f>IFERROR(__xludf.DUMMYFUNCTION("""COMPUTED_VALUE"""),30573.0)</f>
        <v>30573</v>
      </c>
      <c r="H444" s="45">
        <f>IFERROR(__xludf.DUMMYFUNCTION("""COMPUTED_VALUE"""),3.624943611E9)</f>
        <v>3624943611</v>
      </c>
      <c r="I444" s="45"/>
      <c r="J444" s="45" t="str">
        <f>IFERROR(__xludf.DUMMYFUNCTION("""COMPUTED_VALUE"""),"bernardosquarcia@gmail.com")</f>
        <v>bernardosquarcia@gmail.com</v>
      </c>
      <c r="K444" s="45" t="str">
        <f>IFERROR(__xludf.DUMMYFUNCTION("""COMPUTED_VALUE"""),"Masculino")</f>
        <v>Masculino</v>
      </c>
      <c r="L444" s="45" t="str">
        <f>IFERROR(__xludf.DUMMYFUNCTION("""COMPUTED_VALUE"""),"Club Nautico Bahia Blanca")</f>
        <v>Club Nautico Bahia Blanca</v>
      </c>
      <c r="M444" s="45"/>
      <c r="N444" s="45" t="str">
        <f>IFERROR(__xludf.DUMMYFUNCTION("""COMPUTED_VALUE"""),"SNIPE")</f>
        <v>SNIPE</v>
      </c>
      <c r="O444" s="7"/>
      <c r="P444" s="7">
        <f>IFERROR(__xludf.DUMMYFUNCTION("""COMPUTED_VALUE"""),31474.0)</f>
        <v>31474</v>
      </c>
      <c r="Q444" s="45" t="str">
        <f>IFERROR(__xludf.DUMMYFUNCTION("""COMPUTED_VALUE"""),"Cachafaz IV")</f>
        <v>Cachafaz IV</v>
      </c>
      <c r="R444" s="45" t="str">
        <f>IFERROR(__xludf.DUMMYFUNCTION("""COMPUTED_VALUE"""),"Fausto Russo")</f>
        <v>Fausto Russo</v>
      </c>
      <c r="S444" s="45"/>
      <c r="T444" s="45"/>
      <c r="U444" s="45"/>
      <c r="V444" s="45"/>
      <c r="W444" s="45"/>
      <c r="X444" s="47"/>
      <c r="Y444" s="45" t="str">
        <f>IFERROR(__xludf.DUMMYFUNCTION("""COMPUTED_VALUE"""),"Si")</f>
        <v>Si</v>
      </c>
      <c r="Z444" s="45" t="str">
        <f>IFERROR(__xludf.DUMMYFUNCTION("""COMPUTED_VALUE"""),"Acepto")</f>
        <v>Acepto</v>
      </c>
      <c r="AA444" s="45" t="str">
        <f>IFERROR(__xludf.DUMMYFUNCTION("""COMPUTED_VALUE"""),"Pendiente")</f>
        <v>Pendiente</v>
      </c>
      <c r="AB444" s="45"/>
      <c r="AC444" s="7"/>
      <c r="AD444" s="7"/>
      <c r="AE444" s="7" t="str">
        <f>IFERROR(__xludf.DUMMYFUNCTION("""COMPUTED_VALUE"""),"No Corresp")</f>
        <v>No Corresp</v>
      </c>
      <c r="AF444" s="45"/>
    </row>
    <row r="445">
      <c r="A445" s="42">
        <f>IFERROR(__xludf.DUMMYFUNCTION("""COMPUTED_VALUE"""),45546.42623440972)</f>
        <v>45546.42623</v>
      </c>
      <c r="B445" s="43" t="str">
        <f>IFERROR(__xludf.DUMMYFUNCTION("""COMPUTED_VALUE"""),"Pilar")</f>
        <v>Pilar</v>
      </c>
      <c r="C445" s="43" t="str">
        <f>IFERROR(__xludf.DUMMYFUNCTION("""COMPUTED_VALUE"""),"Zabala")</f>
        <v>Zabala</v>
      </c>
      <c r="D445" s="43" t="str">
        <f>IFERROR(__xludf.DUMMYFUNCTION("""COMPUTED_VALUE"""),"CABA")</f>
        <v>CABA</v>
      </c>
      <c r="E445" s="45" t="str">
        <f>IFERROR(__xludf.DUMMYFUNCTION("""COMPUTED_VALUE"""),"ARG")</f>
        <v>ARG</v>
      </c>
      <c r="F445" s="45">
        <f>IFERROR(__xludf.DUMMYFUNCTION("""COMPUTED_VALUE"""),5.1267743E7)</f>
        <v>51267743</v>
      </c>
      <c r="G445" s="44">
        <f>IFERROR(__xludf.DUMMYFUNCTION("""COMPUTED_VALUE"""),40723.0)</f>
        <v>40723</v>
      </c>
      <c r="H445" s="45">
        <f>IFERROR(__xludf.DUMMYFUNCTION("""COMPUTED_VALUE"""),1.161607139E9)</f>
        <v>1161607139</v>
      </c>
      <c r="I445" s="45">
        <f>IFERROR(__xludf.DUMMYFUNCTION("""COMPUTED_VALUE"""),1.156401702E9)</f>
        <v>1156401702</v>
      </c>
      <c r="J445" s="45" t="str">
        <f>IFERROR(__xludf.DUMMYFUNCTION("""COMPUTED_VALUE"""),"franciscozabala@gmail.com")</f>
        <v>franciscozabala@gmail.com</v>
      </c>
      <c r="K445" s="45" t="str">
        <f>IFERROR(__xludf.DUMMYFUNCTION("""COMPUTED_VALUE"""),"Femenino")</f>
        <v>Femenino</v>
      </c>
      <c r="L445" s="45" t="str">
        <f>IFERROR(__xludf.DUMMYFUNCTION("""COMPUTED_VALUE"""),"CUBA")</f>
        <v>CUBA</v>
      </c>
      <c r="M445" s="45" t="str">
        <f>IFERROR(__xludf.DUMMYFUNCTION("""COMPUTED_VALUE"""),"Femenino")</f>
        <v>Femenino</v>
      </c>
      <c r="N445" s="45" t="str">
        <f>IFERROR(__xludf.DUMMYFUNCTION("""COMPUTED_VALUE"""),"OPTIMIST TIMONELES")</f>
        <v>OPTIMIST TIMONELES</v>
      </c>
      <c r="O445" s="7"/>
      <c r="P445" s="7">
        <f>IFERROR(__xludf.DUMMYFUNCTION("""COMPUTED_VALUE"""),3895.0)</f>
        <v>3895</v>
      </c>
      <c r="Q445" s="45" t="str">
        <f>IFERROR(__xludf.DUMMYFUNCTION("""COMPUTED_VALUE"""),"Pilic")</f>
        <v>Pilic</v>
      </c>
      <c r="R445" s="45"/>
      <c r="S445" s="45"/>
      <c r="T445" s="45"/>
      <c r="U445" s="45"/>
      <c r="V445" s="45"/>
      <c r="W445" s="45"/>
      <c r="X445" s="47" t="str">
        <f>IFERROR(__xludf.DUMMYFUNCTION("""COMPUTED_VALUE"""),"OSDE Nro. 61368940103")</f>
        <v>OSDE Nro. 61368940103</v>
      </c>
      <c r="Y445" s="45" t="str">
        <f>IFERROR(__xludf.DUMMYFUNCTION("""COMPUTED_VALUE"""),"Si")</f>
        <v>Si</v>
      </c>
      <c r="Z445" s="45" t="str">
        <f>IFERROR(__xludf.DUMMYFUNCTION("""COMPUTED_VALUE"""),"Acepto")</f>
        <v>Acepto</v>
      </c>
      <c r="AA445" s="45" t="str">
        <f>IFERROR(__xludf.DUMMYFUNCTION("""COMPUTED_VALUE"""),"Terminado")</f>
        <v>Terminado</v>
      </c>
      <c r="AB445" s="45">
        <f>IFERROR(__xludf.DUMMYFUNCTION("""COMPUTED_VALUE"""),50000.0)</f>
        <v>50000</v>
      </c>
      <c r="AC445" s="7">
        <f>IFERROR(__xludf.DUMMYFUNCTION("""COMPUTED_VALUE"""),205685.0)</f>
        <v>205685</v>
      </c>
      <c r="AD445" s="7" t="str">
        <f>IFERROR(__xludf.DUMMYFUNCTION("""COMPUTED_VALUE"""),"TRF 11-09")</f>
        <v>TRF 11-09</v>
      </c>
      <c r="AE445" s="7" t="str">
        <f>IFERROR(__xludf.DUMMYFUNCTION("""COMPUTED_VALUE"""),"OK")</f>
        <v>OK</v>
      </c>
      <c r="AF445" s="45"/>
    </row>
    <row r="446">
      <c r="A446" s="42">
        <f>IFERROR(__xludf.DUMMYFUNCTION("""COMPUTED_VALUE"""),45546.427971261575)</f>
        <v>45546.42797</v>
      </c>
      <c r="B446" s="43" t="str">
        <f>IFERROR(__xludf.DUMMYFUNCTION("""COMPUTED_VALUE"""),"Rodrigo")</f>
        <v>Rodrigo</v>
      </c>
      <c r="C446" s="43" t="str">
        <f>IFERROR(__xludf.DUMMYFUNCTION("""COMPUTED_VALUE"""),"Zabala")</f>
        <v>Zabala</v>
      </c>
      <c r="D446" s="43" t="str">
        <f>IFERROR(__xludf.DUMMYFUNCTION("""COMPUTED_VALUE"""),"CABA")</f>
        <v>CABA</v>
      </c>
      <c r="E446" s="45" t="str">
        <f>IFERROR(__xludf.DUMMYFUNCTION("""COMPUTED_VALUE"""),"ARG")</f>
        <v>ARG</v>
      </c>
      <c r="F446" s="45">
        <f>IFERROR(__xludf.DUMMYFUNCTION("""COMPUTED_VALUE"""),5.4184438E7)</f>
        <v>54184438</v>
      </c>
      <c r="G446" s="44">
        <f>IFERROR(__xludf.DUMMYFUNCTION("""COMPUTED_VALUE"""),41848.0)</f>
        <v>41848</v>
      </c>
      <c r="H446" s="45">
        <f>IFERROR(__xludf.DUMMYFUNCTION("""COMPUTED_VALUE"""),1.161607139E9)</f>
        <v>1161607139</v>
      </c>
      <c r="I446" s="45">
        <f>IFERROR(__xludf.DUMMYFUNCTION("""COMPUTED_VALUE"""),1.156401702E9)</f>
        <v>1156401702</v>
      </c>
      <c r="J446" s="45" t="str">
        <f>IFERROR(__xludf.DUMMYFUNCTION("""COMPUTED_VALUE"""),"franciscozabala@gmail.com")</f>
        <v>franciscozabala@gmail.com</v>
      </c>
      <c r="K446" s="45" t="str">
        <f>IFERROR(__xludf.DUMMYFUNCTION("""COMPUTED_VALUE"""),"Masculino")</f>
        <v>Masculino</v>
      </c>
      <c r="L446" s="45" t="str">
        <f>IFERROR(__xludf.DUMMYFUNCTION("""COMPUTED_VALUE"""),"CUBA")</f>
        <v>CUBA</v>
      </c>
      <c r="M446" s="45"/>
      <c r="N446" s="45" t="str">
        <f>IFERROR(__xludf.DUMMYFUNCTION("""COMPUTED_VALUE"""),"OPTIMIST PRINCIPIANTES")</f>
        <v>OPTIMIST PRINCIPIANTES</v>
      </c>
      <c r="O446" s="7"/>
      <c r="P446" s="7">
        <f>IFERROR(__xludf.DUMMYFUNCTION("""COMPUTED_VALUE"""),3434.0)</f>
        <v>3434</v>
      </c>
      <c r="Q446" s="45" t="str">
        <f>IFERROR(__xludf.DUMMYFUNCTION("""COMPUTED_VALUE"""),"Roderick")</f>
        <v>Roderick</v>
      </c>
      <c r="R446" s="45"/>
      <c r="S446" s="45"/>
      <c r="T446" s="45"/>
      <c r="U446" s="45"/>
      <c r="V446" s="45"/>
      <c r="W446" s="45"/>
      <c r="X446" s="47" t="str">
        <f>IFERROR(__xludf.DUMMYFUNCTION("""COMPUTED_VALUE"""),"OSDE Nro. 61368940104")</f>
        <v>OSDE Nro. 61368940104</v>
      </c>
      <c r="Y446" s="45" t="str">
        <f>IFERROR(__xludf.DUMMYFUNCTION("""COMPUTED_VALUE"""),"Si")</f>
        <v>Si</v>
      </c>
      <c r="Z446" s="45" t="str">
        <f>IFERROR(__xludf.DUMMYFUNCTION("""COMPUTED_VALUE"""),"Acepto")</f>
        <v>Acepto</v>
      </c>
      <c r="AA446" s="45" t="str">
        <f>IFERROR(__xludf.DUMMYFUNCTION("""COMPUTED_VALUE"""),"Terminado")</f>
        <v>Terminado</v>
      </c>
      <c r="AB446" s="45">
        <f>IFERROR(__xludf.DUMMYFUNCTION("""COMPUTED_VALUE"""),50000.0)</f>
        <v>50000</v>
      </c>
      <c r="AC446" s="7">
        <f>IFERROR(__xludf.DUMMYFUNCTION("""COMPUTED_VALUE"""),205684.0)</f>
        <v>205684</v>
      </c>
      <c r="AD446" s="7" t="str">
        <f>IFERROR(__xludf.DUMMYFUNCTION("""COMPUTED_VALUE"""),"TRF 11-09")</f>
        <v>TRF 11-09</v>
      </c>
      <c r="AE446" s="7" t="str">
        <f>IFERROR(__xludf.DUMMYFUNCTION("""COMPUTED_VALUE"""),"OK")</f>
        <v>OK</v>
      </c>
      <c r="AF446" s="45"/>
    </row>
    <row r="447">
      <c r="A447" s="42">
        <f>IFERROR(__xludf.DUMMYFUNCTION("""COMPUTED_VALUE"""),45546.43615565972)</f>
        <v>45546.43616</v>
      </c>
      <c r="B447" s="43" t="str">
        <f>IFERROR(__xludf.DUMMYFUNCTION("""COMPUTED_VALUE"""),"Leonardo ")</f>
        <v>Leonardo </v>
      </c>
      <c r="C447" s="43" t="str">
        <f>IFERROR(__xludf.DUMMYFUNCTION("""COMPUTED_VALUE"""),"Jochoian ")</f>
        <v>Jochoian </v>
      </c>
      <c r="D447" s="43" t="str">
        <f>IFERROR(__xludf.DUMMYFUNCTION("""COMPUTED_VALUE"""),"Bs As")</f>
        <v>Bs As</v>
      </c>
      <c r="E447" s="45" t="str">
        <f>IFERROR(__xludf.DUMMYFUNCTION("""COMPUTED_VALUE"""),"ARG")</f>
        <v>ARG</v>
      </c>
      <c r="F447" s="45">
        <f>IFERROR(__xludf.DUMMYFUNCTION("""COMPUTED_VALUE"""),2.4335085E7)</f>
        <v>24335085</v>
      </c>
      <c r="G447" s="44">
        <f>IFERROR(__xludf.DUMMYFUNCTION("""COMPUTED_VALUE"""),27375.0)</f>
        <v>27375</v>
      </c>
      <c r="H447" s="45">
        <f>IFERROR(__xludf.DUMMYFUNCTION("""COMPUTED_VALUE"""),1.151577012E9)</f>
        <v>1151577012</v>
      </c>
      <c r="I447" s="45">
        <f>IFERROR(__xludf.DUMMYFUNCTION("""COMPUTED_VALUE"""),1.16864017E9)</f>
        <v>1168640170</v>
      </c>
      <c r="J447" s="45" t="str">
        <f>IFERROR(__xludf.DUMMYFUNCTION("""COMPUTED_VALUE"""),"Ljochoian@gmail.com")</f>
        <v>Ljochoian@gmail.com</v>
      </c>
      <c r="K447" s="45" t="str">
        <f>IFERROR(__xludf.DUMMYFUNCTION("""COMPUTED_VALUE"""),"Masculino")</f>
        <v>Masculino</v>
      </c>
      <c r="L447" s="45" t="str">
        <f>IFERROR(__xludf.DUMMYFUNCTION("""COMPUTED_VALUE"""),"YCO - CPNLB")</f>
        <v>YCO - CPNLB</v>
      </c>
      <c r="M447" s="45" t="str">
        <f>IFERROR(__xludf.DUMMYFUNCTION("""COMPUTED_VALUE"""),"Master (ILCA)")</f>
        <v>Master (ILCA)</v>
      </c>
      <c r="N447" s="45" t="str">
        <f>IFERROR(__xludf.DUMMYFUNCTION("""COMPUTED_VALUE"""),"ILCA 6")</f>
        <v>ILCA 6</v>
      </c>
      <c r="O447" s="7"/>
      <c r="P447" s="7">
        <f>IFERROR(__xludf.DUMMYFUNCTION("""COMPUTED_VALUE"""),210809.0)</f>
        <v>210809</v>
      </c>
      <c r="Q447" s="45" t="str">
        <f>IFERROR(__xludf.DUMMYFUNCTION("""COMPUTED_VALUE"""),"J8")</f>
        <v>J8</v>
      </c>
      <c r="R447" s="45"/>
      <c r="S447" s="45"/>
      <c r="T447" s="45"/>
      <c r="U447" s="45"/>
      <c r="V447" s="45"/>
      <c r="W447" s="45"/>
      <c r="X447" s="47" t="str">
        <f>IFERROR(__xludf.DUMMYFUNCTION("""COMPUTED_VALUE"""),"OSDE")</f>
        <v>OSDE</v>
      </c>
      <c r="Y447" s="45" t="str">
        <f>IFERROR(__xludf.DUMMYFUNCTION("""COMPUTED_VALUE"""),"Si")</f>
        <v>Si</v>
      </c>
      <c r="Z447" s="45" t="str">
        <f>IFERROR(__xludf.DUMMYFUNCTION("""COMPUTED_VALUE"""),"Acepto")</f>
        <v>Acepto</v>
      </c>
      <c r="AA447" s="45" t="str">
        <f>IFERROR(__xludf.DUMMYFUNCTION("""COMPUTED_VALUE"""),"Pendiente")</f>
        <v>Pendiente</v>
      </c>
      <c r="AB447" s="45"/>
      <c r="AC447" s="7"/>
      <c r="AD447" s="7"/>
      <c r="AE447" s="7" t="str">
        <f>IFERROR(__xludf.DUMMYFUNCTION("""COMPUTED_VALUE"""),"No Corresp")</f>
        <v>No Corresp</v>
      </c>
      <c r="AF447" s="45"/>
    </row>
    <row r="448">
      <c r="A448" s="42">
        <f>IFERROR(__xludf.DUMMYFUNCTION("""COMPUTED_VALUE"""),45546.44513101852)</f>
        <v>45546.44513</v>
      </c>
      <c r="B448" s="43" t="str">
        <f>IFERROR(__xludf.DUMMYFUNCTION("""COMPUTED_VALUE"""),"Delfin")</f>
        <v>Delfin</v>
      </c>
      <c r="C448" s="43" t="str">
        <f>IFERROR(__xludf.DUMMYFUNCTION("""COMPUTED_VALUE"""),"Nogues")</f>
        <v>Nogues</v>
      </c>
      <c r="D448" s="43" t="str">
        <f>IFERROR(__xludf.DUMMYFUNCTION("""COMPUTED_VALUE"""),"Pilar")</f>
        <v>Pilar</v>
      </c>
      <c r="E448" s="45" t="str">
        <f>IFERROR(__xludf.DUMMYFUNCTION("""COMPUTED_VALUE"""),"ARG")</f>
        <v>ARG</v>
      </c>
      <c r="F448" s="45">
        <f>IFERROR(__xludf.DUMMYFUNCTION("""COMPUTED_VALUE"""),4.6025948E7)</f>
        <v>46025948</v>
      </c>
      <c r="G448" s="44">
        <f>IFERROR(__xludf.DUMMYFUNCTION("""COMPUTED_VALUE"""),38250.0)</f>
        <v>38250</v>
      </c>
      <c r="H448" s="45">
        <f>IFERROR(__xludf.DUMMYFUNCTION("""COMPUTED_VALUE"""),1.137828754E9)</f>
        <v>1137828754</v>
      </c>
      <c r="I448" s="45">
        <f>IFERROR(__xludf.DUMMYFUNCTION("""COMPUTED_VALUE"""),1.137828753E9)</f>
        <v>1137828753</v>
      </c>
      <c r="J448" s="45" t="str">
        <f>IFERROR(__xludf.DUMMYFUNCTION("""COMPUTED_VALUE"""),"delfinlaser@gmail.com")</f>
        <v>delfinlaser@gmail.com</v>
      </c>
      <c r="K448" s="45" t="str">
        <f>IFERROR(__xludf.DUMMYFUNCTION("""COMPUTED_VALUE"""),"Masculino")</f>
        <v>Masculino</v>
      </c>
      <c r="L448" s="45" t="str">
        <f>IFERROR(__xludf.DUMMYFUNCTION("""COMPUTED_VALUE"""),"CNO")</f>
        <v>CNO</v>
      </c>
      <c r="M448" s="45"/>
      <c r="N448" s="45" t="str">
        <f>IFERROR(__xludf.DUMMYFUNCTION("""COMPUTED_VALUE"""),"ILCA 7")</f>
        <v>ILCA 7</v>
      </c>
      <c r="O448" s="7"/>
      <c r="P448" s="7">
        <f>IFERROR(__xludf.DUMMYFUNCTION("""COMPUTED_VALUE"""),238.0)</f>
        <v>238</v>
      </c>
      <c r="Q448" s="45" t="str">
        <f>IFERROR(__xludf.DUMMYFUNCTION("""COMPUTED_VALUE"""),"xx")</f>
        <v>xx</v>
      </c>
      <c r="R448" s="45"/>
      <c r="S448" s="45"/>
      <c r="T448" s="45"/>
      <c r="U448" s="45"/>
      <c r="V448" s="45"/>
      <c r="W448" s="45"/>
      <c r="X448" s="47"/>
      <c r="Y448" s="45" t="str">
        <f>IFERROR(__xludf.DUMMYFUNCTION("""COMPUTED_VALUE"""),"No")</f>
        <v>No</v>
      </c>
      <c r="Z448" s="45" t="str">
        <f>IFERROR(__xludf.DUMMYFUNCTION("""COMPUTED_VALUE"""),"Acepto")</f>
        <v>Acepto</v>
      </c>
      <c r="AA448" s="45" t="str">
        <f>IFERROR(__xludf.DUMMYFUNCTION("""COMPUTED_VALUE"""),"Pendiente")</f>
        <v>Pendiente</v>
      </c>
      <c r="AB448" s="45"/>
      <c r="AC448" s="7"/>
      <c r="AD448" s="7"/>
      <c r="AE448" s="7" t="str">
        <f>IFERROR(__xludf.DUMMYFUNCTION("""COMPUTED_VALUE"""),"No Corresp")</f>
        <v>No Corresp</v>
      </c>
      <c r="AF448" s="45"/>
    </row>
    <row r="449">
      <c r="A449" s="42">
        <f>IFERROR(__xludf.DUMMYFUNCTION("""COMPUTED_VALUE"""),45546.49622020833)</f>
        <v>45546.49622</v>
      </c>
      <c r="B449" s="43" t="str">
        <f>IFERROR(__xludf.DUMMYFUNCTION("""COMPUTED_VALUE"""),"Bautista")</f>
        <v>Bautista</v>
      </c>
      <c r="C449" s="43" t="str">
        <f>IFERROR(__xludf.DUMMYFUNCTION("""COMPUTED_VALUE"""),"Iriberri")</f>
        <v>Iriberri</v>
      </c>
      <c r="D449" s="43" t="str">
        <f>IFERROR(__xludf.DUMMYFUNCTION("""COMPUTED_VALUE"""),"Belen de escobar")</f>
        <v>Belen de escobar</v>
      </c>
      <c r="E449" s="45" t="str">
        <f>IFERROR(__xludf.DUMMYFUNCTION("""COMPUTED_VALUE"""),"ARG")</f>
        <v>ARG</v>
      </c>
      <c r="F449" s="45">
        <f>IFERROR(__xludf.DUMMYFUNCTION("""COMPUTED_VALUE"""),4.9121519E7)</f>
        <v>49121519</v>
      </c>
      <c r="G449" s="44">
        <f>IFERROR(__xludf.DUMMYFUNCTION("""COMPUTED_VALUE"""),39736.0)</f>
        <v>39736</v>
      </c>
      <c r="H449" s="45" t="str">
        <f>IFERROR(__xludf.DUMMYFUNCTION("""COMPUTED_VALUE"""),"+54 9 11 5474-3874")</f>
        <v>+54 9 11 5474-3874</v>
      </c>
      <c r="I449" s="45" t="str">
        <f>IFERROR(__xludf.DUMMYFUNCTION("""COMPUTED_VALUE"""),"+54 9 11 5474-3874")</f>
        <v>+54 9 11 5474-3874</v>
      </c>
      <c r="J449" s="45" t="str">
        <f>IFERROR(__xludf.DUMMYFUNCTION("""COMPUTED_VALUE"""),"Bautiiriberri@gmail.com")</f>
        <v>Bautiiriberri@gmail.com</v>
      </c>
      <c r="K449" s="45" t="str">
        <f>IFERROR(__xludf.DUMMYFUNCTION("""COMPUTED_VALUE"""),"Masculino")</f>
        <v>Masculino</v>
      </c>
      <c r="L449" s="45" t="str">
        <f>IFERROR(__xludf.DUMMYFUNCTION("""COMPUTED_VALUE"""),"CVB")</f>
        <v>CVB</v>
      </c>
      <c r="M449" s="45"/>
      <c r="N449" s="45">
        <f>IFERROR(__xludf.DUMMYFUNCTION("""COMPUTED_VALUE"""),420.0)</f>
        <v>420</v>
      </c>
      <c r="O449" s="7">
        <f>IFERROR(__xludf.DUMMYFUNCTION("""COMPUTED_VALUE"""),81.0)</f>
        <v>81</v>
      </c>
      <c r="P449" s="7">
        <f>IFERROR(__xludf.DUMMYFUNCTION("""COMPUTED_VALUE"""),56307.0)</f>
        <v>56307</v>
      </c>
      <c r="Q449" s="45"/>
      <c r="R449" s="45" t="str">
        <f>IFERROR(__xludf.DUMMYFUNCTION("""COMPUTED_VALUE"""),"Lucas restaino")</f>
        <v>Lucas restaino</v>
      </c>
      <c r="S449" s="45"/>
      <c r="T449" s="45"/>
      <c r="U449" s="45"/>
      <c r="V449" s="45"/>
      <c r="W449" s="45"/>
      <c r="X449" s="47"/>
      <c r="Y449" s="45" t="str">
        <f>IFERROR(__xludf.DUMMYFUNCTION("""COMPUTED_VALUE"""),"No")</f>
        <v>No</v>
      </c>
      <c r="Z449" s="45" t="str">
        <f>IFERROR(__xludf.DUMMYFUNCTION("""COMPUTED_VALUE"""),"Acepto")</f>
        <v>Acepto</v>
      </c>
      <c r="AA449" s="45" t="str">
        <f>IFERROR(__xludf.DUMMYFUNCTION("""COMPUTED_VALUE"""),"Pendiente")</f>
        <v>Pendiente</v>
      </c>
      <c r="AB449" s="45"/>
      <c r="AC449" s="7"/>
      <c r="AD449" s="7"/>
      <c r="AE449" s="7" t="str">
        <f>IFERROR(__xludf.DUMMYFUNCTION("""COMPUTED_VALUE"""),"OK")</f>
        <v>OK</v>
      </c>
      <c r="AF449" s="45"/>
    </row>
    <row r="450">
      <c r="A450" s="42">
        <f>IFERROR(__xludf.DUMMYFUNCTION("""COMPUTED_VALUE"""),45546.49752322916)</f>
        <v>45546.49752</v>
      </c>
      <c r="B450" s="43" t="str">
        <f>IFERROR(__xludf.DUMMYFUNCTION("""COMPUTED_VALUE"""),"Matias  ")</f>
        <v>Matias  </v>
      </c>
      <c r="C450" s="43" t="str">
        <f>IFERROR(__xludf.DUMMYFUNCTION("""COMPUTED_VALUE"""),"Fernandez")</f>
        <v>Fernandez</v>
      </c>
      <c r="D450" s="43" t="str">
        <f>IFERROR(__xludf.DUMMYFUNCTION("""COMPUTED_VALUE"""),"San isidro, bs as")</f>
        <v>San isidro, bs as</v>
      </c>
      <c r="E450" s="45" t="str">
        <f>IFERROR(__xludf.DUMMYFUNCTION("""COMPUTED_VALUE"""),"ARG")</f>
        <v>ARG</v>
      </c>
      <c r="F450" s="45">
        <f>IFERROR(__xludf.DUMMYFUNCTION("""COMPUTED_VALUE"""),4.8590122E7)</f>
        <v>48590122</v>
      </c>
      <c r="G450" s="44">
        <f>IFERROR(__xludf.DUMMYFUNCTION("""COMPUTED_VALUE"""),39519.0)</f>
        <v>39519</v>
      </c>
      <c r="H450" s="45">
        <f>IFERROR(__xludf.DUMMYFUNCTION("""COMPUTED_VALUE"""),1.25083999E8)</f>
        <v>125083999</v>
      </c>
      <c r="I450" s="45">
        <f>IFERROR(__xludf.DUMMYFUNCTION("""COMPUTED_VALUE"""),1.169661972E9)</f>
        <v>1169661972</v>
      </c>
      <c r="J450" s="45" t="str">
        <f>IFERROR(__xludf.DUMMYFUNCTION("""COMPUTED_VALUE"""),"matiasnicolasfernandezgonzalez@gmail.com")</f>
        <v>matiasnicolasfernandezgonzalez@gmail.com</v>
      </c>
      <c r="K450" s="45" t="str">
        <f>IFERROR(__xludf.DUMMYFUNCTION("""COMPUTED_VALUE"""),"Masculino")</f>
        <v>Masculino</v>
      </c>
      <c r="L450" s="45" t="str">
        <f>IFERROR(__xludf.DUMMYFUNCTION("""COMPUTED_VALUE"""),"CPNLB")</f>
        <v>CPNLB</v>
      </c>
      <c r="M450" s="45"/>
      <c r="N450" s="45">
        <f>IFERROR(__xludf.DUMMYFUNCTION("""COMPUTED_VALUE"""),420.0)</f>
        <v>420</v>
      </c>
      <c r="O450" s="7">
        <f>IFERROR(__xludf.DUMMYFUNCTION("""COMPUTED_VALUE"""),72.0)</f>
        <v>72</v>
      </c>
      <c r="P450" s="7">
        <f>IFERROR(__xludf.DUMMYFUNCTION("""COMPUTED_VALUE"""),55348.0)</f>
        <v>55348</v>
      </c>
      <c r="Q450" s="45"/>
      <c r="R450" s="45" t="str">
        <f>IFERROR(__xludf.DUMMYFUNCTION("""COMPUTED_VALUE"""),"Fernandez Matias")</f>
        <v>Fernandez Matias</v>
      </c>
      <c r="S450" s="45" t="str">
        <f>IFERROR(__xludf.DUMMYFUNCTION("""COMPUTED_VALUE"""),"Felix Burg")</f>
        <v>Felix Burg</v>
      </c>
      <c r="T450" s="45"/>
      <c r="U450" s="45"/>
      <c r="V450" s="45"/>
      <c r="W450" s="45"/>
      <c r="X450" s="47" t="str">
        <f>IFERROR(__xludf.DUMMYFUNCTION("""COMPUTED_VALUE"""),"Osde 210")</f>
        <v>Osde 210</v>
      </c>
      <c r="Y450" s="45" t="str">
        <f>IFERROR(__xludf.DUMMYFUNCTION("""COMPUTED_VALUE"""),"No")</f>
        <v>No</v>
      </c>
      <c r="Z450" s="45" t="str">
        <f>IFERROR(__xludf.DUMMYFUNCTION("""COMPUTED_VALUE"""),"Acepto")</f>
        <v>Acepto</v>
      </c>
      <c r="AA450" s="45" t="str">
        <f>IFERROR(__xludf.DUMMYFUNCTION("""COMPUTED_VALUE"""),"Pendiente")</f>
        <v>Pendiente</v>
      </c>
      <c r="AB450" s="45"/>
      <c r="AC450" s="7"/>
      <c r="AD450" s="7"/>
      <c r="AE450" s="7" t="str">
        <f>IFERROR(__xludf.DUMMYFUNCTION("""COMPUTED_VALUE"""),"OK")</f>
        <v>OK</v>
      </c>
      <c r="AF450" s="45"/>
    </row>
    <row r="451">
      <c r="A451" s="42">
        <f>IFERROR(__xludf.DUMMYFUNCTION("""COMPUTED_VALUE"""),45546.522915891204)</f>
        <v>45546.52292</v>
      </c>
      <c r="B451" s="43" t="str">
        <f>IFERROR(__xludf.DUMMYFUNCTION("""COMPUTED_VALUE"""),"ROCIO")</f>
        <v>ROCIO</v>
      </c>
      <c r="C451" s="43" t="str">
        <f>IFERROR(__xludf.DUMMYFUNCTION("""COMPUTED_VALUE"""),"SUAREZ VAZQUEZ")</f>
        <v>SUAREZ VAZQUEZ</v>
      </c>
      <c r="D451" s="43" t="str">
        <f>IFERROR(__xludf.DUMMYFUNCTION("""COMPUTED_VALUE"""),"BUENOS AIRES")</f>
        <v>BUENOS AIRES</v>
      </c>
      <c r="E451" s="45" t="str">
        <f>IFERROR(__xludf.DUMMYFUNCTION("""COMPUTED_VALUE"""),"ARG")</f>
        <v>ARG</v>
      </c>
      <c r="F451" s="45">
        <f>IFERROR(__xludf.DUMMYFUNCTION("""COMPUTED_VALUE"""),5.3718044E7)</f>
        <v>53718044</v>
      </c>
      <c r="G451" s="44">
        <f>IFERROR(__xludf.DUMMYFUNCTION("""COMPUTED_VALUE"""),41678.0)</f>
        <v>41678</v>
      </c>
      <c r="H451" s="45">
        <f>IFERROR(__xludf.DUMMYFUNCTION("""COMPUTED_VALUE"""),1.13413993E9)</f>
        <v>1134139930</v>
      </c>
      <c r="I451" s="45">
        <f>IFERROR(__xludf.DUMMYFUNCTION("""COMPUTED_VALUE"""),1.13413993E9)</f>
        <v>1134139930</v>
      </c>
      <c r="J451" s="45" t="str">
        <f>IFERROR(__xludf.DUMMYFUNCTION("""COMPUTED_VALUE"""),"hernan.suarez@northsails.com")</f>
        <v>hernan.suarez@northsails.com</v>
      </c>
      <c r="K451" s="45" t="str">
        <f>IFERROR(__xludf.DUMMYFUNCTION("""COMPUTED_VALUE"""),"Femenino")</f>
        <v>Femenino</v>
      </c>
      <c r="L451" s="45" t="str">
        <f>IFERROR(__xludf.DUMMYFUNCTION("""COMPUTED_VALUE"""),"YCA")</f>
        <v>YCA</v>
      </c>
      <c r="M451" s="45" t="str">
        <f>IFERROR(__xludf.DUMMYFUNCTION("""COMPUTED_VALUE"""),"Femenino")</f>
        <v>Femenino</v>
      </c>
      <c r="N451" s="45" t="str">
        <f>IFERROR(__xludf.DUMMYFUNCTION("""COMPUTED_VALUE"""),"OPTIMIST PRINCIPIANTES")</f>
        <v>OPTIMIST PRINCIPIANTES</v>
      </c>
      <c r="O451" s="7"/>
      <c r="P451" s="7">
        <f>IFERROR(__xludf.DUMMYFUNCTION("""COMPUTED_VALUE"""),3507.0)</f>
        <v>3507</v>
      </c>
      <c r="Q451" s="45" t="str">
        <f>IFERROR(__xludf.DUMMYFUNCTION("""COMPUTED_VALUE"""),"BESTIA")</f>
        <v>BESTIA</v>
      </c>
      <c r="R451" s="45"/>
      <c r="S451" s="45"/>
      <c r="T451" s="45"/>
      <c r="U451" s="45"/>
      <c r="V451" s="45"/>
      <c r="W451" s="45"/>
      <c r="X451" s="47" t="str">
        <f>IFERROR(__xludf.DUMMYFUNCTION("""COMPUTED_VALUE"""),"OSDE")</f>
        <v>OSDE</v>
      </c>
      <c r="Y451" s="45" t="str">
        <f>IFERROR(__xludf.DUMMYFUNCTION("""COMPUTED_VALUE"""),"No")</f>
        <v>No</v>
      </c>
      <c r="Z451" s="45" t="str">
        <f>IFERROR(__xludf.DUMMYFUNCTION("""COMPUTED_VALUE"""),"Acepto")</f>
        <v>Acepto</v>
      </c>
      <c r="AA451" s="45" t="str">
        <f>IFERROR(__xludf.DUMMYFUNCTION("""COMPUTED_VALUE"""),"Terminado")</f>
        <v>Terminado</v>
      </c>
      <c r="AB451" s="45">
        <f>IFERROR(__xludf.DUMMYFUNCTION("""COMPUTED_VALUE"""),50000.0)</f>
        <v>50000</v>
      </c>
      <c r="AC451" s="7">
        <f>IFERROR(__xludf.DUMMYFUNCTION("""COMPUTED_VALUE"""),205679.0)</f>
        <v>205679</v>
      </c>
      <c r="AD451" s="7" t="str">
        <f>IFERROR(__xludf.DUMMYFUNCTION("""COMPUTED_VALUE"""),"TRF 11-09")</f>
        <v>TRF 11-09</v>
      </c>
      <c r="AE451" s="7" t="str">
        <f>IFERROR(__xludf.DUMMYFUNCTION("""COMPUTED_VALUE"""),"OK")</f>
        <v>OK</v>
      </c>
      <c r="AF451" s="45"/>
    </row>
    <row r="452">
      <c r="A452" s="42">
        <f>IFERROR(__xludf.DUMMYFUNCTION("""COMPUTED_VALUE"""),45546.53299890047)</f>
        <v>45546.533</v>
      </c>
      <c r="B452" s="43" t="str">
        <f>IFERROR(__xludf.DUMMYFUNCTION("""COMPUTED_VALUE"""),"Isabel")</f>
        <v>Isabel</v>
      </c>
      <c r="C452" s="43" t="str">
        <f>IFERROR(__xludf.DUMMYFUNCTION("""COMPUTED_VALUE"""),"Busch")</f>
        <v>Busch</v>
      </c>
      <c r="D452" s="43" t="str">
        <f>IFERROR(__xludf.DUMMYFUNCTION("""COMPUTED_VALUE"""),"Ex de la cruz")</f>
        <v>Ex de la cruz</v>
      </c>
      <c r="E452" s="45" t="str">
        <f>IFERROR(__xludf.DUMMYFUNCTION("""COMPUTED_VALUE"""),"ARG")</f>
        <v>ARG</v>
      </c>
      <c r="F452" s="45">
        <f>IFERROR(__xludf.DUMMYFUNCTION("""COMPUTED_VALUE"""),4.6571854E7)</f>
        <v>46571854</v>
      </c>
      <c r="G452" s="44">
        <f>IFERROR(__xludf.DUMMYFUNCTION("""COMPUTED_VALUE"""),38525.0)</f>
        <v>38525</v>
      </c>
      <c r="H452" s="45" t="str">
        <f>IFERROR(__xludf.DUMMYFUNCTION("""COMPUTED_VALUE"""),"11 6227 3996 ")</f>
        <v>11 6227 3996 </v>
      </c>
      <c r="I452" s="45" t="str">
        <f>IFERROR(__xludf.DUMMYFUNCTION("""COMPUTED_VALUE"""),"02323472365")</f>
        <v>02323472365</v>
      </c>
      <c r="J452" s="45" t="str">
        <f>IFERROR(__xludf.DUMMYFUNCTION("""COMPUTED_VALUE"""),"isabel.busch22@gmail.com")</f>
        <v>isabel.busch22@gmail.com</v>
      </c>
      <c r="K452" s="45" t="str">
        <f>IFERROR(__xludf.DUMMYFUNCTION("""COMPUTED_VALUE"""),"Femenino")</f>
        <v>Femenino</v>
      </c>
      <c r="L452" s="45" t="str">
        <f>IFERROR(__xludf.DUMMYFUNCTION("""COMPUTED_VALUE"""),"CNSI")</f>
        <v>CNSI</v>
      </c>
      <c r="M452" s="45" t="str">
        <f>IFERROR(__xludf.DUMMYFUNCTION("""COMPUTED_VALUE"""),"Femenino")</f>
        <v>Femenino</v>
      </c>
      <c r="N452" s="45" t="str">
        <f>IFERROR(__xludf.DUMMYFUNCTION("""COMPUTED_VALUE"""),"ILCA 6")</f>
        <v>ILCA 6</v>
      </c>
      <c r="O452" s="7"/>
      <c r="P452" s="7">
        <f>IFERROR(__xludf.DUMMYFUNCTION("""COMPUTED_VALUE"""),202568.0)</f>
        <v>202568</v>
      </c>
      <c r="Q452" s="45" t="str">
        <f>IFERROR(__xludf.DUMMYFUNCTION("""COMPUTED_VALUE"""),"Pequeña brisa")</f>
        <v>Pequeña brisa</v>
      </c>
      <c r="R452" s="45"/>
      <c r="S452" s="45"/>
      <c r="T452" s="45"/>
      <c r="U452" s="45"/>
      <c r="V452" s="45"/>
      <c r="W452" s="45"/>
      <c r="X452" s="47" t="str">
        <f>IFERROR(__xludf.DUMMYFUNCTION("""COMPUTED_VALUE"""),"IOMA ")</f>
        <v>IOMA </v>
      </c>
      <c r="Y452" s="45" t="str">
        <f>IFERROR(__xludf.DUMMYFUNCTION("""COMPUTED_VALUE"""),"No")</f>
        <v>No</v>
      </c>
      <c r="Z452" s="45" t="str">
        <f>IFERROR(__xludf.DUMMYFUNCTION("""COMPUTED_VALUE"""),"Acepto")</f>
        <v>Acepto</v>
      </c>
      <c r="AA452" s="45" t="str">
        <f>IFERROR(__xludf.DUMMYFUNCTION("""COMPUTED_VALUE"""),"Terminado")</f>
        <v>Terminado</v>
      </c>
      <c r="AB452" s="45">
        <f>IFERROR(__xludf.DUMMYFUNCTION("""COMPUTED_VALUE"""),45000.0)</f>
        <v>45000</v>
      </c>
      <c r="AC452" s="7">
        <f>IFERROR(__xludf.DUMMYFUNCTION("""COMPUTED_VALUE"""),205690.0)</f>
        <v>205690</v>
      </c>
      <c r="AD452" s="7" t="str">
        <f>IFERROR(__xludf.DUMMYFUNCTION("""COMPUTED_VALUE"""),"TRF 11-09")</f>
        <v>TRF 11-09</v>
      </c>
      <c r="AE452" s="7" t="str">
        <f>IFERROR(__xludf.DUMMYFUNCTION("""COMPUTED_VALUE"""),"No Corresp")</f>
        <v>No Corresp</v>
      </c>
      <c r="AF452" s="45" t="str">
        <f>IFERROR(__xludf.DUMMYFUNCTION("""COMPUTED_VALUE"""),"SI")</f>
        <v>SI</v>
      </c>
    </row>
    <row r="453">
      <c r="A453" s="42">
        <f>IFERROR(__xludf.DUMMYFUNCTION("""COMPUTED_VALUE"""),45546.56936357639)</f>
        <v>45546.56936</v>
      </c>
      <c r="B453" s="43" t="str">
        <f>IFERROR(__xludf.DUMMYFUNCTION("""COMPUTED_VALUE"""),"Tomas")</f>
        <v>Tomas</v>
      </c>
      <c r="C453" s="43" t="str">
        <f>IFERROR(__xludf.DUMMYFUNCTION("""COMPUTED_VALUE"""),"Atanasoff")</f>
        <v>Atanasoff</v>
      </c>
      <c r="D453" s="43" t="str">
        <f>IFERROR(__xludf.DUMMYFUNCTION("""COMPUTED_VALUE"""),"Buenos Aires")</f>
        <v>Buenos Aires</v>
      </c>
      <c r="E453" s="45" t="str">
        <f>IFERROR(__xludf.DUMMYFUNCTION("""COMPUTED_VALUE"""),"ARG")</f>
        <v>ARG</v>
      </c>
      <c r="F453" s="45">
        <f>IFERROR(__xludf.DUMMYFUNCTION("""COMPUTED_VALUE"""),4.9059091E7)</f>
        <v>49059091</v>
      </c>
      <c r="G453" s="44">
        <f>IFERROR(__xludf.DUMMYFUNCTION("""COMPUTED_VALUE"""),39752.0)</f>
        <v>39752</v>
      </c>
      <c r="H453" s="45">
        <f>IFERROR(__xludf.DUMMYFUNCTION("""COMPUTED_VALUE"""),1.146738058E9)</f>
        <v>1146738058</v>
      </c>
      <c r="I453" s="45">
        <f>IFERROR(__xludf.DUMMYFUNCTION("""COMPUTED_VALUE"""),1.149151135E9)</f>
        <v>1149151135</v>
      </c>
      <c r="J453" s="45" t="str">
        <f>IFERROR(__xludf.DUMMYFUNCTION("""COMPUTED_VALUE"""),"atanasoffariel@hotmail.com")</f>
        <v>atanasoffariel@hotmail.com</v>
      </c>
      <c r="K453" s="45" t="str">
        <f>IFERROR(__xludf.DUMMYFUNCTION("""COMPUTED_VALUE"""),"Masculino")</f>
        <v>Masculino</v>
      </c>
      <c r="L453" s="45" t="str">
        <f>IFERROR(__xludf.DUMMYFUNCTION("""COMPUTED_VALUE"""),"Yccn")</f>
        <v>Yccn</v>
      </c>
      <c r="M453" s="45"/>
      <c r="N453" s="45" t="str">
        <f>IFERROR(__xludf.DUMMYFUNCTION("""COMPUTED_VALUE"""),"CADET")</f>
        <v>CADET</v>
      </c>
      <c r="O453" s="7"/>
      <c r="P453" s="7">
        <f>IFERROR(__xludf.DUMMYFUNCTION("""COMPUTED_VALUE"""),9728.0)</f>
        <v>9728</v>
      </c>
      <c r="Q453" s="45"/>
      <c r="R453" s="45" t="str">
        <f>IFERROR(__xludf.DUMMYFUNCTION("""COMPUTED_VALUE"""),"Salvador Lastra")</f>
        <v>Salvador Lastra</v>
      </c>
      <c r="S453" s="45"/>
      <c r="T453" s="45"/>
      <c r="U453" s="45"/>
      <c r="V453" s="45"/>
      <c r="W453" s="45"/>
      <c r="X453" s="47" t="str">
        <f>IFERROR(__xludf.DUMMYFUNCTION("""COMPUTED_VALUE"""),"Osde")</f>
        <v>Osde</v>
      </c>
      <c r="Y453" s="45" t="str">
        <f>IFERROR(__xludf.DUMMYFUNCTION("""COMPUTED_VALUE"""),"No")</f>
        <v>No</v>
      </c>
      <c r="Z453" s="45" t="str">
        <f>IFERROR(__xludf.DUMMYFUNCTION("""COMPUTED_VALUE"""),"Acepto")</f>
        <v>Acepto</v>
      </c>
      <c r="AA453" s="45" t="str">
        <f>IFERROR(__xludf.DUMMYFUNCTION("""COMPUTED_VALUE"""),"Pendiente")</f>
        <v>Pendiente</v>
      </c>
      <c r="AB453" s="45"/>
      <c r="AC453" s="7"/>
      <c r="AD453" s="7"/>
      <c r="AE453" s="7" t="str">
        <f>IFERROR(__xludf.DUMMYFUNCTION("""COMPUTED_VALUE"""),"OK")</f>
        <v>OK</v>
      </c>
      <c r="AF453" s="45"/>
    </row>
    <row r="454">
      <c r="A454" s="42">
        <f>IFERROR(__xludf.DUMMYFUNCTION("""COMPUTED_VALUE"""),45546.57291310185)</f>
        <v>45546.57291</v>
      </c>
      <c r="B454" s="43" t="str">
        <f>IFERROR(__xludf.DUMMYFUNCTION("""COMPUTED_VALUE"""),"Marco ")</f>
        <v>Marco </v>
      </c>
      <c r="C454" s="43" t="str">
        <f>IFERROR(__xludf.DUMMYFUNCTION("""COMPUTED_VALUE"""),"Bertone")</f>
        <v>Bertone</v>
      </c>
      <c r="D454" s="43" t="str">
        <f>IFERROR(__xludf.DUMMYFUNCTION("""COMPUTED_VALUE"""),"Hurlingham ")</f>
        <v>Hurlingham </v>
      </c>
      <c r="E454" s="45" t="str">
        <f>IFERROR(__xludf.DUMMYFUNCTION("""COMPUTED_VALUE"""),"ARG")</f>
        <v>ARG</v>
      </c>
      <c r="F454" s="45">
        <f>IFERROR(__xludf.DUMMYFUNCTION("""COMPUTED_VALUE"""),5.030509E7)</f>
        <v>50305090</v>
      </c>
      <c r="G454" s="44">
        <f>IFERROR(__xludf.DUMMYFUNCTION("""COMPUTED_VALUE"""),40306.0)</f>
        <v>40306</v>
      </c>
      <c r="H454" s="45">
        <f>IFERROR(__xludf.DUMMYFUNCTION("""COMPUTED_VALUE"""),1.168212201E9)</f>
        <v>1168212201</v>
      </c>
      <c r="I454" s="45">
        <f>IFERROR(__xludf.DUMMYFUNCTION("""COMPUTED_VALUE"""),1.168212201E9)</f>
        <v>1168212201</v>
      </c>
      <c r="J454" s="45" t="str">
        <f>IFERROR(__xludf.DUMMYFUNCTION("""COMPUTED_VALUE"""),"mariacarolinagarcia@icloud.com")</f>
        <v>mariacarolinagarcia@icloud.com</v>
      </c>
      <c r="K454" s="45" t="str">
        <f>IFERROR(__xludf.DUMMYFUNCTION("""COMPUTED_VALUE"""),"Masculino")</f>
        <v>Masculino</v>
      </c>
      <c r="L454" s="45" t="str">
        <f>IFERROR(__xludf.DUMMYFUNCTION("""COMPUTED_VALUE"""),"YCA")</f>
        <v>YCA</v>
      </c>
      <c r="M454" s="45"/>
      <c r="N454" s="45" t="str">
        <f>IFERROR(__xludf.DUMMYFUNCTION("""COMPUTED_VALUE"""),"OPTIMIST PRINCIPIANTES")</f>
        <v>OPTIMIST PRINCIPIANTES</v>
      </c>
      <c r="O454" s="7"/>
      <c r="P454" s="7" t="str">
        <f>IFERROR(__xludf.DUMMYFUNCTION("""COMPUTED_VALUE"""),"Arg 3697")</f>
        <v>Arg 3697</v>
      </c>
      <c r="Q454" s="45" t="str">
        <f>IFERROR(__xludf.DUMMYFUNCTION("""COMPUTED_VALUE"""),"Skywalker")</f>
        <v>Skywalker</v>
      </c>
      <c r="R454" s="45"/>
      <c r="S454" s="45"/>
      <c r="T454" s="45"/>
      <c r="U454" s="45"/>
      <c r="V454" s="45"/>
      <c r="W454" s="45"/>
      <c r="X454" s="47" t="str">
        <f>IFERROR(__xludf.DUMMYFUNCTION("""COMPUTED_VALUE"""),"Dosuba 116890-01")</f>
        <v>Dosuba 116890-01</v>
      </c>
      <c r="Y454" s="45" t="str">
        <f>IFERROR(__xludf.DUMMYFUNCTION("""COMPUTED_VALUE"""),"No")</f>
        <v>No</v>
      </c>
      <c r="Z454" s="45" t="str">
        <f>IFERROR(__xludf.DUMMYFUNCTION("""COMPUTED_VALUE"""),"Acepto")</f>
        <v>Acepto</v>
      </c>
      <c r="AA454" s="45" t="str">
        <f>IFERROR(__xludf.DUMMYFUNCTION("""COMPUTED_VALUE"""),"Terminado")</f>
        <v>Terminado</v>
      </c>
      <c r="AB454" s="45">
        <f>IFERROR(__xludf.DUMMYFUNCTION("""COMPUTED_VALUE"""),50000.0)</f>
        <v>50000</v>
      </c>
      <c r="AC454" s="7">
        <f>IFERROR(__xludf.DUMMYFUNCTION("""COMPUTED_VALUE"""),205691.0)</f>
        <v>205691</v>
      </c>
      <c r="AD454" s="7" t="str">
        <f>IFERROR(__xludf.DUMMYFUNCTION("""COMPUTED_VALUE"""),"TRF 11-09")</f>
        <v>TRF 11-09</v>
      </c>
      <c r="AE454" s="7" t="str">
        <f>IFERROR(__xludf.DUMMYFUNCTION("""COMPUTED_VALUE"""),"OK")</f>
        <v>OK</v>
      </c>
      <c r="AF454" s="45"/>
    </row>
    <row r="455">
      <c r="A455" s="42">
        <f>IFERROR(__xludf.DUMMYFUNCTION("""COMPUTED_VALUE"""),45546.63327863426)</f>
        <v>45546.63328</v>
      </c>
      <c r="B455" s="43" t="str">
        <f>IFERROR(__xludf.DUMMYFUNCTION("""COMPUTED_VALUE"""),"Lucas")</f>
        <v>Lucas</v>
      </c>
      <c r="C455" s="43" t="str">
        <f>IFERROR(__xludf.DUMMYFUNCTION("""COMPUTED_VALUE"""),"Boeri Di Giorgio")</f>
        <v>Boeri Di Giorgio</v>
      </c>
      <c r="D455" s="43" t="str">
        <f>IFERROR(__xludf.DUMMYFUNCTION("""COMPUTED_VALUE"""),"La lucila")</f>
        <v>La lucila</v>
      </c>
      <c r="E455" s="45" t="str">
        <f>IFERROR(__xludf.DUMMYFUNCTION("""COMPUTED_VALUE"""),"ARG")</f>
        <v>ARG</v>
      </c>
      <c r="F455" s="45">
        <f>IFERROR(__xludf.DUMMYFUNCTION("""COMPUTED_VALUE"""),5.2030773E7)</f>
        <v>52030773</v>
      </c>
      <c r="G455" s="44">
        <f>IFERROR(__xludf.DUMMYFUNCTION("""COMPUTED_VALUE"""),40956.0)</f>
        <v>40956</v>
      </c>
      <c r="H455" s="45">
        <f>IFERROR(__xludf.DUMMYFUNCTION("""COMPUTED_VALUE"""),1.140960504E9)</f>
        <v>1140960504</v>
      </c>
      <c r="I455" s="45">
        <f>IFERROR(__xludf.DUMMYFUNCTION("""COMPUTED_VALUE"""),1.140960504E9)</f>
        <v>1140960504</v>
      </c>
      <c r="J455" s="45" t="str">
        <f>IFERROR(__xludf.DUMMYFUNCTION("""COMPUTED_VALUE"""),"Hernanboeri@gmail.com")</f>
        <v>Hernanboeri@gmail.com</v>
      </c>
      <c r="K455" s="45" t="str">
        <f>IFERROR(__xludf.DUMMYFUNCTION("""COMPUTED_VALUE"""),"Masculino")</f>
        <v>Masculino</v>
      </c>
      <c r="L455" s="45" t="str">
        <f>IFERROR(__xludf.DUMMYFUNCTION("""COMPUTED_VALUE"""),"Cpnlb")</f>
        <v>Cpnlb</v>
      </c>
      <c r="M455" s="45" t="str">
        <f>IFERROR(__xludf.DUMMYFUNCTION("""COMPUTED_VALUE"""),"Interior (Optimist)")</f>
        <v>Interior (Optimist)</v>
      </c>
      <c r="N455" s="45" t="str">
        <f>IFERROR(__xludf.DUMMYFUNCTION("""COMPUTED_VALUE"""),"OPTIMIST TIMONELES")</f>
        <v>OPTIMIST TIMONELES</v>
      </c>
      <c r="O455" s="7"/>
      <c r="P455" s="7" t="str">
        <f>IFERROR(__xludf.DUMMYFUNCTION("""COMPUTED_VALUE"""),"USA 23061")</f>
        <v>USA 23061</v>
      </c>
      <c r="Q455" s="45"/>
      <c r="R455" s="45"/>
      <c r="S455" s="45"/>
      <c r="T455" s="45"/>
      <c r="U455" s="45"/>
      <c r="V455" s="45"/>
      <c r="W455" s="45"/>
      <c r="X455" s="47" t="str">
        <f>IFERROR(__xludf.DUMMYFUNCTION("""COMPUTED_VALUE"""),"Osde")</f>
        <v>Osde</v>
      </c>
      <c r="Y455" s="45" t="str">
        <f>IFERROR(__xludf.DUMMYFUNCTION("""COMPUTED_VALUE"""),"Si")</f>
        <v>Si</v>
      </c>
      <c r="Z455" s="45" t="str">
        <f>IFERROR(__xludf.DUMMYFUNCTION("""COMPUTED_VALUE"""),"Acepto")</f>
        <v>Acepto</v>
      </c>
      <c r="AA455" s="45" t="str">
        <f>IFERROR(__xludf.DUMMYFUNCTION("""COMPUTED_VALUE"""),"Pendiente")</f>
        <v>Pendiente</v>
      </c>
      <c r="AB455" s="45"/>
      <c r="AC455" s="7"/>
      <c r="AD455" s="7"/>
      <c r="AE455" s="7" t="str">
        <f>IFERROR(__xludf.DUMMYFUNCTION("""COMPUTED_VALUE"""),"OK")</f>
        <v>OK</v>
      </c>
      <c r="AF455" s="45" t="str">
        <f>IFERROR(__xludf.DUMMYFUNCTION("""COMPUTED_VALUE"""),"SI")</f>
        <v>SI</v>
      </c>
    </row>
    <row r="456">
      <c r="A456" s="42">
        <f>IFERROR(__xludf.DUMMYFUNCTION("""COMPUTED_VALUE"""),45546.63536767361)</f>
        <v>45546.63537</v>
      </c>
      <c r="B456" s="43" t="str">
        <f>IFERROR(__xludf.DUMMYFUNCTION("""COMPUTED_VALUE"""),"Mateo")</f>
        <v>Mateo</v>
      </c>
      <c r="C456" s="43" t="str">
        <f>IFERROR(__xludf.DUMMYFUNCTION("""COMPUTED_VALUE"""),"Boeri Di Giorgio")</f>
        <v>Boeri Di Giorgio</v>
      </c>
      <c r="D456" s="43" t="str">
        <f>IFERROR(__xludf.DUMMYFUNCTION("""COMPUTED_VALUE"""),"La Lucila")</f>
        <v>La Lucila</v>
      </c>
      <c r="E456" s="45" t="str">
        <f>IFERROR(__xludf.DUMMYFUNCTION("""COMPUTED_VALUE"""),"ARG")</f>
        <v>ARG</v>
      </c>
      <c r="F456" s="45">
        <f>IFERROR(__xludf.DUMMYFUNCTION("""COMPUTED_VALUE"""),5.0075107E7)</f>
        <v>50075107</v>
      </c>
      <c r="G456" s="44">
        <f>IFERROR(__xludf.DUMMYFUNCTION("""COMPUTED_VALUE"""),40197.0)</f>
        <v>40197</v>
      </c>
      <c r="H456" s="45">
        <f>IFERROR(__xludf.DUMMYFUNCTION("""COMPUTED_VALUE"""),1.140960504E9)</f>
        <v>1140960504</v>
      </c>
      <c r="I456" s="45">
        <f>IFERROR(__xludf.DUMMYFUNCTION("""COMPUTED_VALUE"""),1.140960504E9)</f>
        <v>1140960504</v>
      </c>
      <c r="J456" s="45" t="str">
        <f>IFERROR(__xludf.DUMMYFUNCTION("""COMPUTED_VALUE"""),"Hernanboeri@gmail.com")</f>
        <v>Hernanboeri@gmail.com</v>
      </c>
      <c r="K456" s="45" t="str">
        <f>IFERROR(__xludf.DUMMYFUNCTION("""COMPUTED_VALUE"""),"Masculino")</f>
        <v>Masculino</v>
      </c>
      <c r="L456" s="45" t="str">
        <f>IFERROR(__xludf.DUMMYFUNCTION("""COMPUTED_VALUE"""),"Cpnlb")</f>
        <v>Cpnlb</v>
      </c>
      <c r="M456" s="45" t="str">
        <f>IFERROR(__xludf.DUMMYFUNCTION("""COMPUTED_VALUE"""),"Interior (Optimist)")</f>
        <v>Interior (Optimist)</v>
      </c>
      <c r="N456" s="45" t="str">
        <f>IFERROR(__xludf.DUMMYFUNCTION("""COMPUTED_VALUE"""),"OPTIMIST TIMONELES")</f>
        <v>OPTIMIST TIMONELES</v>
      </c>
      <c r="O456" s="7"/>
      <c r="P456" s="7">
        <f>IFERROR(__xludf.DUMMYFUNCTION("""COMPUTED_VALUE"""),4045.0)</f>
        <v>4045</v>
      </c>
      <c r="Q456" s="45"/>
      <c r="R456" s="45"/>
      <c r="S456" s="45"/>
      <c r="T456" s="45"/>
      <c r="U456" s="45"/>
      <c r="V456" s="45"/>
      <c r="W456" s="45"/>
      <c r="X456" s="47" t="str">
        <f>IFERROR(__xludf.DUMMYFUNCTION("""COMPUTED_VALUE"""),"Osde")</f>
        <v>Osde</v>
      </c>
      <c r="Y456" s="45" t="str">
        <f>IFERROR(__xludf.DUMMYFUNCTION("""COMPUTED_VALUE"""),"Si")</f>
        <v>Si</v>
      </c>
      <c r="Z456" s="45" t="str">
        <f>IFERROR(__xludf.DUMMYFUNCTION("""COMPUTED_VALUE"""),"Acepto")</f>
        <v>Acepto</v>
      </c>
      <c r="AA456" s="45" t="str">
        <f>IFERROR(__xludf.DUMMYFUNCTION("""COMPUTED_VALUE"""),"Pendiente")</f>
        <v>Pendiente</v>
      </c>
      <c r="AB456" s="45"/>
      <c r="AC456" s="7"/>
      <c r="AD456" s="7"/>
      <c r="AE456" s="7" t="str">
        <f>IFERROR(__xludf.DUMMYFUNCTION("""COMPUTED_VALUE"""),"OK")</f>
        <v>OK</v>
      </c>
      <c r="AF456" s="45" t="str">
        <f>IFERROR(__xludf.DUMMYFUNCTION("""COMPUTED_VALUE"""),"SI")</f>
        <v>SI</v>
      </c>
    </row>
    <row r="457">
      <c r="A457" s="42">
        <f>IFERROR(__xludf.DUMMYFUNCTION("""COMPUTED_VALUE"""),45546.63774982639)</f>
        <v>45546.63775</v>
      </c>
      <c r="B457" s="43" t="str">
        <f>IFERROR(__xludf.DUMMYFUNCTION("""COMPUTED_VALUE"""),"Camilo ")</f>
        <v>Camilo </v>
      </c>
      <c r="C457" s="43" t="str">
        <f>IFERROR(__xludf.DUMMYFUNCTION("""COMPUTED_VALUE"""),"Boeri Di Giorgio")</f>
        <v>Boeri Di Giorgio</v>
      </c>
      <c r="D457" s="43" t="str">
        <f>IFERROR(__xludf.DUMMYFUNCTION("""COMPUTED_VALUE"""),"La Lucila")</f>
        <v>La Lucila</v>
      </c>
      <c r="E457" s="45" t="str">
        <f>IFERROR(__xludf.DUMMYFUNCTION("""COMPUTED_VALUE"""),"ARG")</f>
        <v>ARG</v>
      </c>
      <c r="F457" s="45">
        <f>IFERROR(__xludf.DUMMYFUNCTION("""COMPUTED_VALUE"""),5.4038691E7)</f>
        <v>54038691</v>
      </c>
      <c r="G457" s="44">
        <f>IFERROR(__xludf.DUMMYFUNCTION("""COMPUTED_VALUE"""),41779.0)</f>
        <v>41779</v>
      </c>
      <c r="H457" s="45">
        <f>IFERROR(__xludf.DUMMYFUNCTION("""COMPUTED_VALUE"""),1.140960504E9)</f>
        <v>1140960504</v>
      </c>
      <c r="I457" s="45">
        <f>IFERROR(__xludf.DUMMYFUNCTION("""COMPUTED_VALUE"""),1.140960504E9)</f>
        <v>1140960504</v>
      </c>
      <c r="J457" s="45" t="str">
        <f>IFERROR(__xludf.DUMMYFUNCTION("""COMPUTED_VALUE"""),"Hernanboeri@gmail.com")</f>
        <v>Hernanboeri@gmail.com</v>
      </c>
      <c r="K457" s="45" t="str">
        <f>IFERROR(__xludf.DUMMYFUNCTION("""COMPUTED_VALUE"""),"Masculino")</f>
        <v>Masculino</v>
      </c>
      <c r="L457" s="45" t="str">
        <f>IFERROR(__xludf.DUMMYFUNCTION("""COMPUTED_VALUE"""),"Cpnlb")</f>
        <v>Cpnlb</v>
      </c>
      <c r="M457" s="45" t="str">
        <f>IFERROR(__xludf.DUMMYFUNCTION("""COMPUTED_VALUE"""),"Interior (Optimist)")</f>
        <v>Interior (Optimist)</v>
      </c>
      <c r="N457" s="45" t="str">
        <f>IFERROR(__xludf.DUMMYFUNCTION("""COMPUTED_VALUE"""),"OPTIMIST TIMONELES")</f>
        <v>OPTIMIST TIMONELES</v>
      </c>
      <c r="O457" s="7"/>
      <c r="P457" s="7">
        <f>IFERROR(__xludf.DUMMYFUNCTION("""COMPUTED_VALUE"""),3316.0)</f>
        <v>3316</v>
      </c>
      <c r="Q457" s="45"/>
      <c r="R457" s="45"/>
      <c r="S457" s="45"/>
      <c r="T457" s="45"/>
      <c r="U457" s="45"/>
      <c r="V457" s="45"/>
      <c r="W457" s="45"/>
      <c r="X457" s="47" t="str">
        <f>IFERROR(__xludf.DUMMYFUNCTION("""COMPUTED_VALUE"""),"Osde")</f>
        <v>Osde</v>
      </c>
      <c r="Y457" s="45" t="str">
        <f>IFERROR(__xludf.DUMMYFUNCTION("""COMPUTED_VALUE"""),"Si")</f>
        <v>Si</v>
      </c>
      <c r="Z457" s="45" t="str">
        <f>IFERROR(__xludf.DUMMYFUNCTION("""COMPUTED_VALUE"""),"Acepto")</f>
        <v>Acepto</v>
      </c>
      <c r="AA457" s="45" t="str">
        <f>IFERROR(__xludf.DUMMYFUNCTION("""COMPUTED_VALUE"""),"Pendiente")</f>
        <v>Pendiente</v>
      </c>
      <c r="AB457" s="45"/>
      <c r="AC457" s="7"/>
      <c r="AD457" s="7"/>
      <c r="AE457" s="7" t="str">
        <f>IFERROR(__xludf.DUMMYFUNCTION("""COMPUTED_VALUE"""),"OK")</f>
        <v>OK</v>
      </c>
      <c r="AF457" s="45" t="str">
        <f>IFERROR(__xludf.DUMMYFUNCTION("""COMPUTED_VALUE"""),"SI")</f>
        <v>SI</v>
      </c>
    </row>
    <row r="458">
      <c r="A458" s="42">
        <f>IFERROR(__xludf.DUMMYFUNCTION("""COMPUTED_VALUE"""),45546.66283450232)</f>
        <v>45546.66283</v>
      </c>
      <c r="B458" s="43" t="str">
        <f>IFERROR(__xludf.DUMMYFUNCTION("""COMPUTED_VALUE"""),"Lorna")</f>
        <v>Lorna</v>
      </c>
      <c r="C458" s="43" t="str">
        <f>IFERROR(__xludf.DUMMYFUNCTION("""COMPUTED_VALUE"""),"Jovanovich")</f>
        <v>Jovanovich</v>
      </c>
      <c r="D458" s="43" t="str">
        <f>IFERROR(__xludf.DUMMYFUNCTION("""COMPUTED_VALUE"""),"buenos aires")</f>
        <v>buenos aires</v>
      </c>
      <c r="E458" s="45" t="str">
        <f>IFERROR(__xludf.DUMMYFUNCTION("""COMPUTED_VALUE"""),"ARG")</f>
        <v>ARG</v>
      </c>
      <c r="F458" s="45">
        <f>IFERROR(__xludf.DUMMYFUNCTION("""COMPUTED_VALUE"""),4.9123842E7)</f>
        <v>49123842</v>
      </c>
      <c r="G458" s="44">
        <f>IFERROR(__xludf.DUMMYFUNCTION("""COMPUTED_VALUE"""),-690722.0)</f>
        <v>-690722</v>
      </c>
      <c r="H458" s="45">
        <f>IFERROR(__xludf.DUMMYFUNCTION("""COMPUTED_VALUE"""),1.139397002E9)</f>
        <v>1139397002</v>
      </c>
      <c r="I458" s="45">
        <f>IFERROR(__xludf.DUMMYFUNCTION("""COMPUTED_VALUE"""),1.144490201E9)</f>
        <v>1144490201</v>
      </c>
      <c r="J458" s="45" t="str">
        <f>IFERROR(__xludf.DUMMYFUNCTION("""COMPUTED_VALUE"""),"juanapgrandva@gmail.com")</f>
        <v>juanapgrandva@gmail.com</v>
      </c>
      <c r="K458" s="45" t="str">
        <f>IFERROR(__xludf.DUMMYFUNCTION("""COMPUTED_VALUE"""),"Femenino")</f>
        <v>Femenino</v>
      </c>
      <c r="L458" s="45" t="str">
        <f>IFERROR(__xludf.DUMMYFUNCTION("""COMPUTED_VALUE"""),"YCA")</f>
        <v>YCA</v>
      </c>
      <c r="M458" s="45" t="str">
        <f>IFERROR(__xludf.DUMMYFUNCTION("""COMPUTED_VALUE"""),"Femenino")</f>
        <v>Femenino</v>
      </c>
      <c r="N458" s="45">
        <f>IFERROR(__xludf.DUMMYFUNCTION("""COMPUTED_VALUE"""),420.0)</f>
        <v>420</v>
      </c>
      <c r="O458" s="7">
        <f>IFERROR(__xludf.DUMMYFUNCTION("""COMPUTED_VALUE"""),56.0)</f>
        <v>56</v>
      </c>
      <c r="P458" s="7">
        <f>IFERROR(__xludf.DUMMYFUNCTION("""COMPUTED_VALUE"""),54835.0)</f>
        <v>54835</v>
      </c>
      <c r="Q458" s="45" t="str">
        <f>IFERROR(__xludf.DUMMYFUNCTION("""COMPUTED_VALUE"""),"Nudito")</f>
        <v>Nudito</v>
      </c>
      <c r="R458" s="45" t="str">
        <f>IFERROR(__xludf.DUMMYFUNCTION("""COMPUTED_VALUE"""),"Juana Pusso")</f>
        <v>Juana Pusso</v>
      </c>
      <c r="S458" s="45"/>
      <c r="T458" s="45"/>
      <c r="U458" s="45"/>
      <c r="V458" s="45"/>
      <c r="W458" s="45"/>
      <c r="X458" s="47" t="str">
        <f>IFERROR(__xludf.DUMMYFUNCTION("""COMPUTED_VALUE"""),"OSDE")</f>
        <v>OSDE</v>
      </c>
      <c r="Y458" s="45" t="str">
        <f>IFERROR(__xludf.DUMMYFUNCTION("""COMPUTED_VALUE"""),"No")</f>
        <v>No</v>
      </c>
      <c r="Z458" s="45" t="str">
        <f>IFERROR(__xludf.DUMMYFUNCTION("""COMPUTED_VALUE"""),"Acepto")</f>
        <v>Acepto</v>
      </c>
      <c r="AA458" s="45" t="str">
        <f>IFERROR(__xludf.DUMMYFUNCTION("""COMPUTED_VALUE"""),"Terminado")</f>
        <v>Terminado</v>
      </c>
      <c r="AB458" s="45">
        <f>IFERROR(__xludf.DUMMYFUNCTION("""COMPUTED_VALUE"""),65000.0)</f>
        <v>65000</v>
      </c>
      <c r="AC458" s="7">
        <f>IFERROR(__xludf.DUMMYFUNCTION("""COMPUTED_VALUE"""),205693.0)</f>
        <v>205693</v>
      </c>
      <c r="AD458" s="7" t="str">
        <f>IFERROR(__xludf.DUMMYFUNCTION("""COMPUTED_VALUE"""),"TRF 11-09")</f>
        <v>TRF 11-09</v>
      </c>
      <c r="AE458" s="7" t="str">
        <f>IFERROR(__xludf.DUMMYFUNCTION("""COMPUTED_VALUE"""),"OK")</f>
        <v>OK</v>
      </c>
      <c r="AF458" s="45" t="str">
        <f>IFERROR(__xludf.DUMMYFUNCTION("""COMPUTED_VALUE"""),"SI")</f>
        <v>SI</v>
      </c>
    </row>
    <row r="459">
      <c r="A459" s="42">
        <f>IFERROR(__xludf.DUMMYFUNCTION("""COMPUTED_VALUE"""),45546.66887231481)</f>
        <v>45546.66887</v>
      </c>
      <c r="B459" s="43" t="str">
        <f>IFERROR(__xludf.DUMMYFUNCTION("""COMPUTED_VALUE"""),"Mora")</f>
        <v>Mora</v>
      </c>
      <c r="C459" s="43" t="str">
        <f>IFERROR(__xludf.DUMMYFUNCTION("""COMPUTED_VALUE"""),"Berard")</f>
        <v>Berard</v>
      </c>
      <c r="D459" s="43" t="str">
        <f>IFERROR(__xludf.DUMMYFUNCTION("""COMPUTED_VALUE"""),"Buenos Aires")</f>
        <v>Buenos Aires</v>
      </c>
      <c r="E459" s="45" t="str">
        <f>IFERROR(__xludf.DUMMYFUNCTION("""COMPUTED_VALUE"""),"ARG")</f>
        <v>ARG</v>
      </c>
      <c r="F459" s="45">
        <f>IFERROR(__xludf.DUMMYFUNCTION("""COMPUTED_VALUE"""),5.3742144E7)</f>
        <v>53742144</v>
      </c>
      <c r="G459" s="44">
        <f>IFERROR(__xludf.DUMMYFUNCTION("""COMPUTED_VALUE"""),41789.0)</f>
        <v>41789</v>
      </c>
      <c r="H459" s="45">
        <f>IFERROR(__xludf.DUMMYFUNCTION("""COMPUTED_VALUE"""),1.153073821E9)</f>
        <v>1153073821</v>
      </c>
      <c r="I459" s="45">
        <f>IFERROR(__xludf.DUMMYFUNCTION("""COMPUTED_VALUE"""),1.153073821E9)</f>
        <v>1153073821</v>
      </c>
      <c r="J459" s="45" t="str">
        <f>IFERROR(__xludf.DUMMYFUNCTION("""COMPUTED_VALUE"""),"verocriston@gmail.com ")</f>
        <v>verocriston@gmail.com </v>
      </c>
      <c r="K459" s="45" t="str">
        <f>IFERROR(__xludf.DUMMYFUNCTION("""COMPUTED_VALUE"""),"Femenino")</f>
        <v>Femenino</v>
      </c>
      <c r="L459" s="45" t="str">
        <f>IFERROR(__xludf.DUMMYFUNCTION("""COMPUTED_VALUE"""),"Cvb")</f>
        <v>Cvb</v>
      </c>
      <c r="M459" s="45" t="str">
        <f>IFERROR(__xludf.DUMMYFUNCTION("""COMPUTED_VALUE"""),"Principiante")</f>
        <v>Principiante</v>
      </c>
      <c r="N459" s="45" t="str">
        <f>IFERROR(__xludf.DUMMYFUNCTION("""COMPUTED_VALUE"""),"OPTIMIST PRINCIPIANTES")</f>
        <v>OPTIMIST PRINCIPIANTES</v>
      </c>
      <c r="O459" s="7"/>
      <c r="P459" s="7">
        <f>IFERROR(__xludf.DUMMYFUNCTION("""COMPUTED_VALUE"""),3111.0)</f>
        <v>3111</v>
      </c>
      <c r="Q459" s="45"/>
      <c r="R459" s="45"/>
      <c r="S459" s="45"/>
      <c r="T459" s="45"/>
      <c r="U459" s="45"/>
      <c r="V459" s="45"/>
      <c r="W459" s="45"/>
      <c r="X459" s="47" t="str">
        <f>IFERROR(__xludf.DUMMYFUNCTION("""COMPUTED_VALUE"""),"Union personal ")</f>
        <v>Union personal </v>
      </c>
      <c r="Y459" s="45" t="str">
        <f>IFERROR(__xludf.DUMMYFUNCTION("""COMPUTED_VALUE"""),"Si")</f>
        <v>Si</v>
      </c>
      <c r="Z459" s="45" t="str">
        <f>IFERROR(__xludf.DUMMYFUNCTION("""COMPUTED_VALUE"""),"Acepto")</f>
        <v>Acepto</v>
      </c>
      <c r="AA459" s="45" t="str">
        <f>IFERROR(__xludf.DUMMYFUNCTION("""COMPUTED_VALUE"""),"Terminado")</f>
        <v>Terminado</v>
      </c>
      <c r="AB459" s="45">
        <f>IFERROR(__xludf.DUMMYFUNCTION("""COMPUTED_VALUE"""),50000.0)</f>
        <v>50000</v>
      </c>
      <c r="AC459" s="7">
        <f>IFERROR(__xludf.DUMMYFUNCTION("""COMPUTED_VALUE"""),205694.0)</f>
        <v>205694</v>
      </c>
      <c r="AD459" s="7" t="str">
        <f>IFERROR(__xludf.DUMMYFUNCTION("""COMPUTED_VALUE"""),"TRF 11-09")</f>
        <v>TRF 11-09</v>
      </c>
      <c r="AE459" s="7" t="str">
        <f>IFERROR(__xludf.DUMMYFUNCTION("""COMPUTED_VALUE"""),"OK")</f>
        <v>OK</v>
      </c>
      <c r="AF459" s="45" t="str">
        <f>IFERROR(__xludf.DUMMYFUNCTION("""COMPUTED_VALUE"""),"SI")</f>
        <v>SI</v>
      </c>
    </row>
    <row r="460">
      <c r="A460" s="42">
        <f>IFERROR(__xludf.DUMMYFUNCTION("""COMPUTED_VALUE"""),45546.67165478009)</f>
        <v>45546.67165</v>
      </c>
      <c r="B460" s="43" t="str">
        <f>IFERROR(__xludf.DUMMYFUNCTION("""COMPUTED_VALUE"""),"Luna")</f>
        <v>Luna</v>
      </c>
      <c r="C460" s="43" t="str">
        <f>IFERROR(__xludf.DUMMYFUNCTION("""COMPUTED_VALUE"""),"Berard")</f>
        <v>Berard</v>
      </c>
      <c r="D460" s="43" t="str">
        <f>IFERROR(__xludf.DUMMYFUNCTION("""COMPUTED_VALUE"""),"Buenos aires")</f>
        <v>Buenos aires</v>
      </c>
      <c r="E460" s="45" t="str">
        <f>IFERROR(__xludf.DUMMYFUNCTION("""COMPUTED_VALUE"""),"ARG")</f>
        <v>ARG</v>
      </c>
      <c r="F460" s="45">
        <f>IFERROR(__xludf.DUMMYFUNCTION("""COMPUTED_VALUE"""),5.2703398E7)</f>
        <v>52703398</v>
      </c>
      <c r="G460" s="44">
        <f>IFERROR(__xludf.DUMMYFUNCTION("""COMPUTED_VALUE"""),41228.0)</f>
        <v>41228</v>
      </c>
      <c r="H460" s="45">
        <f>IFERROR(__xludf.DUMMYFUNCTION("""COMPUTED_VALUE"""),1.153073821E9)</f>
        <v>1153073821</v>
      </c>
      <c r="I460" s="45">
        <f>IFERROR(__xludf.DUMMYFUNCTION("""COMPUTED_VALUE"""),1.153073821E9)</f>
        <v>1153073821</v>
      </c>
      <c r="J460" s="45" t="str">
        <f>IFERROR(__xludf.DUMMYFUNCTION("""COMPUTED_VALUE"""),"verocriston@gmail.com")</f>
        <v>verocriston@gmail.com</v>
      </c>
      <c r="K460" s="45" t="str">
        <f>IFERROR(__xludf.DUMMYFUNCTION("""COMPUTED_VALUE"""),"Femenino")</f>
        <v>Femenino</v>
      </c>
      <c r="L460" s="45" t="str">
        <f>IFERROR(__xludf.DUMMYFUNCTION("""COMPUTED_VALUE"""),"Cvb")</f>
        <v>Cvb</v>
      </c>
      <c r="M460" s="45" t="str">
        <f>IFERROR(__xludf.DUMMYFUNCTION("""COMPUTED_VALUE"""),"Principiante")</f>
        <v>Principiante</v>
      </c>
      <c r="N460" s="45" t="str">
        <f>IFERROR(__xludf.DUMMYFUNCTION("""COMPUTED_VALUE"""),"OPTIMIST PRINCIPIANTES")</f>
        <v>OPTIMIST PRINCIPIANTES</v>
      </c>
      <c r="O460" s="7"/>
      <c r="P460" s="7">
        <f>IFERROR(__xludf.DUMMYFUNCTION("""COMPUTED_VALUE"""),3898.0)</f>
        <v>3898</v>
      </c>
      <c r="Q460" s="45"/>
      <c r="R460" s="45"/>
      <c r="S460" s="45"/>
      <c r="T460" s="45"/>
      <c r="U460" s="45"/>
      <c r="V460" s="45"/>
      <c r="W460" s="45"/>
      <c r="X460" s="47" t="str">
        <f>IFERROR(__xludf.DUMMYFUNCTION("""COMPUTED_VALUE"""),"Union personal ")</f>
        <v>Union personal </v>
      </c>
      <c r="Y460" s="45" t="str">
        <f>IFERROR(__xludf.DUMMYFUNCTION("""COMPUTED_VALUE"""),"Si")</f>
        <v>Si</v>
      </c>
      <c r="Z460" s="45" t="str">
        <f>IFERROR(__xludf.DUMMYFUNCTION("""COMPUTED_VALUE"""),"Acepto")</f>
        <v>Acepto</v>
      </c>
      <c r="AA460" s="45" t="str">
        <f>IFERROR(__xludf.DUMMYFUNCTION("""COMPUTED_VALUE"""),"Terminado")</f>
        <v>Terminado</v>
      </c>
      <c r="AB460" s="45">
        <f>IFERROR(__xludf.DUMMYFUNCTION("""COMPUTED_VALUE"""),50000.0)</f>
        <v>50000</v>
      </c>
      <c r="AC460" s="7">
        <f>IFERROR(__xludf.DUMMYFUNCTION("""COMPUTED_VALUE"""),205694.0)</f>
        <v>205694</v>
      </c>
      <c r="AD460" s="7" t="str">
        <f>IFERROR(__xludf.DUMMYFUNCTION("""COMPUTED_VALUE"""),"TRF 11-09")</f>
        <v>TRF 11-09</v>
      </c>
      <c r="AE460" s="7" t="str">
        <f>IFERROR(__xludf.DUMMYFUNCTION("""COMPUTED_VALUE"""),"OK")</f>
        <v>OK</v>
      </c>
      <c r="AF460" s="45" t="str">
        <f>IFERROR(__xludf.DUMMYFUNCTION("""COMPUTED_VALUE"""),"SI")</f>
        <v>SI</v>
      </c>
    </row>
    <row r="461">
      <c r="A461" s="42">
        <f>IFERROR(__xludf.DUMMYFUNCTION("""COMPUTED_VALUE"""),45546.784238935186)</f>
        <v>45546.78424</v>
      </c>
      <c r="B461" s="43" t="str">
        <f>IFERROR(__xludf.DUMMYFUNCTION("""COMPUTED_VALUE"""),"María Paula")</f>
        <v>María Paula</v>
      </c>
      <c r="C461" s="43" t="str">
        <f>IFERROR(__xludf.DUMMYFUNCTION("""COMPUTED_VALUE"""),"Molinari")</f>
        <v>Molinari</v>
      </c>
      <c r="D461" s="43" t="str">
        <f>IFERROR(__xludf.DUMMYFUNCTION("""COMPUTED_VALUE"""),"Buenos aires")</f>
        <v>Buenos aires</v>
      </c>
      <c r="E461" s="45" t="str">
        <f>IFERROR(__xludf.DUMMYFUNCTION("""COMPUTED_VALUE"""),"ARG")</f>
        <v>ARG</v>
      </c>
      <c r="F461" s="45">
        <f>IFERROR(__xludf.DUMMYFUNCTION("""COMPUTED_VALUE"""),2.7050527E7)</f>
        <v>27050527</v>
      </c>
      <c r="G461" s="44">
        <f>IFERROR(__xludf.DUMMYFUNCTION("""COMPUTED_VALUE"""),28832.0)</f>
        <v>28832</v>
      </c>
      <c r="H461" s="45">
        <f>IFERROR(__xludf.DUMMYFUNCTION("""COMPUTED_VALUE"""),1.161997262E9)</f>
        <v>1161997262</v>
      </c>
      <c r="I461" s="45">
        <f>IFERROR(__xludf.DUMMYFUNCTION("""COMPUTED_VALUE"""),1.164655763E9)</f>
        <v>1164655763</v>
      </c>
      <c r="J461" s="45" t="str">
        <f>IFERROR(__xludf.DUMMYFUNCTION("""COMPUTED_VALUE"""),"2rmarrero@gmail.com")</f>
        <v>2rmarrero@gmail.com</v>
      </c>
      <c r="K461" s="45" t="str">
        <f>IFERROR(__xludf.DUMMYFUNCTION("""COMPUTED_VALUE"""),"Femenino")</f>
        <v>Femenino</v>
      </c>
      <c r="L461" s="45" t="str">
        <f>IFERROR(__xludf.DUMMYFUNCTION("""COMPUTED_VALUE"""),"CVSI")</f>
        <v>CVSI</v>
      </c>
      <c r="M461" s="45" t="str">
        <f>IFERROR(__xludf.DUMMYFUNCTION("""COMPUTED_VALUE"""),"Mixto")</f>
        <v>Mixto</v>
      </c>
      <c r="N461" s="45" t="str">
        <f>IFERROR(__xludf.DUMMYFUNCTION("""COMPUTED_VALUE"""),"SNIPE")</f>
        <v>SNIPE</v>
      </c>
      <c r="O461" s="7"/>
      <c r="P461" s="7">
        <f>IFERROR(__xludf.DUMMYFUNCTION("""COMPUTED_VALUE"""),28645.0)</f>
        <v>28645</v>
      </c>
      <c r="Q461" s="45" t="str">
        <f>IFERROR(__xludf.DUMMYFUNCTION("""COMPUTED_VALUE"""),"2 santos")</f>
        <v>2 santos</v>
      </c>
      <c r="R461" s="45" t="str">
        <f>IFERROR(__xludf.DUMMYFUNCTION("""COMPUTED_VALUE"""),"Rubén Marrero")</f>
        <v>Rubén Marrero</v>
      </c>
      <c r="S461" s="45"/>
      <c r="T461" s="45"/>
      <c r="U461" s="45"/>
      <c r="V461" s="45"/>
      <c r="W461" s="45"/>
      <c r="X461" s="47"/>
      <c r="Y461" s="45" t="str">
        <f>IFERROR(__xludf.DUMMYFUNCTION("""COMPUTED_VALUE"""),"Si")</f>
        <v>Si</v>
      </c>
      <c r="Z461" s="45" t="str">
        <f>IFERROR(__xludf.DUMMYFUNCTION("""COMPUTED_VALUE"""),"Acepto")</f>
        <v>Acepto</v>
      </c>
      <c r="AA461" s="45" t="str">
        <f>IFERROR(__xludf.DUMMYFUNCTION("""COMPUTED_VALUE"""),"Terminado")</f>
        <v>Terminado</v>
      </c>
      <c r="AB461" s="45">
        <f>IFERROR(__xludf.DUMMYFUNCTION("""COMPUTED_VALUE"""),60000.0)</f>
        <v>60000</v>
      </c>
      <c r="AC461" s="7">
        <f>IFERROR(__xludf.DUMMYFUNCTION("""COMPUTED_VALUE"""),205698.0)</f>
        <v>205698</v>
      </c>
      <c r="AD461" s="7" t="str">
        <f>IFERROR(__xludf.DUMMYFUNCTION("""COMPUTED_VALUE"""),"TRF 11-09")</f>
        <v>TRF 11-09</v>
      </c>
      <c r="AE461" s="7" t="str">
        <f>IFERROR(__xludf.DUMMYFUNCTION("""COMPUTED_VALUE"""),"No Corresp")</f>
        <v>No Corresp</v>
      </c>
      <c r="AF461" s="45"/>
    </row>
    <row r="462">
      <c r="A462" s="42">
        <f>IFERROR(__xludf.DUMMYFUNCTION("""COMPUTED_VALUE"""),45546.82565758102)</f>
        <v>45546.82566</v>
      </c>
      <c r="B462" s="43" t="str">
        <f>IFERROR(__xludf.DUMMYFUNCTION("""COMPUTED_VALUE"""),"Ramon")</f>
        <v>Ramon</v>
      </c>
      <c r="C462" s="43" t="str">
        <f>IFERROR(__xludf.DUMMYFUNCTION("""COMPUTED_VALUE"""),"Frene")</f>
        <v>Frene</v>
      </c>
      <c r="D462" s="43" t="str">
        <f>IFERROR(__xludf.DUMMYFUNCTION("""COMPUTED_VALUE"""),"Olivos")</f>
        <v>Olivos</v>
      </c>
      <c r="E462" s="45" t="str">
        <f>IFERROR(__xludf.DUMMYFUNCTION("""COMPUTED_VALUE"""),"ARG")</f>
        <v>ARG</v>
      </c>
      <c r="F462" s="45">
        <f>IFERROR(__xludf.DUMMYFUNCTION("""COMPUTED_VALUE"""),4.7692351E7)</f>
        <v>47692351</v>
      </c>
      <c r="G462" s="44">
        <f>IFERROR(__xludf.DUMMYFUNCTION("""COMPUTED_VALUE"""),39107.0)</f>
        <v>39107</v>
      </c>
      <c r="H462" s="45">
        <f>IFERROR(__xludf.DUMMYFUNCTION("""COMPUTED_VALUE"""),1.132976387E9)</f>
        <v>1132976387</v>
      </c>
      <c r="I462" s="45">
        <f>IFERROR(__xludf.DUMMYFUNCTION("""COMPUTED_VALUE"""),1.132977377E9)</f>
        <v>1132977377</v>
      </c>
      <c r="J462" s="45" t="str">
        <f>IFERROR(__xludf.DUMMYFUNCTION("""COMPUTED_VALUE"""),"ramonfrene07@gmail.com")</f>
        <v>ramonfrene07@gmail.com</v>
      </c>
      <c r="K462" s="45" t="str">
        <f>IFERROR(__xludf.DUMMYFUNCTION("""COMPUTED_VALUE"""),"Masculino")</f>
        <v>Masculino</v>
      </c>
      <c r="L462" s="45" t="str">
        <f>IFERROR(__xludf.DUMMYFUNCTION("""COMPUTED_VALUE"""),"CNO")</f>
        <v>CNO</v>
      </c>
      <c r="M462" s="45"/>
      <c r="N462" s="45" t="str">
        <f>IFERROR(__xludf.DUMMYFUNCTION("""COMPUTED_VALUE"""),"ILCA 7")</f>
        <v>ILCA 7</v>
      </c>
      <c r="O462" s="7"/>
      <c r="P462" s="7">
        <f>IFERROR(__xludf.DUMMYFUNCTION("""COMPUTED_VALUE"""),201297.0)</f>
        <v>201297</v>
      </c>
      <c r="Q462" s="45"/>
      <c r="R462" s="45"/>
      <c r="S462" s="45"/>
      <c r="T462" s="45"/>
      <c r="U462" s="45"/>
      <c r="V462" s="45"/>
      <c r="W462" s="45"/>
      <c r="X462" s="47" t="str">
        <f>IFERROR(__xludf.DUMMYFUNCTION("""COMPUTED_VALUE"""),"OSDE")</f>
        <v>OSDE</v>
      </c>
      <c r="Y462" s="45" t="str">
        <f>IFERROR(__xludf.DUMMYFUNCTION("""COMPUTED_VALUE"""),"No")</f>
        <v>No</v>
      </c>
      <c r="Z462" s="45" t="str">
        <f>IFERROR(__xludf.DUMMYFUNCTION("""COMPUTED_VALUE"""),"Acepto")</f>
        <v>Acepto</v>
      </c>
      <c r="AA462" s="45" t="str">
        <f>IFERROR(__xludf.DUMMYFUNCTION("""COMPUTED_VALUE"""),"Terminado")</f>
        <v>Terminado</v>
      </c>
      <c r="AB462" s="45">
        <f>IFERROR(__xludf.DUMMYFUNCTION("""COMPUTED_VALUE"""),45000.0)</f>
        <v>45000</v>
      </c>
      <c r="AC462" s="7">
        <f>IFERROR(__xludf.DUMMYFUNCTION("""COMPUTED_VALUE"""),205703.0)</f>
        <v>205703</v>
      </c>
      <c r="AD462" s="7" t="str">
        <f>IFERROR(__xludf.DUMMYFUNCTION("""COMPUTED_VALUE"""),"TRF 11-09")</f>
        <v>TRF 11-09</v>
      </c>
      <c r="AE462" s="7" t="str">
        <f>IFERROR(__xludf.DUMMYFUNCTION("""COMPUTED_VALUE"""),"OK")</f>
        <v>OK</v>
      </c>
      <c r="AF462" s="45"/>
    </row>
    <row r="463">
      <c r="A463" s="42">
        <f>IFERROR(__xludf.DUMMYFUNCTION("""COMPUTED_VALUE"""),45546.82644081018)</f>
        <v>45546.82644</v>
      </c>
      <c r="B463" s="43" t="str">
        <f>IFERROR(__xludf.DUMMYFUNCTION("""COMPUTED_VALUE"""),"Vicente")</f>
        <v>Vicente</v>
      </c>
      <c r="C463" s="43" t="str">
        <f>IFERROR(__xludf.DUMMYFUNCTION("""COMPUTED_VALUE"""),"Carloni Bohl")</f>
        <v>Carloni Bohl</v>
      </c>
      <c r="D463" s="43" t="str">
        <f>IFERROR(__xludf.DUMMYFUNCTION("""COMPUTED_VALUE"""),"Olivos")</f>
        <v>Olivos</v>
      </c>
      <c r="E463" s="45" t="str">
        <f>IFERROR(__xludf.DUMMYFUNCTION("""COMPUTED_VALUE"""),"ARG")</f>
        <v>ARG</v>
      </c>
      <c r="F463" s="45">
        <f>IFERROR(__xludf.DUMMYFUNCTION("""COMPUTED_VALUE"""),5.1218184E7)</f>
        <v>51218184</v>
      </c>
      <c r="G463" s="44">
        <f>IFERROR(__xludf.DUMMYFUNCTION("""COMPUTED_VALUE"""),40687.0)</f>
        <v>40687</v>
      </c>
      <c r="H463" s="45">
        <f>IFERROR(__xludf.DUMMYFUNCTION("""COMPUTED_VALUE"""),1.159609485E9)</f>
        <v>1159609485</v>
      </c>
      <c r="I463" s="45">
        <f>IFERROR(__xludf.DUMMYFUNCTION("""COMPUTED_VALUE"""),1.134119214E9)</f>
        <v>1134119214</v>
      </c>
      <c r="J463" s="45" t="str">
        <f>IFERROR(__xludf.DUMMYFUNCTION("""COMPUTED_VALUE"""),"mirihirsch@gmail.com")</f>
        <v>mirihirsch@gmail.com</v>
      </c>
      <c r="K463" s="45" t="str">
        <f>IFERROR(__xludf.DUMMYFUNCTION("""COMPUTED_VALUE"""),"Masculino")</f>
        <v>Masculino</v>
      </c>
      <c r="L463" s="45" t="str">
        <f>IFERROR(__xludf.DUMMYFUNCTION("""COMPUTED_VALUE"""),"CVSI")</f>
        <v>CVSI</v>
      </c>
      <c r="M463" s="45" t="str">
        <f>IFERROR(__xludf.DUMMYFUNCTION("""COMPUTED_VALUE"""),"CADET")</f>
        <v>CADET</v>
      </c>
      <c r="N463" s="45" t="str">
        <f>IFERROR(__xludf.DUMMYFUNCTION("""COMPUTED_VALUE"""),"CADET")</f>
        <v>CADET</v>
      </c>
      <c r="O463" s="7"/>
      <c r="P463" s="7">
        <f>IFERROR(__xludf.DUMMYFUNCTION("""COMPUTED_VALUE"""),9988.0)</f>
        <v>9988</v>
      </c>
      <c r="Q463" s="45"/>
      <c r="R463" s="45" t="str">
        <f>IFERROR(__xludf.DUMMYFUNCTION("""COMPUTED_VALUE"""),"Felipe Murchio")</f>
        <v>Felipe Murchio</v>
      </c>
      <c r="S463" s="45"/>
      <c r="T463" s="45"/>
      <c r="U463" s="45"/>
      <c r="V463" s="45"/>
      <c r="W463" s="45"/>
      <c r="X463" s="47" t="str">
        <f>IFERROR(__xludf.DUMMYFUNCTION("""COMPUTED_VALUE"""),"Galeno")</f>
        <v>Galeno</v>
      </c>
      <c r="Y463" s="45" t="str">
        <f>IFERROR(__xludf.DUMMYFUNCTION("""COMPUTED_VALUE"""),"No")</f>
        <v>No</v>
      </c>
      <c r="Z463" s="45" t="str">
        <f>IFERROR(__xludf.DUMMYFUNCTION("""COMPUTED_VALUE"""),"Acepto")</f>
        <v>Acepto</v>
      </c>
      <c r="AA463" s="45" t="str">
        <f>IFERROR(__xludf.DUMMYFUNCTION("""COMPUTED_VALUE"""),"Terminado")</f>
        <v>Terminado</v>
      </c>
      <c r="AB463" s="45">
        <f>IFERROR(__xludf.DUMMYFUNCTION("""COMPUTED_VALUE"""),55000.0)</f>
        <v>55000</v>
      </c>
      <c r="AC463" s="7">
        <f>IFERROR(__xludf.DUMMYFUNCTION("""COMPUTED_VALUE"""),205681.0)</f>
        <v>205681</v>
      </c>
      <c r="AD463" s="7" t="str">
        <f>IFERROR(__xludf.DUMMYFUNCTION("""COMPUTED_VALUE"""),"TRF 11-09")</f>
        <v>TRF 11-09</v>
      </c>
      <c r="AE463" s="7" t="str">
        <f>IFERROR(__xludf.DUMMYFUNCTION("""COMPUTED_VALUE"""),"Pendiente")</f>
        <v>Pendiente</v>
      </c>
      <c r="AF463" s="45"/>
    </row>
    <row r="464">
      <c r="A464" s="42">
        <f>IFERROR(__xludf.DUMMYFUNCTION("""COMPUTED_VALUE"""),45546.8284190625)</f>
        <v>45546.82842</v>
      </c>
      <c r="B464" s="43" t="str">
        <f>IFERROR(__xludf.DUMMYFUNCTION("""COMPUTED_VALUE"""),"Martin")</f>
        <v>Martin</v>
      </c>
      <c r="C464" s="43" t="str">
        <f>IFERROR(__xludf.DUMMYFUNCTION("""COMPUTED_VALUE"""),"Manrique Gasme")</f>
        <v>Manrique Gasme</v>
      </c>
      <c r="D464" s="43" t="str">
        <f>IFERROR(__xludf.DUMMYFUNCTION("""COMPUTED_VALUE"""),"Olivos")</f>
        <v>Olivos</v>
      </c>
      <c r="E464" s="45" t="str">
        <f>IFERROR(__xludf.DUMMYFUNCTION("""COMPUTED_VALUE"""),"ARG")</f>
        <v>ARG</v>
      </c>
      <c r="F464" s="45">
        <f>IFERROR(__xludf.DUMMYFUNCTION("""COMPUTED_VALUE"""),4.8521146E7)</f>
        <v>48521146</v>
      </c>
      <c r="G464" s="44">
        <f>IFERROR(__xludf.DUMMYFUNCTION("""COMPUTED_VALUE"""),39486.0)</f>
        <v>39486</v>
      </c>
      <c r="H464" s="45">
        <f>IFERROR(__xludf.DUMMYFUNCTION("""COMPUTED_VALUE"""),1.159609485E9)</f>
        <v>1159609485</v>
      </c>
      <c r="I464" s="45">
        <f>IFERROR(__xludf.DUMMYFUNCTION("""COMPUTED_VALUE"""),1.165227E9)</f>
        <v>1165227000</v>
      </c>
      <c r="J464" s="45" t="str">
        <f>IFERROR(__xludf.DUMMYFUNCTION("""COMPUTED_VALUE"""),"mirihirsch@gmail.com")</f>
        <v>mirihirsch@gmail.com</v>
      </c>
      <c r="K464" s="45" t="str">
        <f>IFERROR(__xludf.DUMMYFUNCTION("""COMPUTED_VALUE"""),"Masculino")</f>
        <v>Masculino</v>
      </c>
      <c r="L464" s="45" t="str">
        <f>IFERROR(__xludf.DUMMYFUNCTION("""COMPUTED_VALUE"""),"CVSI")</f>
        <v>CVSI</v>
      </c>
      <c r="M464" s="45" t="str">
        <f>IFERROR(__xludf.DUMMYFUNCTION("""COMPUTED_VALUE"""),"CADET")</f>
        <v>CADET</v>
      </c>
      <c r="N464" s="45" t="str">
        <f>IFERROR(__xludf.DUMMYFUNCTION("""COMPUTED_VALUE"""),"CADET")</f>
        <v>CADET</v>
      </c>
      <c r="O464" s="7"/>
      <c r="P464" s="7">
        <f>IFERROR(__xludf.DUMMYFUNCTION("""COMPUTED_VALUE"""),10013.0)</f>
        <v>10013</v>
      </c>
      <c r="Q464" s="45"/>
      <c r="R464" s="45" t="str">
        <f>IFERROR(__xludf.DUMMYFUNCTION("""COMPUTED_VALUE"""),"Valentin Asaf Carloni Hirsch")</f>
        <v>Valentin Asaf Carloni Hirsch</v>
      </c>
      <c r="S464" s="45"/>
      <c r="T464" s="45"/>
      <c r="U464" s="45"/>
      <c r="V464" s="45"/>
      <c r="W464" s="45"/>
      <c r="X464" s="47"/>
      <c r="Y464" s="45" t="str">
        <f>IFERROR(__xludf.DUMMYFUNCTION("""COMPUTED_VALUE"""),"No")</f>
        <v>No</v>
      </c>
      <c r="Z464" s="45" t="str">
        <f>IFERROR(__xludf.DUMMYFUNCTION("""COMPUTED_VALUE"""),"Acepto")</f>
        <v>Acepto</v>
      </c>
      <c r="AA464" s="45" t="str">
        <f>IFERROR(__xludf.DUMMYFUNCTION("""COMPUTED_VALUE"""),"Terminado")</f>
        <v>Terminado</v>
      </c>
      <c r="AB464" s="45">
        <f>IFERROR(__xludf.DUMMYFUNCTION("""COMPUTED_VALUE"""),55000.0)</f>
        <v>55000</v>
      </c>
      <c r="AC464" s="7">
        <f>IFERROR(__xludf.DUMMYFUNCTION("""COMPUTED_VALUE"""),205681.0)</f>
        <v>205681</v>
      </c>
      <c r="AD464" s="7" t="str">
        <f>IFERROR(__xludf.DUMMYFUNCTION("""COMPUTED_VALUE"""),"TRF 11-09")</f>
        <v>TRF 11-09</v>
      </c>
      <c r="AE464" s="7" t="str">
        <f>IFERROR(__xludf.DUMMYFUNCTION("""COMPUTED_VALUE"""),"OK")</f>
        <v>OK</v>
      </c>
      <c r="AF464" s="45"/>
    </row>
    <row r="465">
      <c r="A465" s="42">
        <f>IFERROR(__xludf.DUMMYFUNCTION("""COMPUTED_VALUE"""),45546.911295150465)</f>
        <v>45546.9113</v>
      </c>
      <c r="B465" s="43" t="str">
        <f>IFERROR(__xludf.DUMMYFUNCTION("""COMPUTED_VALUE"""),"Mía ")</f>
        <v>Mía </v>
      </c>
      <c r="C465" s="43" t="str">
        <f>IFERROR(__xludf.DUMMYFUNCTION("""COMPUTED_VALUE"""),"De Bernardis ")</f>
        <v>De Bernardis </v>
      </c>
      <c r="D465" s="43" t="str">
        <f>IFERROR(__xludf.DUMMYFUNCTION("""COMPUTED_VALUE"""),"CABA ")</f>
        <v>CABA </v>
      </c>
      <c r="E465" s="45" t="str">
        <f>IFERROR(__xludf.DUMMYFUNCTION("""COMPUTED_VALUE"""),"ARG")</f>
        <v>ARG</v>
      </c>
      <c r="F465" s="45">
        <f>IFERROR(__xludf.DUMMYFUNCTION("""COMPUTED_VALUE"""),5.0510057E7)</f>
        <v>50510057</v>
      </c>
      <c r="G465" s="44">
        <f>IFERROR(__xludf.DUMMYFUNCTION("""COMPUTED_VALUE"""),40431.0)</f>
        <v>40431</v>
      </c>
      <c r="H465" s="45">
        <f>IFERROR(__xludf.DUMMYFUNCTION("""COMPUTED_VALUE"""),5.491160461122E12)</f>
        <v>5491160461122</v>
      </c>
      <c r="I465" s="45">
        <f>IFERROR(__xludf.DUMMYFUNCTION("""COMPUTED_VALUE"""),5.491140818515E12)</f>
        <v>5491140818515</v>
      </c>
      <c r="J465" s="45" t="str">
        <f>IFERROR(__xludf.DUMMYFUNCTION("""COMPUTED_VALUE"""),"Esperonpatricia@gmail.com")</f>
        <v>Esperonpatricia@gmail.com</v>
      </c>
      <c r="K465" s="45" t="str">
        <f>IFERROR(__xludf.DUMMYFUNCTION("""COMPUTED_VALUE"""),"Femenino")</f>
        <v>Femenino</v>
      </c>
      <c r="L465" s="45" t="str">
        <f>IFERROR(__xludf.DUMMYFUNCTION("""COMPUTED_VALUE"""),"YCA")</f>
        <v>YCA</v>
      </c>
      <c r="M465" s="45" t="str">
        <f>IFERROR(__xludf.DUMMYFUNCTION("""COMPUTED_VALUE"""),"Femenino")</f>
        <v>Femenino</v>
      </c>
      <c r="N465" s="45" t="str">
        <f>IFERROR(__xludf.DUMMYFUNCTION("""COMPUTED_VALUE"""),"OPTIMIST TIMONELES")</f>
        <v>OPTIMIST TIMONELES</v>
      </c>
      <c r="O465" s="7"/>
      <c r="P465" s="7">
        <f>IFERROR(__xludf.DUMMYFUNCTION("""COMPUTED_VALUE"""),3821.0)</f>
        <v>3821</v>
      </c>
      <c r="Q465" s="45"/>
      <c r="R465" s="45"/>
      <c r="S465" s="45"/>
      <c r="T465" s="45"/>
      <c r="U465" s="45"/>
      <c r="V465" s="45"/>
      <c r="W465" s="45"/>
      <c r="X465" s="47" t="str">
        <f>IFERROR(__xludf.DUMMYFUNCTION("""COMPUTED_VALUE"""),"OMINT")</f>
        <v>OMINT</v>
      </c>
      <c r="Y465" s="45" t="str">
        <f>IFERROR(__xludf.DUMMYFUNCTION("""COMPUTED_VALUE"""),"No")</f>
        <v>No</v>
      </c>
      <c r="Z465" s="45" t="str">
        <f>IFERROR(__xludf.DUMMYFUNCTION("""COMPUTED_VALUE"""),"Acepto")</f>
        <v>Acepto</v>
      </c>
      <c r="AA465" s="45" t="str">
        <f>IFERROR(__xludf.DUMMYFUNCTION("""COMPUTED_VALUE"""),"Terminado")</f>
        <v>Terminado</v>
      </c>
      <c r="AB465" s="45">
        <f>IFERROR(__xludf.DUMMYFUNCTION("""COMPUTED_VALUE"""),50000.0)</f>
        <v>50000</v>
      </c>
      <c r="AC465" s="7">
        <f>IFERROR(__xludf.DUMMYFUNCTION("""COMPUTED_VALUE"""),205702.0)</f>
        <v>205702</v>
      </c>
      <c r="AD465" s="7" t="str">
        <f>IFERROR(__xludf.DUMMYFUNCTION("""COMPUTED_VALUE"""),"TRF 11-09")</f>
        <v>TRF 11-09</v>
      </c>
      <c r="AE465" s="7" t="str">
        <f>IFERROR(__xludf.DUMMYFUNCTION("""COMPUTED_VALUE"""),"OK")</f>
        <v>OK</v>
      </c>
      <c r="AF465" s="45"/>
    </row>
    <row r="466">
      <c r="A466" s="42">
        <f>IFERROR(__xludf.DUMMYFUNCTION("""COMPUTED_VALUE"""),45546.91804967592)</f>
        <v>45546.91805</v>
      </c>
      <c r="B466" s="43" t="str">
        <f>IFERROR(__xludf.DUMMYFUNCTION("""COMPUTED_VALUE"""),"Agustín ")</f>
        <v>Agustín </v>
      </c>
      <c r="C466" s="43" t="str">
        <f>IFERROR(__xludf.DUMMYFUNCTION("""COMPUTED_VALUE"""),"Krevisky ")</f>
        <v>Krevisky </v>
      </c>
      <c r="D466" s="43" t="str">
        <f>IFERROR(__xludf.DUMMYFUNCTION("""COMPUTED_VALUE"""),"Paraná ")</f>
        <v>Paraná </v>
      </c>
      <c r="E466" s="45" t="str">
        <f>IFERROR(__xludf.DUMMYFUNCTION("""COMPUTED_VALUE"""),"ARG")</f>
        <v>ARG</v>
      </c>
      <c r="F466" s="45">
        <f>IFERROR(__xludf.DUMMYFUNCTION("""COMPUTED_VALUE"""),2.5032856E7)</f>
        <v>25032856</v>
      </c>
      <c r="G466" s="44">
        <f>IFERROR(__xludf.DUMMYFUNCTION("""COMPUTED_VALUE"""),27837.0)</f>
        <v>27837</v>
      </c>
      <c r="H466" s="45">
        <f>IFERROR(__xludf.DUMMYFUNCTION("""COMPUTED_VALUE"""),3.435127359E9)</f>
        <v>3435127359</v>
      </c>
      <c r="I466" s="45">
        <f>IFERROR(__xludf.DUMMYFUNCTION("""COMPUTED_VALUE"""),3.435124066E9)</f>
        <v>3435124066</v>
      </c>
      <c r="J466" s="45" t="str">
        <f>IFERROR(__xludf.DUMMYFUNCTION("""COMPUTED_VALUE"""),"Agustinkrevisky@hotmail.com")</f>
        <v>Agustinkrevisky@hotmail.com</v>
      </c>
      <c r="K466" s="45" t="str">
        <f>IFERROR(__xludf.DUMMYFUNCTION("""COMPUTED_VALUE"""),"Masculino")</f>
        <v>Masculino</v>
      </c>
      <c r="L466" s="45" t="str">
        <f>IFERROR(__xludf.DUMMYFUNCTION("""COMPUTED_VALUE"""),"Cnp")</f>
        <v>Cnp</v>
      </c>
      <c r="M466" s="45"/>
      <c r="N466" s="45" t="str">
        <f>IFERROR(__xludf.DUMMYFUNCTION("""COMPUTED_VALUE"""),"F 18")</f>
        <v>F 18</v>
      </c>
      <c r="O466" s="7"/>
      <c r="P466" s="7">
        <f>IFERROR(__xludf.DUMMYFUNCTION("""COMPUTED_VALUE"""),4.0)</f>
        <v>4</v>
      </c>
      <c r="Q466" s="45" t="str">
        <f>IFERROR(__xludf.DUMMYFUNCTION("""COMPUTED_VALUE"""),"Invertir online ")</f>
        <v>Invertir online </v>
      </c>
      <c r="R466" s="45" t="str">
        <f>IFERROR(__xludf.DUMMYFUNCTION("""COMPUTED_VALUE"""),"Juan Martín Benítez ")</f>
        <v>Juan Martín Benítez </v>
      </c>
      <c r="S466" s="45"/>
      <c r="T466" s="45"/>
      <c r="U466" s="45"/>
      <c r="V466" s="45"/>
      <c r="W466" s="45"/>
      <c r="X466" s="47" t="str">
        <f>IFERROR(__xludf.DUMMYFUNCTION("""COMPUTED_VALUE"""),"Osde")</f>
        <v>Osde</v>
      </c>
      <c r="Y466" s="45" t="str">
        <f>IFERROR(__xludf.DUMMYFUNCTION("""COMPUTED_VALUE"""),"No")</f>
        <v>No</v>
      </c>
      <c r="Z466" s="45" t="str">
        <f>IFERROR(__xludf.DUMMYFUNCTION("""COMPUTED_VALUE"""),"Acepto")</f>
        <v>Acepto</v>
      </c>
      <c r="AA466" s="45" t="str">
        <f>IFERROR(__xludf.DUMMYFUNCTION("""COMPUTED_VALUE"""),"Terminado")</f>
        <v>Terminado</v>
      </c>
      <c r="AB466" s="45">
        <f>IFERROR(__xludf.DUMMYFUNCTION("""COMPUTED_VALUE"""),51000.0)</f>
        <v>51000</v>
      </c>
      <c r="AC466" s="7">
        <f>IFERROR(__xludf.DUMMYFUNCTION("""COMPUTED_VALUE"""),205704.0)</f>
        <v>205704</v>
      </c>
      <c r="AD466" s="7" t="str">
        <f>IFERROR(__xludf.DUMMYFUNCTION("""COMPUTED_VALUE"""),"TRF 11-09")</f>
        <v>TRF 11-09</v>
      </c>
      <c r="AE466" s="7" t="str">
        <f>IFERROR(__xludf.DUMMYFUNCTION("""COMPUTED_VALUE"""),"No Corresp")</f>
        <v>No Corresp</v>
      </c>
      <c r="AF466" s="45"/>
    </row>
    <row r="467">
      <c r="A467" s="42">
        <f>IFERROR(__xludf.DUMMYFUNCTION("""COMPUTED_VALUE"""),45546.96491797453)</f>
        <v>45546.96492</v>
      </c>
      <c r="B467" s="43" t="str">
        <f>IFERROR(__xludf.DUMMYFUNCTION("""COMPUTED_VALUE"""),"Nicolás Alejandro")</f>
        <v>Nicolás Alejandro</v>
      </c>
      <c r="C467" s="43" t="str">
        <f>IFERROR(__xludf.DUMMYFUNCTION("""COMPUTED_VALUE"""),"Britos")</f>
        <v>Britos</v>
      </c>
      <c r="D467" s="43" t="str">
        <f>IFERROR(__xludf.DUMMYFUNCTION("""COMPUTED_VALUE"""),"San Fernando")</f>
        <v>San Fernando</v>
      </c>
      <c r="E467" s="45" t="str">
        <f>IFERROR(__xludf.DUMMYFUNCTION("""COMPUTED_VALUE"""),"ARG")</f>
        <v>ARG</v>
      </c>
      <c r="F467" s="45">
        <f>IFERROR(__xludf.DUMMYFUNCTION("""COMPUTED_VALUE"""),4.8679981E7)</f>
        <v>48679981</v>
      </c>
      <c r="G467" s="44">
        <f>IFERROR(__xludf.DUMMYFUNCTION("""COMPUTED_VALUE"""),39638.0)</f>
        <v>39638</v>
      </c>
      <c r="H467" s="45">
        <f>IFERROR(__xludf.DUMMYFUNCTION("""COMPUTED_VALUE"""),1.170204401E9)</f>
        <v>1170204401</v>
      </c>
      <c r="I467" s="45">
        <f>IFERROR(__xludf.DUMMYFUNCTION("""COMPUTED_VALUE"""),1.16836897E9)</f>
        <v>1168368970</v>
      </c>
      <c r="J467" s="45" t="str">
        <f>IFERROR(__xludf.DUMMYFUNCTION("""COMPUTED_VALUE"""),"nicoalebr2@gmail.com")</f>
        <v>nicoalebr2@gmail.com</v>
      </c>
      <c r="K467" s="45" t="str">
        <f>IFERROR(__xludf.DUMMYFUNCTION("""COMPUTED_VALUE"""),"Masculino")</f>
        <v>Masculino</v>
      </c>
      <c r="L467" s="45" t="str">
        <f>IFERROR(__xludf.DUMMYFUNCTION("""COMPUTED_VALUE"""),"CVSI")</f>
        <v>CVSI</v>
      </c>
      <c r="M467" s="45"/>
      <c r="N467" s="45" t="str">
        <f>IFERROR(__xludf.DUMMYFUNCTION("""COMPUTED_VALUE"""),"CADET")</f>
        <v>CADET</v>
      </c>
      <c r="O467" s="7"/>
      <c r="P467" s="7">
        <f>IFERROR(__xludf.DUMMYFUNCTION("""COMPUTED_VALUE"""),6160.0)</f>
        <v>6160</v>
      </c>
      <c r="Q467" s="45" t="str">
        <f>IFERROR(__xludf.DUMMYFUNCTION("""COMPUTED_VALUE"""),"Pachamama")</f>
        <v>Pachamama</v>
      </c>
      <c r="R467" s="45" t="str">
        <f>IFERROR(__xludf.DUMMYFUNCTION("""COMPUTED_VALUE"""),"Julieta Britos")</f>
        <v>Julieta Britos</v>
      </c>
      <c r="S467" s="45"/>
      <c r="T467" s="45"/>
      <c r="U467" s="45"/>
      <c r="V467" s="45"/>
      <c r="W467" s="45"/>
      <c r="X467" s="47" t="str">
        <f>IFERROR(__xludf.DUMMYFUNCTION("""COMPUTED_VALUE"""),"UPCN/00957366012")</f>
        <v>UPCN/00957366012</v>
      </c>
      <c r="Y467" s="45" t="str">
        <f>IFERROR(__xludf.DUMMYFUNCTION("""COMPUTED_VALUE"""),"No")</f>
        <v>No</v>
      </c>
      <c r="Z467" s="45" t="str">
        <f>IFERROR(__xludf.DUMMYFUNCTION("""COMPUTED_VALUE"""),"Acepto")</f>
        <v>Acepto</v>
      </c>
      <c r="AA467" s="45" t="str">
        <f>IFERROR(__xludf.DUMMYFUNCTION("""COMPUTED_VALUE"""),"Terminado")</f>
        <v>Terminado</v>
      </c>
      <c r="AB467" s="45">
        <f>IFERROR(__xludf.DUMMYFUNCTION("""COMPUTED_VALUE"""),55000.0)</f>
        <v>55000</v>
      </c>
      <c r="AC467" s="7">
        <f>IFERROR(__xludf.DUMMYFUNCTION("""COMPUTED_VALUE"""),205706.0)</f>
        <v>205706</v>
      </c>
      <c r="AD467" s="7" t="str">
        <f>IFERROR(__xludf.DUMMYFUNCTION("""COMPUTED_VALUE"""),"TRF 11-09")</f>
        <v>TRF 11-09</v>
      </c>
      <c r="AE467" s="7" t="str">
        <f>IFERROR(__xludf.DUMMYFUNCTION("""COMPUTED_VALUE"""),"Pendiente")</f>
        <v>Pendiente</v>
      </c>
      <c r="AF467" s="45"/>
    </row>
    <row r="468">
      <c r="A468" s="42">
        <f>IFERROR(__xludf.DUMMYFUNCTION("""COMPUTED_VALUE"""),45547.30091913194)</f>
        <v>45547.30092</v>
      </c>
      <c r="B468" s="43" t="str">
        <f>IFERROR(__xludf.DUMMYFUNCTION("""COMPUTED_VALUE"""),"Cami")</f>
        <v>Cami</v>
      </c>
      <c r="C468" s="43" t="str">
        <f>IFERROR(__xludf.DUMMYFUNCTION("""COMPUTED_VALUE"""),"García laborde")</f>
        <v>García laborde</v>
      </c>
      <c r="D468" s="43" t="str">
        <f>IFERROR(__xludf.DUMMYFUNCTION("""COMPUTED_VALUE"""),"CABA")</f>
        <v>CABA</v>
      </c>
      <c r="E468" s="45" t="str">
        <f>IFERROR(__xludf.DUMMYFUNCTION("""COMPUTED_VALUE"""),"ARG")</f>
        <v>ARG</v>
      </c>
      <c r="F468" s="45">
        <f>IFERROR(__xludf.DUMMYFUNCTION("""COMPUTED_VALUE"""),5.2613001E7)</f>
        <v>52613001</v>
      </c>
      <c r="G468" s="44">
        <f>IFERROR(__xludf.DUMMYFUNCTION("""COMPUTED_VALUE"""),41040.0)</f>
        <v>41040</v>
      </c>
      <c r="H468" s="45">
        <f>IFERROR(__xludf.DUMMYFUNCTION("""COMPUTED_VALUE"""),1.140624064E9)</f>
        <v>1140624064</v>
      </c>
      <c r="I468" s="45">
        <f>IFERROR(__xludf.DUMMYFUNCTION("""COMPUTED_VALUE"""),1.140624064E9)</f>
        <v>1140624064</v>
      </c>
      <c r="J468" s="45" t="str">
        <f>IFERROR(__xludf.DUMMYFUNCTION("""COMPUTED_VALUE"""),"Igarcialaborde@gmail.com")</f>
        <v>Igarcialaborde@gmail.com</v>
      </c>
      <c r="K468" s="45" t="str">
        <f>IFERROR(__xludf.DUMMYFUNCTION("""COMPUTED_VALUE"""),"Femenino")</f>
        <v>Femenino</v>
      </c>
      <c r="L468" s="45" t="str">
        <f>IFERROR(__xludf.DUMMYFUNCTION("""COMPUTED_VALUE"""),"CNSI")</f>
        <v>CNSI</v>
      </c>
      <c r="M468" s="45" t="str">
        <f>IFERROR(__xludf.DUMMYFUNCTION("""COMPUTED_VALUE"""),"Femenino")</f>
        <v>Femenino</v>
      </c>
      <c r="N468" s="45" t="str">
        <f>IFERROR(__xludf.DUMMYFUNCTION("""COMPUTED_VALUE"""),"OPTIMIST TIMONELES")</f>
        <v>OPTIMIST TIMONELES</v>
      </c>
      <c r="O468" s="7"/>
      <c r="P468" s="7" t="str">
        <f>IFERROR(__xludf.DUMMYFUNCTION("""COMPUTED_VALUE"""),"ARG 4100")</f>
        <v>ARG 4100</v>
      </c>
      <c r="Q468" s="45"/>
      <c r="R468" s="45"/>
      <c r="S468" s="45"/>
      <c r="T468" s="45"/>
      <c r="U468" s="45"/>
      <c r="V468" s="45"/>
      <c r="W468" s="45"/>
      <c r="X468" s="47" t="str">
        <f>IFERROR(__xludf.DUMMYFUNCTION("""COMPUTED_VALUE"""),"Swiss Medicam")</f>
        <v>Swiss Medicam</v>
      </c>
      <c r="Y468" s="45" t="str">
        <f>IFERROR(__xludf.DUMMYFUNCTION("""COMPUTED_VALUE"""),"Si")</f>
        <v>Si</v>
      </c>
      <c r="Z468" s="45" t="str">
        <f>IFERROR(__xludf.DUMMYFUNCTION("""COMPUTED_VALUE"""),"Acepto")</f>
        <v>Acepto</v>
      </c>
      <c r="AA468" s="45" t="str">
        <f>IFERROR(__xludf.DUMMYFUNCTION("""COMPUTED_VALUE"""),"Pendiente")</f>
        <v>Pendiente</v>
      </c>
      <c r="AB468" s="45"/>
      <c r="AC468" s="7"/>
      <c r="AD468" s="7"/>
      <c r="AE468" s="7" t="str">
        <f>IFERROR(__xludf.DUMMYFUNCTION("""COMPUTED_VALUE"""),"OK")</f>
        <v>OK</v>
      </c>
      <c r="AF468" s="45"/>
    </row>
    <row r="469">
      <c r="A469" s="42">
        <f>IFERROR(__xludf.DUMMYFUNCTION("""COMPUTED_VALUE"""),45547.317589687504)</f>
        <v>45547.31759</v>
      </c>
      <c r="B469" s="43" t="str">
        <f>IFERROR(__xludf.DUMMYFUNCTION("""COMPUTED_VALUE"""),"Renata")</f>
        <v>Renata</v>
      </c>
      <c r="C469" s="43" t="str">
        <f>IFERROR(__xludf.DUMMYFUNCTION("""COMPUTED_VALUE"""),"Godoy")</f>
        <v>Godoy</v>
      </c>
      <c r="D469" s="43" t="str">
        <f>IFERROR(__xludf.DUMMYFUNCTION("""COMPUTED_VALUE"""),"Parana")</f>
        <v>Parana</v>
      </c>
      <c r="E469" s="45" t="str">
        <f>IFERROR(__xludf.DUMMYFUNCTION("""COMPUTED_VALUE"""),"ARG")</f>
        <v>ARG</v>
      </c>
      <c r="F469" s="45">
        <f>IFERROR(__xludf.DUMMYFUNCTION("""COMPUTED_VALUE"""),5.1422775E7)</f>
        <v>51422775</v>
      </c>
      <c r="G469" s="44">
        <f>IFERROR(__xludf.DUMMYFUNCTION("""COMPUTED_VALUE"""),40855.0)</f>
        <v>40855</v>
      </c>
      <c r="H469" s="45">
        <f>IFERROR(__xludf.DUMMYFUNCTION("""COMPUTED_VALUE"""),3.435213588E9)</f>
        <v>3435213588</v>
      </c>
      <c r="I469" s="45">
        <f>IFERROR(__xludf.DUMMYFUNCTION("""COMPUTED_VALUE"""),3.435213588E9)</f>
        <v>3435213588</v>
      </c>
      <c r="J469" s="45" t="str">
        <f>IFERROR(__xludf.DUMMYFUNCTION("""COMPUTED_VALUE"""),"colo.ngk826@gmail.com")</f>
        <v>colo.ngk826@gmail.com</v>
      </c>
      <c r="K469" s="45" t="str">
        <f>IFERROR(__xludf.DUMMYFUNCTION("""COMPUTED_VALUE"""),"Femenino")</f>
        <v>Femenino</v>
      </c>
      <c r="L469" s="45" t="str">
        <f>IFERROR(__xludf.DUMMYFUNCTION("""COMPUTED_VALUE"""),"CNP")</f>
        <v>CNP</v>
      </c>
      <c r="M469" s="45" t="str">
        <f>IFERROR(__xludf.DUMMYFUNCTION("""COMPUTED_VALUE"""),"Femenino, Interior (Optimist)")</f>
        <v>Femenino, Interior (Optimist)</v>
      </c>
      <c r="N469" s="45" t="str">
        <f>IFERROR(__xludf.DUMMYFUNCTION("""COMPUTED_VALUE"""),"OPTIMIST TIMONELES")</f>
        <v>OPTIMIST TIMONELES</v>
      </c>
      <c r="O469" s="7" t="str">
        <f>IFERROR(__xludf.DUMMYFUNCTION("""COMPUTED_VALUE"""),"No")</f>
        <v>No</v>
      </c>
      <c r="P469" s="7">
        <f>IFERROR(__xludf.DUMMYFUNCTION("""COMPUTED_VALUE"""),3862.0)</f>
        <v>3862</v>
      </c>
      <c r="Q469" s="45"/>
      <c r="R469" s="45"/>
      <c r="S469" s="45"/>
      <c r="T469" s="45"/>
      <c r="U469" s="45"/>
      <c r="V469" s="45"/>
      <c r="W469" s="45"/>
      <c r="X469" s="47" t="str">
        <f>IFERROR(__xludf.DUMMYFUNCTION("""COMPUTED_VALUE"""),"Iosper 513435213588")</f>
        <v>Iosper 513435213588</v>
      </c>
      <c r="Y469" s="45" t="str">
        <f>IFERROR(__xludf.DUMMYFUNCTION("""COMPUTED_VALUE"""),"Si")</f>
        <v>Si</v>
      </c>
      <c r="Z469" s="45" t="str">
        <f>IFERROR(__xludf.DUMMYFUNCTION("""COMPUTED_VALUE"""),"Acepto")</f>
        <v>Acepto</v>
      </c>
      <c r="AA469" s="45" t="str">
        <f>IFERROR(__xludf.DUMMYFUNCTION("""COMPUTED_VALUE"""),"Pendiente")</f>
        <v>Pendiente</v>
      </c>
      <c r="AB469" s="45"/>
      <c r="AC469" s="7"/>
      <c r="AD469" s="7"/>
      <c r="AE469" s="7" t="str">
        <f>IFERROR(__xludf.DUMMYFUNCTION("""COMPUTED_VALUE"""),"OK")</f>
        <v>OK</v>
      </c>
      <c r="AF469" s="45"/>
    </row>
    <row r="470">
      <c r="A470" s="42">
        <f>IFERROR(__xludf.DUMMYFUNCTION("""COMPUTED_VALUE"""),45547.33010331019)</f>
        <v>45547.3301</v>
      </c>
      <c r="B470" s="43" t="str">
        <f>IFERROR(__xludf.DUMMYFUNCTION("""COMPUTED_VALUE"""),"Olivia")</f>
        <v>Olivia</v>
      </c>
      <c r="C470" s="43" t="str">
        <f>IFERROR(__xludf.DUMMYFUNCTION("""COMPUTED_VALUE"""),"Caramielo Hrzina ")</f>
        <v>Caramielo Hrzina </v>
      </c>
      <c r="D470" s="43" t="str">
        <f>IFERROR(__xludf.DUMMYFUNCTION("""COMPUTED_VALUE"""),"CABA")</f>
        <v>CABA</v>
      </c>
      <c r="E470" s="45" t="str">
        <f>IFERROR(__xludf.DUMMYFUNCTION("""COMPUTED_VALUE"""),"ARG")</f>
        <v>ARG</v>
      </c>
      <c r="F470" s="45">
        <f>IFERROR(__xludf.DUMMYFUNCTION("""COMPUTED_VALUE"""),5.1122233E7)</f>
        <v>51122233</v>
      </c>
      <c r="G470" s="44">
        <f>IFERROR(__xludf.DUMMYFUNCTION("""COMPUTED_VALUE"""),40668.0)</f>
        <v>40668</v>
      </c>
      <c r="H470" s="45">
        <f>IFERROR(__xludf.DUMMYFUNCTION("""COMPUTED_VALUE"""),1.157655571E9)</f>
        <v>1157655571</v>
      </c>
      <c r="I470" s="45">
        <f>IFERROR(__xludf.DUMMYFUNCTION("""COMPUTED_VALUE"""),1.13511451E9)</f>
        <v>1135114510</v>
      </c>
      <c r="J470" s="45" t="str">
        <f>IFERROR(__xludf.DUMMYFUNCTION("""COMPUTED_VALUE"""),"Barbarahrzina@gmail.com")</f>
        <v>Barbarahrzina@gmail.com</v>
      </c>
      <c r="K470" s="45" t="str">
        <f>IFERROR(__xludf.DUMMYFUNCTION("""COMPUTED_VALUE"""),"Femenino")</f>
        <v>Femenino</v>
      </c>
      <c r="L470" s="45" t="str">
        <f>IFERROR(__xludf.DUMMYFUNCTION("""COMPUTED_VALUE"""),"CNAZ")</f>
        <v>CNAZ</v>
      </c>
      <c r="M470" s="45" t="str">
        <f>IFERROR(__xludf.DUMMYFUNCTION("""COMPUTED_VALUE"""),"Interior (Optimist)")</f>
        <v>Interior (Optimist)</v>
      </c>
      <c r="N470" s="45" t="str">
        <f>IFERROR(__xludf.DUMMYFUNCTION("""COMPUTED_VALUE"""),"OPTIMIST PRINCIPIANTES")</f>
        <v>OPTIMIST PRINCIPIANTES</v>
      </c>
      <c r="O470" s="7"/>
      <c r="P470" s="7">
        <f>IFERROR(__xludf.DUMMYFUNCTION("""COMPUTED_VALUE"""),351.0)</f>
        <v>351</v>
      </c>
      <c r="Q470" s="45"/>
      <c r="R470" s="45"/>
      <c r="S470" s="45"/>
      <c r="T470" s="45"/>
      <c r="U470" s="45"/>
      <c r="V470" s="45"/>
      <c r="W470" s="45"/>
      <c r="X470" s="47" t="str">
        <f>IFERROR(__xludf.DUMMYFUNCTION("""COMPUTED_VALUE"""),"Ospjn 73516/31")</f>
        <v>Ospjn 73516/31</v>
      </c>
      <c r="Y470" s="45" t="str">
        <f>IFERROR(__xludf.DUMMYFUNCTION("""COMPUTED_VALUE"""),"Si")</f>
        <v>Si</v>
      </c>
      <c r="Z470" s="45" t="str">
        <f>IFERROR(__xludf.DUMMYFUNCTION("""COMPUTED_VALUE"""),"Acepto")</f>
        <v>Acepto</v>
      </c>
      <c r="AA470" s="45" t="str">
        <f>IFERROR(__xludf.DUMMYFUNCTION("""COMPUTED_VALUE"""),"Pendiente")</f>
        <v>Pendiente</v>
      </c>
      <c r="AB470" s="45"/>
      <c r="AC470" s="7"/>
      <c r="AD470" s="7"/>
      <c r="AE470" s="7" t="str">
        <f>IFERROR(__xludf.DUMMYFUNCTION("""COMPUTED_VALUE"""),"OK")</f>
        <v>OK</v>
      </c>
      <c r="AF470" s="45"/>
    </row>
    <row r="471">
      <c r="A471" s="42">
        <f>IFERROR(__xludf.DUMMYFUNCTION("""COMPUTED_VALUE"""),45547.34009798611)</f>
        <v>45547.3401</v>
      </c>
      <c r="B471" s="43" t="str">
        <f>IFERROR(__xludf.DUMMYFUNCTION("""COMPUTED_VALUE"""),"Renata ")</f>
        <v>Renata </v>
      </c>
      <c r="C471" s="43" t="str">
        <f>IFERROR(__xludf.DUMMYFUNCTION("""COMPUTED_VALUE"""),"Godoy ")</f>
        <v>Godoy </v>
      </c>
      <c r="D471" s="43" t="str">
        <f>IFERROR(__xludf.DUMMYFUNCTION("""COMPUTED_VALUE"""),"Parana")</f>
        <v>Parana</v>
      </c>
      <c r="E471" s="45" t="str">
        <f>IFERROR(__xludf.DUMMYFUNCTION("""COMPUTED_VALUE"""),"ARG")</f>
        <v>ARG</v>
      </c>
      <c r="F471" s="45">
        <f>IFERROR(__xludf.DUMMYFUNCTION("""COMPUTED_VALUE"""),5.1422775E7)</f>
        <v>51422775</v>
      </c>
      <c r="G471" s="44">
        <f>IFERROR(__xludf.DUMMYFUNCTION("""COMPUTED_VALUE"""),40855.0)</f>
        <v>40855</v>
      </c>
      <c r="H471" s="45">
        <f>IFERROR(__xludf.DUMMYFUNCTION("""COMPUTED_VALUE"""),3.435213588E9)</f>
        <v>3435213588</v>
      </c>
      <c r="I471" s="45">
        <f>IFERROR(__xludf.DUMMYFUNCTION("""COMPUTED_VALUE"""),3.435213588E9)</f>
        <v>3435213588</v>
      </c>
      <c r="J471" s="45" t="str">
        <f>IFERROR(__xludf.DUMMYFUNCTION("""COMPUTED_VALUE"""),"colo.ngk826@gmail.com")</f>
        <v>colo.ngk826@gmail.com</v>
      </c>
      <c r="K471" s="45" t="str">
        <f>IFERROR(__xludf.DUMMYFUNCTION("""COMPUTED_VALUE"""),"Femenino")</f>
        <v>Femenino</v>
      </c>
      <c r="L471" s="45" t="str">
        <f>IFERROR(__xludf.DUMMYFUNCTION("""COMPUTED_VALUE"""),"CNP")</f>
        <v>CNP</v>
      </c>
      <c r="M471" s="45" t="str">
        <f>IFERROR(__xludf.DUMMYFUNCTION("""COMPUTED_VALUE"""),"Femenino, Interior (Optimist)")</f>
        <v>Femenino, Interior (Optimist)</v>
      </c>
      <c r="N471" s="45" t="str">
        <f>IFERROR(__xludf.DUMMYFUNCTION("""COMPUTED_VALUE"""),"OPTIMIST TIMONELES")</f>
        <v>OPTIMIST TIMONELES</v>
      </c>
      <c r="O471" s="7"/>
      <c r="P471" s="7">
        <f>IFERROR(__xludf.DUMMYFUNCTION("""COMPUTED_VALUE"""),3862.0)</f>
        <v>3862</v>
      </c>
      <c r="Q471" s="45"/>
      <c r="R471" s="45"/>
      <c r="S471" s="45"/>
      <c r="T471" s="45"/>
      <c r="U471" s="45"/>
      <c r="V471" s="45"/>
      <c r="W471" s="45"/>
      <c r="X471" s="47" t="str">
        <f>IFERROR(__xludf.DUMMYFUNCTION("""COMPUTED_VALUE"""),"Iosper 51422775")</f>
        <v>Iosper 51422775</v>
      </c>
      <c r="Y471" s="45" t="str">
        <f>IFERROR(__xludf.DUMMYFUNCTION("""COMPUTED_VALUE"""),"Si")</f>
        <v>Si</v>
      </c>
      <c r="Z471" s="45" t="str">
        <f>IFERROR(__xludf.DUMMYFUNCTION("""COMPUTED_VALUE"""),"Acepto")</f>
        <v>Acepto</v>
      </c>
      <c r="AA471" s="45" t="str">
        <f>IFERROR(__xludf.DUMMYFUNCTION("""COMPUTED_VALUE"""),"Repetido")</f>
        <v>Repetido</v>
      </c>
      <c r="AB471" s="45"/>
      <c r="AC471" s="7"/>
      <c r="AD471" s="7"/>
      <c r="AE471" s="7"/>
      <c r="AF471" s="45"/>
    </row>
    <row r="472">
      <c r="A472" s="42">
        <f>IFERROR(__xludf.DUMMYFUNCTION("""COMPUTED_VALUE"""),45547.41701630787)</f>
        <v>45547.41702</v>
      </c>
      <c r="B472" s="43" t="str">
        <f>IFERROR(__xludf.DUMMYFUNCTION("""COMPUTED_VALUE"""),"Sebastian")</f>
        <v>Sebastian</v>
      </c>
      <c r="C472" s="43" t="str">
        <f>IFERROR(__xludf.DUMMYFUNCTION("""COMPUTED_VALUE"""),"Lopez")</f>
        <v>Lopez</v>
      </c>
      <c r="D472" s="43" t="str">
        <f>IFERROR(__xludf.DUMMYFUNCTION("""COMPUTED_VALUE"""),"CABA")</f>
        <v>CABA</v>
      </c>
      <c r="E472" s="45" t="str">
        <f>IFERROR(__xludf.DUMMYFUNCTION("""COMPUTED_VALUE"""),"ARG")</f>
        <v>ARG</v>
      </c>
      <c r="F472" s="45">
        <f>IFERROR(__xludf.DUMMYFUNCTION("""COMPUTED_VALUE"""),2.2482481E7)</f>
        <v>22482481</v>
      </c>
      <c r="G472" s="44">
        <f>IFERROR(__xludf.DUMMYFUNCTION("""COMPUTED_VALUE"""),26260.0)</f>
        <v>26260</v>
      </c>
      <c r="H472" s="45" t="str">
        <f>IFERROR(__xludf.DUMMYFUNCTION("""COMPUTED_VALUE"""),"54 9 11 6112 4815")</f>
        <v>54 9 11 6112 4815</v>
      </c>
      <c r="I472" s="45" t="str">
        <f>IFERROR(__xludf.DUMMYFUNCTION("""COMPUTED_VALUE"""),"54 9 11 6564 1305")</f>
        <v>54 9 11 6564 1305</v>
      </c>
      <c r="J472" s="45" t="str">
        <f>IFERROR(__xludf.DUMMYFUNCTION("""COMPUTED_VALUE"""),"sebalopez2311@gmail.com")</f>
        <v>sebalopez2311@gmail.com</v>
      </c>
      <c r="K472" s="45" t="str">
        <f>IFERROR(__xludf.DUMMYFUNCTION("""COMPUTED_VALUE"""),"Masculino")</f>
        <v>Masculino</v>
      </c>
      <c r="L472" s="45" t="str">
        <f>IFERROR(__xludf.DUMMYFUNCTION("""COMPUTED_VALUE"""),"CPNLB")</f>
        <v>CPNLB</v>
      </c>
      <c r="M472" s="45" t="str">
        <f>IFERROR(__xludf.DUMMYFUNCTION("""COMPUTED_VALUE"""),"Master (ILCA)")</f>
        <v>Master (ILCA)</v>
      </c>
      <c r="N472" s="45" t="str">
        <f>IFERROR(__xludf.DUMMYFUNCTION("""COMPUTED_VALUE"""),"ILCA 6")</f>
        <v>ILCA 6</v>
      </c>
      <c r="O472" s="7"/>
      <c r="P472" s="7">
        <f>IFERROR(__xludf.DUMMYFUNCTION("""COMPUTED_VALUE"""),172311.0)</f>
        <v>172311</v>
      </c>
      <c r="Q472" s="45"/>
      <c r="R472" s="45"/>
      <c r="S472" s="45"/>
      <c r="T472" s="45"/>
      <c r="U472" s="45"/>
      <c r="V472" s="45"/>
      <c r="W472" s="45"/>
      <c r="X472" s="47" t="str">
        <f>IFERROR(__xludf.DUMMYFUNCTION("""COMPUTED_VALUE"""),"OSDE 61 640557 7 01")</f>
        <v>OSDE 61 640557 7 01</v>
      </c>
      <c r="Y472" s="45" t="str">
        <f>IFERROR(__xludf.DUMMYFUNCTION("""COMPUTED_VALUE"""),"No")</f>
        <v>No</v>
      </c>
      <c r="Z472" s="45" t="str">
        <f>IFERROR(__xludf.DUMMYFUNCTION("""COMPUTED_VALUE"""),"Acepto")</f>
        <v>Acepto</v>
      </c>
      <c r="AA472" s="45" t="str">
        <f>IFERROR(__xludf.DUMMYFUNCTION("""COMPUTED_VALUE"""),"Pendiente")</f>
        <v>Pendiente</v>
      </c>
      <c r="AB472" s="45"/>
      <c r="AC472" s="7"/>
      <c r="AD472" s="7"/>
      <c r="AE472" s="7" t="str">
        <f>IFERROR(__xludf.DUMMYFUNCTION("""COMPUTED_VALUE"""),"No Corresp")</f>
        <v>No Corresp</v>
      </c>
      <c r="AF472" s="45"/>
    </row>
    <row r="473">
      <c r="A473" s="42">
        <f>IFERROR(__xludf.DUMMYFUNCTION("""COMPUTED_VALUE"""),45547.422011041665)</f>
        <v>45547.42201</v>
      </c>
      <c r="B473" s="43" t="str">
        <f>IFERROR(__xludf.DUMMYFUNCTION("""COMPUTED_VALUE"""),"Pablo")</f>
        <v>Pablo</v>
      </c>
      <c r="C473" s="43" t="str">
        <f>IFERROR(__xludf.DUMMYFUNCTION("""COMPUTED_VALUE"""),"Völker")</f>
        <v>Völker</v>
      </c>
      <c r="D473" s="43" t="str">
        <f>IFERROR(__xludf.DUMMYFUNCTION("""COMPUTED_VALUE"""),"Beccar")</f>
        <v>Beccar</v>
      </c>
      <c r="E473" s="45" t="str">
        <f>IFERROR(__xludf.DUMMYFUNCTION("""COMPUTED_VALUE"""),"ARG")</f>
        <v>ARG</v>
      </c>
      <c r="F473" s="45">
        <f>IFERROR(__xludf.DUMMYFUNCTION("""COMPUTED_VALUE"""),3.5657397E7)</f>
        <v>35657397</v>
      </c>
      <c r="G473" s="44">
        <f>IFERROR(__xludf.DUMMYFUNCTION("""COMPUTED_VALUE"""),33377.0)</f>
        <v>33377</v>
      </c>
      <c r="H473" s="45" t="str">
        <f>IFERROR(__xludf.DUMMYFUNCTION("""COMPUTED_VALUE"""),"+5491165100711")</f>
        <v>+5491165100711</v>
      </c>
      <c r="I473" s="45"/>
      <c r="J473" s="45" t="str">
        <f>IFERROR(__xludf.DUMMYFUNCTION("""COMPUTED_VALUE"""),"pablovolker@gmail.com")</f>
        <v>pablovolker@gmail.com</v>
      </c>
      <c r="K473" s="45" t="str">
        <f>IFERROR(__xludf.DUMMYFUNCTION("""COMPUTED_VALUE"""),"Masculino")</f>
        <v>Masculino</v>
      </c>
      <c r="L473" s="45" t="str">
        <f>IFERROR(__xludf.DUMMYFUNCTION("""COMPUTED_VALUE"""),"CNSI")</f>
        <v>CNSI</v>
      </c>
      <c r="M473" s="45"/>
      <c r="N473" s="45" t="str">
        <f>IFERROR(__xludf.DUMMYFUNCTION("""COMPUTED_VALUE"""),"F 18")</f>
        <v>F 18</v>
      </c>
      <c r="O473" s="7"/>
      <c r="P473" s="7" t="str">
        <f>IFERROR(__xludf.DUMMYFUNCTION("""COMPUTED_VALUE"""),"ARG 11")</f>
        <v>ARG 11</v>
      </c>
      <c r="Q473" s="45"/>
      <c r="R473" s="45" t="str">
        <f>IFERROR(__xludf.DUMMYFUNCTION("""COMPUTED_VALUE"""),"Valentín Frey")</f>
        <v>Valentín Frey</v>
      </c>
      <c r="S473" s="45"/>
      <c r="T473" s="45"/>
      <c r="U473" s="45"/>
      <c r="V473" s="45"/>
      <c r="W473" s="45"/>
      <c r="X473" s="47"/>
      <c r="Y473" s="45" t="str">
        <f>IFERROR(__xludf.DUMMYFUNCTION("""COMPUTED_VALUE"""),"No")</f>
        <v>No</v>
      </c>
      <c r="Z473" s="45" t="str">
        <f>IFERROR(__xludf.DUMMYFUNCTION("""COMPUTED_VALUE"""),"Acepto")</f>
        <v>Acepto</v>
      </c>
      <c r="AA473" s="45" t="str">
        <f>IFERROR(__xludf.DUMMYFUNCTION("""COMPUTED_VALUE"""),"Pendiente")</f>
        <v>Pendiente</v>
      </c>
      <c r="AB473" s="45"/>
      <c r="AC473" s="7"/>
      <c r="AD473" s="7"/>
      <c r="AE473" s="7" t="str">
        <f>IFERROR(__xludf.DUMMYFUNCTION("""COMPUTED_VALUE"""),"No Corresp")</f>
        <v>No Corresp</v>
      </c>
      <c r="AF473" s="45"/>
    </row>
    <row r="474">
      <c r="A474" s="42">
        <f>IFERROR(__xludf.DUMMYFUNCTION("""COMPUTED_VALUE"""),45547.43850585648)</f>
        <v>45547.43851</v>
      </c>
      <c r="B474" s="43" t="str">
        <f>IFERROR(__xludf.DUMMYFUNCTION("""COMPUTED_VALUE"""),"Ivan ")</f>
        <v>Ivan </v>
      </c>
      <c r="C474" s="43" t="str">
        <f>IFERROR(__xludf.DUMMYFUNCTION("""COMPUTED_VALUE"""),"Spoliansky keten")</f>
        <v>Spoliansky keten</v>
      </c>
      <c r="D474" s="43" t="str">
        <f>IFERROR(__xludf.DUMMYFUNCTION("""COMPUTED_VALUE"""),"CABA")</f>
        <v>CABA</v>
      </c>
      <c r="E474" s="45" t="str">
        <f>IFERROR(__xludf.DUMMYFUNCTION("""COMPUTED_VALUE"""),"ARG")</f>
        <v>ARG</v>
      </c>
      <c r="F474" s="45">
        <f>IFERROR(__xludf.DUMMYFUNCTION("""COMPUTED_VALUE"""),4.6586199E7)</f>
        <v>46586199</v>
      </c>
      <c r="G474" s="44">
        <f>IFERROR(__xludf.DUMMYFUNCTION("""COMPUTED_VALUE"""),38468.0)</f>
        <v>38468</v>
      </c>
      <c r="H474" s="45">
        <f>IFERROR(__xludf.DUMMYFUNCTION("""COMPUTED_VALUE"""),1.131322604E9)</f>
        <v>1131322604</v>
      </c>
      <c r="I474" s="45">
        <f>IFERROR(__xludf.DUMMYFUNCTION("""COMPUTED_VALUE"""),1.167960175E9)</f>
        <v>1167960175</v>
      </c>
      <c r="J474" s="45" t="str">
        <f>IFERROR(__xludf.DUMMYFUNCTION("""COMPUTED_VALUE"""),"Ivanspoliansky@gmail.com")</f>
        <v>Ivanspoliansky@gmail.com</v>
      </c>
      <c r="K474" s="45" t="str">
        <f>IFERROR(__xludf.DUMMYFUNCTION("""COMPUTED_VALUE"""),"Masculino")</f>
        <v>Masculino</v>
      </c>
      <c r="L474" s="45" t="str">
        <f>IFERROR(__xludf.DUMMYFUNCTION("""COMPUTED_VALUE"""),"YCO")</f>
        <v>YCO</v>
      </c>
      <c r="M474" s="45" t="str">
        <f>IFERROR(__xludf.DUMMYFUNCTION("""COMPUTED_VALUE"""),"Junior")</f>
        <v>Junior</v>
      </c>
      <c r="N474" s="45" t="str">
        <f>IFERROR(__xludf.DUMMYFUNCTION("""COMPUTED_VALUE"""),"ILCA 6")</f>
        <v>ILCA 6</v>
      </c>
      <c r="O474" s="7"/>
      <c r="P474" s="7">
        <f>IFERROR(__xludf.DUMMYFUNCTION("""COMPUTED_VALUE"""),211551.0)</f>
        <v>211551</v>
      </c>
      <c r="Q474" s="45"/>
      <c r="R474" s="45" t="str">
        <f>IFERROR(__xludf.DUMMYFUNCTION("""COMPUTED_VALUE"""),"Ivan spoliansky keten")</f>
        <v>Ivan spoliansky keten</v>
      </c>
      <c r="S474" s="45"/>
      <c r="T474" s="45"/>
      <c r="U474" s="45"/>
      <c r="V474" s="45"/>
      <c r="W474" s="45"/>
      <c r="X474" s="47" t="str">
        <f>IFERROR(__xludf.DUMMYFUNCTION("""COMPUTED_VALUE"""),"Poder judicial: 52698/21")</f>
        <v>Poder judicial: 52698/21</v>
      </c>
      <c r="Y474" s="45" t="str">
        <f>IFERROR(__xludf.DUMMYFUNCTION("""COMPUTED_VALUE"""),"Si")</f>
        <v>Si</v>
      </c>
      <c r="Z474" s="45" t="str">
        <f>IFERROR(__xludf.DUMMYFUNCTION("""COMPUTED_VALUE"""),"Acepto")</f>
        <v>Acepto</v>
      </c>
      <c r="AA474" s="45" t="str">
        <f>IFERROR(__xludf.DUMMYFUNCTION("""COMPUTED_VALUE"""),"Pendiente")</f>
        <v>Pendiente</v>
      </c>
      <c r="AB474" s="45"/>
      <c r="AC474" s="7"/>
      <c r="AD474" s="7"/>
      <c r="AE474" s="7" t="str">
        <f>IFERROR(__xludf.DUMMYFUNCTION("""COMPUTED_VALUE"""),"No Corresp")</f>
        <v>No Corresp</v>
      </c>
      <c r="AF474" s="45"/>
    </row>
    <row r="475">
      <c r="A475" s="42">
        <f>IFERROR(__xludf.DUMMYFUNCTION("""COMPUTED_VALUE"""),45547.43976246528)</f>
        <v>45547.43976</v>
      </c>
      <c r="B475" s="43" t="str">
        <f>IFERROR(__xludf.DUMMYFUNCTION("""COMPUTED_VALUE"""),"Leonardo")</f>
        <v>Leonardo</v>
      </c>
      <c r="C475" s="43" t="str">
        <f>IFERROR(__xludf.DUMMYFUNCTION("""COMPUTED_VALUE"""),"Culotta")</f>
        <v>Culotta</v>
      </c>
      <c r="D475" s="43" t="str">
        <f>IFERROR(__xludf.DUMMYFUNCTION("""COMPUTED_VALUE"""),"Martinez")</f>
        <v>Martinez</v>
      </c>
      <c r="E475" s="45" t="str">
        <f>IFERROR(__xludf.DUMMYFUNCTION("""COMPUTED_VALUE"""),"ARG")</f>
        <v>ARG</v>
      </c>
      <c r="F475" s="45">
        <f>IFERROR(__xludf.DUMMYFUNCTION("""COMPUTED_VALUE"""),2.0007959E7)</f>
        <v>20007959</v>
      </c>
      <c r="G475" s="44">
        <f>IFERROR(__xludf.DUMMYFUNCTION("""COMPUTED_VALUE"""),24874.0)</f>
        <v>24874</v>
      </c>
      <c r="H475" s="45">
        <f>IFERROR(__xludf.DUMMYFUNCTION("""COMPUTED_VALUE"""),1.168304004E9)</f>
        <v>1168304004</v>
      </c>
      <c r="I475" s="45">
        <f>IFERROR(__xludf.DUMMYFUNCTION("""COMPUTED_VALUE"""),1.151608831E9)</f>
        <v>1151608831</v>
      </c>
      <c r="J475" s="45" t="str">
        <f>IFERROR(__xludf.DUMMYFUNCTION("""COMPUTED_VALUE"""),"leoculotta@gmail.com")</f>
        <v>leoculotta@gmail.com</v>
      </c>
      <c r="K475" s="45" t="str">
        <f>IFERROR(__xludf.DUMMYFUNCTION("""COMPUTED_VALUE"""),"Masculino")</f>
        <v>Masculino</v>
      </c>
      <c r="L475" s="45" t="str">
        <f>IFERROR(__xludf.DUMMYFUNCTION("""COMPUTED_VALUE"""),"Águila")</f>
        <v>Águila</v>
      </c>
      <c r="M475" s="45"/>
      <c r="N475" s="45" t="str">
        <f>IFERROR(__xludf.DUMMYFUNCTION("""COMPUTED_VALUE"""),"F 18")</f>
        <v>F 18</v>
      </c>
      <c r="O475" s="7" t="str">
        <f>IFERROR(__xludf.DUMMYFUNCTION("""COMPUTED_VALUE"""),"no tenemos")</f>
        <v>no tenemos</v>
      </c>
      <c r="P475" s="7">
        <f>IFERROR(__xludf.DUMMYFUNCTION("""COMPUTED_VALUE"""),81.0)</f>
        <v>81</v>
      </c>
      <c r="Q475" s="45" t="str">
        <f>IFERROR(__xludf.DUMMYFUNCTION("""COMPUTED_VALUE"""),"Perla Blanca")</f>
        <v>Perla Blanca</v>
      </c>
      <c r="R475" s="45" t="str">
        <f>IFERROR(__xludf.DUMMYFUNCTION("""COMPUTED_VALUE"""),"Alejandro Caputo")</f>
        <v>Alejandro Caputo</v>
      </c>
      <c r="S475" s="45" t="str">
        <f>IFERROR(__xludf.DUMMYFUNCTION("""COMPUTED_VALUE"""),"Leonardo Culotta")</f>
        <v>Leonardo Culotta</v>
      </c>
      <c r="T475" s="45"/>
      <c r="U475" s="45"/>
      <c r="V475" s="45"/>
      <c r="W475" s="45"/>
      <c r="X475" s="47" t="str">
        <f>IFERROR(__xludf.DUMMYFUNCTION("""COMPUTED_VALUE"""),"OSDE")</f>
        <v>OSDE</v>
      </c>
      <c r="Y475" s="45" t="str">
        <f>IFERROR(__xludf.DUMMYFUNCTION("""COMPUTED_VALUE"""),"No")</f>
        <v>No</v>
      </c>
      <c r="Z475" s="45" t="str">
        <f>IFERROR(__xludf.DUMMYFUNCTION("""COMPUTED_VALUE"""),"Acepto")</f>
        <v>Acepto</v>
      </c>
      <c r="AA475" s="45" t="str">
        <f>IFERROR(__xludf.DUMMYFUNCTION("""COMPUTED_VALUE"""),"Pendiente")</f>
        <v>Pendiente</v>
      </c>
      <c r="AB475" s="45"/>
      <c r="AC475" s="7"/>
      <c r="AD475" s="7"/>
      <c r="AE475" s="7" t="str">
        <f>IFERROR(__xludf.DUMMYFUNCTION("""COMPUTED_VALUE"""),"No Corresp")</f>
        <v>No Corresp</v>
      </c>
      <c r="AF475" s="45"/>
    </row>
    <row r="476">
      <c r="A476" s="42">
        <f>IFERROR(__xludf.DUMMYFUNCTION("""COMPUTED_VALUE"""),45547.45860414352)</f>
        <v>45547.4586</v>
      </c>
      <c r="B476" s="43" t="str">
        <f>IFERROR(__xludf.DUMMYFUNCTION("""COMPUTED_VALUE"""),"Julia")</f>
        <v>Julia</v>
      </c>
      <c r="C476" s="43" t="str">
        <f>IFERROR(__xludf.DUMMYFUNCTION("""COMPUTED_VALUE"""),"Isaacson")</f>
        <v>Isaacson</v>
      </c>
      <c r="D476" s="43" t="str">
        <f>IFERROR(__xludf.DUMMYFUNCTION("""COMPUTED_VALUE"""),"Buenos Aires")</f>
        <v>Buenos Aires</v>
      </c>
      <c r="E476" s="45" t="str">
        <f>IFERROR(__xludf.DUMMYFUNCTION("""COMPUTED_VALUE"""),"ARG")</f>
        <v>ARG</v>
      </c>
      <c r="F476" s="45">
        <f>IFERROR(__xludf.DUMMYFUNCTION("""COMPUTED_VALUE"""),5.2643126E7)</f>
        <v>52643126</v>
      </c>
      <c r="G476" s="44">
        <f>IFERROR(__xludf.DUMMYFUNCTION("""COMPUTED_VALUE"""),41105.0)</f>
        <v>41105</v>
      </c>
      <c r="H476" s="45">
        <f>IFERROR(__xludf.DUMMYFUNCTION("""COMPUTED_VALUE"""),1.165754774E9)</f>
        <v>1165754774</v>
      </c>
      <c r="I476" s="45">
        <f>IFERROR(__xludf.DUMMYFUNCTION("""COMPUTED_VALUE"""),1.160952334E9)</f>
        <v>1160952334</v>
      </c>
      <c r="J476" s="45" t="str">
        <f>IFERROR(__xludf.DUMMYFUNCTION("""COMPUTED_VALUE"""),"Belenisaacson@gmail.com")</f>
        <v>Belenisaacson@gmail.com</v>
      </c>
      <c r="K476" s="45" t="str">
        <f>IFERROR(__xludf.DUMMYFUNCTION("""COMPUTED_VALUE"""),"Femenino")</f>
        <v>Femenino</v>
      </c>
      <c r="L476" s="45" t="str">
        <f>IFERROR(__xludf.DUMMYFUNCTION("""COMPUTED_VALUE"""),"CNSE")</f>
        <v>CNSE</v>
      </c>
      <c r="M476" s="45" t="str">
        <f>IFERROR(__xludf.DUMMYFUNCTION("""COMPUTED_VALUE"""),"Femenino")</f>
        <v>Femenino</v>
      </c>
      <c r="N476" s="45" t="str">
        <f>IFERROR(__xludf.DUMMYFUNCTION("""COMPUTED_VALUE"""),"OPTIMIST PRINCIPIANTES")</f>
        <v>OPTIMIST PRINCIPIANTES</v>
      </c>
      <c r="O476" s="7"/>
      <c r="P476" s="7">
        <f>IFERROR(__xludf.DUMMYFUNCTION("""COMPUTED_VALUE"""),3544.0)</f>
        <v>3544</v>
      </c>
      <c r="Q476" s="45" t="str">
        <f>IFERROR(__xludf.DUMMYFUNCTION("""COMPUTED_VALUE"""),"Merengue")</f>
        <v>Merengue</v>
      </c>
      <c r="R476" s="45"/>
      <c r="S476" s="45"/>
      <c r="T476" s="45"/>
      <c r="U476" s="45"/>
      <c r="V476" s="45"/>
      <c r="W476" s="45"/>
      <c r="X476" s="47" t="str">
        <f>IFERROR(__xludf.DUMMYFUNCTION("""COMPUTED_VALUE"""),"Osde 410 - 61469362302")</f>
        <v>Osde 410 - 61469362302</v>
      </c>
      <c r="Y476" s="45" t="str">
        <f>IFERROR(__xludf.DUMMYFUNCTION("""COMPUTED_VALUE"""),"Si")</f>
        <v>Si</v>
      </c>
      <c r="Z476" s="45" t="str">
        <f>IFERROR(__xludf.DUMMYFUNCTION("""COMPUTED_VALUE"""),"Acepto")</f>
        <v>Acepto</v>
      </c>
      <c r="AA476" s="45" t="str">
        <f>IFERROR(__xludf.DUMMYFUNCTION("""COMPUTED_VALUE"""),"Pendiente")</f>
        <v>Pendiente</v>
      </c>
      <c r="AB476" s="45"/>
      <c r="AC476" s="7"/>
      <c r="AD476" s="7"/>
      <c r="AE476" s="7" t="str">
        <f>IFERROR(__xludf.DUMMYFUNCTION("""COMPUTED_VALUE"""),"Pendiente")</f>
        <v>Pendiente</v>
      </c>
      <c r="AF476" s="45"/>
    </row>
    <row r="477">
      <c r="A477" s="42">
        <f>IFERROR(__xludf.DUMMYFUNCTION("""COMPUTED_VALUE"""),45547.467579143515)</f>
        <v>45547.46758</v>
      </c>
      <c r="B477" s="43" t="str">
        <f>IFERROR(__xludf.DUMMYFUNCTION("""COMPUTED_VALUE"""),"Elena")</f>
        <v>Elena</v>
      </c>
      <c r="C477" s="43" t="str">
        <f>IFERROR(__xludf.DUMMYFUNCTION("""COMPUTED_VALUE"""),"Tiscornia")</f>
        <v>Tiscornia</v>
      </c>
      <c r="D477" s="43" t="str">
        <f>IFERROR(__xludf.DUMMYFUNCTION("""COMPUTED_VALUE"""),"San Isidro")</f>
        <v>San Isidro</v>
      </c>
      <c r="E477" s="45" t="str">
        <f>IFERROR(__xludf.DUMMYFUNCTION("""COMPUTED_VALUE"""),"ARG")</f>
        <v>ARG</v>
      </c>
      <c r="F477" s="45">
        <f>IFERROR(__xludf.DUMMYFUNCTION("""COMPUTED_VALUE"""),5.2703218E7)</f>
        <v>52703218</v>
      </c>
      <c r="G477" s="44">
        <f>IFERROR(__xludf.DUMMYFUNCTION("""COMPUTED_VALUE"""),41170.0)</f>
        <v>41170</v>
      </c>
      <c r="H477" s="45" t="str">
        <f>IFERROR(__xludf.DUMMYFUNCTION("""COMPUTED_VALUE"""),"11 44794035")</f>
        <v>11 44794035</v>
      </c>
      <c r="I477" s="45" t="str">
        <f>IFERROR(__xludf.DUMMYFUNCTION("""COMPUTED_VALUE"""),"1144794035 / 1135978500")</f>
        <v>1144794035 / 1135978500</v>
      </c>
      <c r="J477" s="45" t="str">
        <f>IFERROR(__xludf.DUMMYFUNCTION("""COMPUTED_VALUE"""),"atiscornia@arguelaw.com")</f>
        <v>atiscornia@arguelaw.com</v>
      </c>
      <c r="K477" s="45" t="str">
        <f>IFERROR(__xludf.DUMMYFUNCTION("""COMPUTED_VALUE"""),"Femenino")</f>
        <v>Femenino</v>
      </c>
      <c r="L477" s="45" t="str">
        <f>IFERROR(__xludf.DUMMYFUNCTION("""COMPUTED_VALUE"""),"CNSE")</f>
        <v>CNSE</v>
      </c>
      <c r="M477" s="45" t="str">
        <f>IFERROR(__xludf.DUMMYFUNCTION("""COMPUTED_VALUE"""),"Femenino")</f>
        <v>Femenino</v>
      </c>
      <c r="N477" s="45" t="str">
        <f>IFERROR(__xludf.DUMMYFUNCTION("""COMPUTED_VALUE"""),"OPTIMIST PRINCIPIANTES")</f>
        <v>OPTIMIST PRINCIPIANTES</v>
      </c>
      <c r="O477" s="7"/>
      <c r="P477" s="7">
        <f>IFERROR(__xludf.DUMMYFUNCTION("""COMPUTED_VALUE"""),3634.0)</f>
        <v>3634</v>
      </c>
      <c r="Q477" s="45" t="str">
        <f>IFERROR(__xludf.DUMMYFUNCTION("""COMPUTED_VALUE"""),"MASCARDI")</f>
        <v>MASCARDI</v>
      </c>
      <c r="R477" s="45"/>
      <c r="S477" s="45"/>
      <c r="T477" s="45"/>
      <c r="U477" s="45"/>
      <c r="V477" s="45"/>
      <c r="W477" s="45"/>
      <c r="X477" s="47" t="str">
        <f>IFERROR(__xludf.DUMMYFUNCTION("""COMPUTED_VALUE"""),"CEMIC 409 120918-001")</f>
        <v>CEMIC 409 120918-001</v>
      </c>
      <c r="Y477" s="45" t="str">
        <f>IFERROR(__xludf.DUMMYFUNCTION("""COMPUTED_VALUE"""),"Si")</f>
        <v>Si</v>
      </c>
      <c r="Z477" s="45" t="str">
        <f>IFERROR(__xludf.DUMMYFUNCTION("""COMPUTED_VALUE"""),"Acepto")</f>
        <v>Acepto</v>
      </c>
      <c r="AA477" s="45" t="str">
        <f>IFERROR(__xludf.DUMMYFUNCTION("""COMPUTED_VALUE"""),"Pendiente")</f>
        <v>Pendiente</v>
      </c>
      <c r="AB477" s="45"/>
      <c r="AC477" s="7"/>
      <c r="AD477" s="7"/>
      <c r="AE477" s="7" t="str">
        <f>IFERROR(__xludf.DUMMYFUNCTION("""COMPUTED_VALUE"""),"SI")</f>
        <v>SI</v>
      </c>
      <c r="AF477" s="45"/>
    </row>
    <row r="478">
      <c r="A478" s="42">
        <f>IFERROR(__xludf.DUMMYFUNCTION("""COMPUTED_VALUE"""),45547.47760787037)</f>
        <v>45547.47761</v>
      </c>
      <c r="B478" s="43" t="str">
        <f>IFERROR(__xludf.DUMMYFUNCTION("""COMPUTED_VALUE"""),"Juan")</f>
        <v>Juan</v>
      </c>
      <c r="C478" s="43" t="str">
        <f>IFERROR(__xludf.DUMMYFUNCTION("""COMPUTED_VALUE"""),"Vugdelija")</f>
        <v>Vugdelija</v>
      </c>
      <c r="D478" s="43" t="str">
        <f>IFERROR(__xludf.DUMMYFUNCTION("""COMPUTED_VALUE"""),"Caba")</f>
        <v>Caba</v>
      </c>
      <c r="E478" s="45" t="str">
        <f>IFERROR(__xludf.DUMMYFUNCTION("""COMPUTED_VALUE"""),"ARG")</f>
        <v>ARG</v>
      </c>
      <c r="F478" s="45">
        <f>IFERROR(__xludf.DUMMYFUNCTION("""COMPUTED_VALUE"""),3.6594987E7)</f>
        <v>36594987</v>
      </c>
      <c r="G478" s="44">
        <f>IFERROR(__xludf.DUMMYFUNCTION("""COMPUTED_VALUE"""),33578.0)</f>
        <v>33578</v>
      </c>
      <c r="H478" s="45"/>
      <c r="I478" s="45"/>
      <c r="J478" s="45" t="str">
        <f>IFERROR(__xludf.DUMMYFUNCTION("""COMPUTED_VALUE"""),"juanvugdelija@gmail.com")</f>
        <v>juanvugdelija@gmail.com</v>
      </c>
      <c r="K478" s="45" t="str">
        <f>IFERROR(__xludf.DUMMYFUNCTION("""COMPUTED_VALUE"""),"Masculino")</f>
        <v>Masculino</v>
      </c>
      <c r="L478" s="45" t="str">
        <f>IFERROR(__xludf.DUMMYFUNCTION("""COMPUTED_VALUE"""),"CUBA")</f>
        <v>CUBA</v>
      </c>
      <c r="M478" s="45" t="str">
        <f>IFERROR(__xludf.DUMMYFUNCTION("""COMPUTED_VALUE"""),"Master (ILCA)")</f>
        <v>Master (ILCA)</v>
      </c>
      <c r="N478" s="45" t="str">
        <f>IFERROR(__xludf.DUMMYFUNCTION("""COMPUTED_VALUE"""),"ILCA 7")</f>
        <v>ILCA 7</v>
      </c>
      <c r="O478" s="7"/>
      <c r="P478" s="7">
        <f>IFERROR(__xludf.DUMMYFUNCTION("""COMPUTED_VALUE"""),223035.0)</f>
        <v>223035</v>
      </c>
      <c r="Q478" s="45"/>
      <c r="R478" s="45"/>
      <c r="S478" s="45"/>
      <c r="T478" s="45"/>
      <c r="U478" s="45"/>
      <c r="V478" s="45"/>
      <c r="W478" s="45"/>
      <c r="X478" s="47"/>
      <c r="Y478" s="45" t="str">
        <f>IFERROR(__xludf.DUMMYFUNCTION("""COMPUTED_VALUE"""),"No")</f>
        <v>No</v>
      </c>
      <c r="Z478" s="45" t="str">
        <f>IFERROR(__xludf.DUMMYFUNCTION("""COMPUTED_VALUE"""),"Acepto")</f>
        <v>Acepto</v>
      </c>
      <c r="AA478" s="45" t="str">
        <f>IFERROR(__xludf.DUMMYFUNCTION("""COMPUTED_VALUE"""),"Pendiente")</f>
        <v>Pendiente</v>
      </c>
      <c r="AB478" s="45"/>
      <c r="AC478" s="7"/>
      <c r="AD478" s="7"/>
      <c r="AE478" s="7" t="str">
        <f>IFERROR(__xludf.DUMMYFUNCTION("""COMPUTED_VALUE"""),"No Corresp")</f>
        <v>No Corresp</v>
      </c>
      <c r="AF478" s="45"/>
    </row>
    <row r="479">
      <c r="A479" s="42">
        <f>IFERROR(__xludf.DUMMYFUNCTION("""COMPUTED_VALUE"""),45547.47848775463)</f>
        <v>45547.47849</v>
      </c>
      <c r="B479" s="43" t="str">
        <f>IFERROR(__xludf.DUMMYFUNCTION("""COMPUTED_VALUE"""),"Juana ")</f>
        <v>Juana </v>
      </c>
      <c r="C479" s="43" t="str">
        <f>IFERROR(__xludf.DUMMYFUNCTION("""COMPUTED_VALUE"""),"Rother ")</f>
        <v>Rother </v>
      </c>
      <c r="D479" s="43" t="str">
        <f>IFERROR(__xludf.DUMMYFUNCTION("""COMPUTED_VALUE"""),"La plata ")</f>
        <v>La plata </v>
      </c>
      <c r="E479" s="45" t="str">
        <f>IFERROR(__xludf.DUMMYFUNCTION("""COMPUTED_VALUE"""),"ARG")</f>
        <v>ARG</v>
      </c>
      <c r="F479" s="45">
        <f>IFERROR(__xludf.DUMMYFUNCTION("""COMPUTED_VALUE"""),4.6566436E7)</f>
        <v>46566436</v>
      </c>
      <c r="G479" s="44">
        <f>IFERROR(__xludf.DUMMYFUNCTION("""COMPUTED_VALUE"""),38496.0)</f>
        <v>38496</v>
      </c>
      <c r="H479" s="45">
        <f>IFERROR(__xludf.DUMMYFUNCTION("""COMPUTED_VALUE"""),2.213537863E9)</f>
        <v>2213537863</v>
      </c>
      <c r="I479" s="45">
        <f>IFERROR(__xludf.DUMMYFUNCTION("""COMPUTED_VALUE"""),2.213537863E9)</f>
        <v>2213537863</v>
      </c>
      <c r="J479" s="45" t="str">
        <f>IFERROR(__xludf.DUMMYFUNCTION("""COMPUTED_VALUE"""),"juanarother7@gmail.com")</f>
        <v>juanarother7@gmail.com</v>
      </c>
      <c r="K479" s="45" t="str">
        <f>IFERROR(__xludf.DUMMYFUNCTION("""COMPUTED_VALUE"""),"Femenino")</f>
        <v>Femenino</v>
      </c>
      <c r="L479" s="45" t="str">
        <f>IFERROR(__xludf.DUMMYFUNCTION("""COMPUTED_VALUE"""),"CRLP")</f>
        <v>CRLP</v>
      </c>
      <c r="M479" s="45" t="str">
        <f>IFERROR(__xludf.DUMMYFUNCTION("""COMPUTED_VALUE"""),"Entrenador")</f>
        <v>Entrenador</v>
      </c>
      <c r="N479" s="45" t="str">
        <f>IFERROR(__xludf.DUMMYFUNCTION("""COMPUTED_VALUE"""),"OPTIMIST TIMONELES")</f>
        <v>OPTIMIST TIMONELES</v>
      </c>
      <c r="O479" s="7"/>
      <c r="P479" s="7">
        <f>IFERROR(__xludf.DUMMYFUNCTION("""COMPUTED_VALUE"""),111.0)</f>
        <v>111</v>
      </c>
      <c r="Q479" s="45"/>
      <c r="R479" s="45"/>
      <c r="S479" s="45"/>
      <c r="T479" s="45"/>
      <c r="U479" s="45"/>
      <c r="V479" s="45"/>
      <c r="W479" s="45"/>
      <c r="X479" s="47" t="str">
        <f>IFERROR(__xludf.DUMMYFUNCTION("""COMPUTED_VALUE"""),"IOMA")</f>
        <v>IOMA</v>
      </c>
      <c r="Y479" s="45" t="str">
        <f>IFERROR(__xludf.DUMMYFUNCTION("""COMPUTED_VALUE"""),"Si")</f>
        <v>Si</v>
      </c>
      <c r="Z479" s="45" t="str">
        <f>IFERROR(__xludf.DUMMYFUNCTION("""COMPUTED_VALUE"""),"Acepto")</f>
        <v>Acepto</v>
      </c>
      <c r="AA479" s="45" t="str">
        <f>IFERROR(__xludf.DUMMYFUNCTION("""COMPUTED_VALUE"""),"Pendiente")</f>
        <v>Pendiente</v>
      </c>
      <c r="AB479" s="45"/>
      <c r="AC479" s="7"/>
      <c r="AD479" s="7"/>
      <c r="AE479" s="7" t="str">
        <f>IFERROR(__xludf.DUMMYFUNCTION("""COMPUTED_VALUE"""),"No Corresp")</f>
        <v>No Corresp</v>
      </c>
      <c r="AF479" s="45"/>
    </row>
    <row r="480">
      <c r="A480" s="42">
        <f>IFERROR(__xludf.DUMMYFUNCTION("""COMPUTED_VALUE"""),45547.53635811343)</f>
        <v>45547.53636</v>
      </c>
      <c r="B480" s="43" t="str">
        <f>IFERROR(__xludf.DUMMYFUNCTION("""COMPUTED_VALUE"""),"Augusto")</f>
        <v>Augusto</v>
      </c>
      <c r="C480" s="43" t="str">
        <f>IFERROR(__xludf.DUMMYFUNCTION("""COMPUTED_VALUE"""),"Moreira Quinn")</f>
        <v>Moreira Quinn</v>
      </c>
      <c r="D480" s="43" t="str">
        <f>IFERROR(__xludf.DUMMYFUNCTION("""COMPUTED_VALUE"""),"Buenos Aires")</f>
        <v>Buenos Aires</v>
      </c>
      <c r="E480" s="45" t="str">
        <f>IFERROR(__xludf.DUMMYFUNCTION("""COMPUTED_VALUE"""),"ARG")</f>
        <v>ARG</v>
      </c>
      <c r="F480" s="45">
        <f>IFERROR(__xludf.DUMMYFUNCTION("""COMPUTED_VALUE"""),4.8677539E7)</f>
        <v>48677539</v>
      </c>
      <c r="G480" s="44">
        <f>IFERROR(__xludf.DUMMYFUNCTION("""COMPUTED_VALUE"""),39569.0)</f>
        <v>39569</v>
      </c>
      <c r="H480" s="45" t="str">
        <f>IFERROR(__xludf.DUMMYFUNCTION("""COMPUTED_VALUE"""),"54 11 6210 8872")</f>
        <v>54 11 6210 8872</v>
      </c>
      <c r="I480" s="45" t="str">
        <f>IFERROR(__xludf.DUMMYFUNCTION("""COMPUTED_VALUE"""),"11 6216 8501")</f>
        <v>11 6216 8501</v>
      </c>
      <c r="J480" s="45" t="str">
        <f>IFERROR(__xludf.DUMMYFUNCTION("""COMPUTED_VALUE"""),"mqaugusto54@gmail.com")</f>
        <v>mqaugusto54@gmail.com</v>
      </c>
      <c r="K480" s="45" t="str">
        <f>IFERROR(__xludf.DUMMYFUNCTION("""COMPUTED_VALUE"""),"Masculino")</f>
        <v>Masculino</v>
      </c>
      <c r="L480" s="45" t="str">
        <f>IFERROR(__xludf.DUMMYFUNCTION("""COMPUTED_VALUE"""),"CVSI")</f>
        <v>CVSI</v>
      </c>
      <c r="M480" s="45" t="str">
        <f>IFERROR(__xludf.DUMMYFUNCTION("""COMPUTED_VALUE"""),"Cadet")</f>
        <v>Cadet</v>
      </c>
      <c r="N480" s="45" t="str">
        <f>IFERROR(__xludf.DUMMYFUNCTION("""COMPUTED_VALUE"""),"CADET")</f>
        <v>CADET</v>
      </c>
      <c r="O480" s="7"/>
      <c r="P480" s="7">
        <f>IFERROR(__xludf.DUMMYFUNCTION("""COMPUTED_VALUE"""),9989.0)</f>
        <v>9989</v>
      </c>
      <c r="Q480" s="45" t="str">
        <f>IFERROR(__xludf.DUMMYFUNCTION("""COMPUTED_VALUE"""),"Palta")</f>
        <v>Palta</v>
      </c>
      <c r="R480" s="45" t="str">
        <f>IFERROR(__xludf.DUMMYFUNCTION("""COMPUTED_VALUE"""),"Camila Aguirre Gari")</f>
        <v>Camila Aguirre Gari</v>
      </c>
      <c r="S480" s="45"/>
      <c r="T480" s="45"/>
      <c r="U480" s="45"/>
      <c r="V480" s="45"/>
      <c r="W480" s="45"/>
      <c r="X480" s="47" t="str">
        <f>IFERROR(__xludf.DUMMYFUNCTION("""COMPUTED_VALUE"""),"OSDE")</f>
        <v>OSDE</v>
      </c>
      <c r="Y480" s="45" t="str">
        <f>IFERROR(__xludf.DUMMYFUNCTION("""COMPUTED_VALUE"""),"Si")</f>
        <v>Si</v>
      </c>
      <c r="Z480" s="45" t="str">
        <f>IFERROR(__xludf.DUMMYFUNCTION("""COMPUTED_VALUE"""),"Acepto")</f>
        <v>Acepto</v>
      </c>
      <c r="AA480" s="45" t="str">
        <f>IFERROR(__xludf.DUMMYFUNCTION("""COMPUTED_VALUE"""),"Pendiente")</f>
        <v>Pendiente</v>
      </c>
      <c r="AB480" s="45"/>
      <c r="AC480" s="7"/>
      <c r="AD480" s="7"/>
      <c r="AE480" s="7" t="str">
        <f>IFERROR(__xludf.DUMMYFUNCTION("""COMPUTED_VALUE"""),"OK")</f>
        <v>OK</v>
      </c>
      <c r="AF480" s="45"/>
    </row>
    <row r="481">
      <c r="A481" s="42">
        <f>IFERROR(__xludf.DUMMYFUNCTION("""COMPUTED_VALUE"""),45547.54134505787)</f>
        <v>45547.54135</v>
      </c>
      <c r="B481" s="43" t="str">
        <f>IFERROR(__xludf.DUMMYFUNCTION("""COMPUTED_VALUE"""),"Maite")</f>
        <v>Maite</v>
      </c>
      <c r="C481" s="43" t="str">
        <f>IFERROR(__xludf.DUMMYFUNCTION("""COMPUTED_VALUE"""),"Arrechea Cavallo")</f>
        <v>Arrechea Cavallo</v>
      </c>
      <c r="D481" s="43" t="str">
        <f>IFERROR(__xludf.DUMMYFUNCTION("""COMPUTED_VALUE"""),"Martinez")</f>
        <v>Martinez</v>
      </c>
      <c r="E481" s="45" t="str">
        <f>IFERROR(__xludf.DUMMYFUNCTION("""COMPUTED_VALUE"""),"ARG")</f>
        <v>ARG</v>
      </c>
      <c r="F481" s="45">
        <f>IFERROR(__xludf.DUMMYFUNCTION("""COMPUTED_VALUE"""),4.9764015E7)</f>
        <v>49764015</v>
      </c>
      <c r="G481" s="44">
        <f>IFERROR(__xludf.DUMMYFUNCTION("""COMPUTED_VALUE"""),40037.0)</f>
        <v>40037</v>
      </c>
      <c r="H481" s="45">
        <f>IFERROR(__xludf.DUMMYFUNCTION("""COMPUTED_VALUE"""),1.163766785E9)</f>
        <v>1163766785</v>
      </c>
      <c r="I481" s="45">
        <f>IFERROR(__xludf.DUMMYFUNCTION("""COMPUTED_VALUE"""),1.163766785E9)</f>
        <v>1163766785</v>
      </c>
      <c r="J481" s="45" t="str">
        <f>IFERROR(__xludf.DUMMYFUNCTION("""COMPUTED_VALUE"""),"crusticavallo@gmail.com")</f>
        <v>crusticavallo@gmail.com</v>
      </c>
      <c r="K481" s="45" t="str">
        <f>IFERROR(__xludf.DUMMYFUNCTION("""COMPUTED_VALUE"""),"Femenino")</f>
        <v>Femenino</v>
      </c>
      <c r="L481" s="45" t="str">
        <f>IFERROR(__xludf.DUMMYFUNCTION("""COMPUTED_VALUE"""),"CNSE")</f>
        <v>CNSE</v>
      </c>
      <c r="M481" s="45" t="str">
        <f>IFERROR(__xludf.DUMMYFUNCTION("""COMPUTED_VALUE"""),"Femenino")</f>
        <v>Femenino</v>
      </c>
      <c r="N481" s="45" t="str">
        <f>IFERROR(__xludf.DUMMYFUNCTION("""COMPUTED_VALUE"""),"OPTIMIST PRINCIPIANTES")</f>
        <v>OPTIMIST PRINCIPIANTES</v>
      </c>
      <c r="O481" s="7"/>
      <c r="P481" s="7">
        <f>IFERROR(__xludf.DUMMYFUNCTION("""COMPUTED_VALUE"""),3550.0)</f>
        <v>3550</v>
      </c>
      <c r="Q481" s="45" t="str">
        <f>IFERROR(__xludf.DUMMYFUNCTION("""COMPUTED_VALUE"""),"Tefiti")</f>
        <v>Tefiti</v>
      </c>
      <c r="R481" s="45"/>
      <c r="S481" s="45"/>
      <c r="T481" s="45"/>
      <c r="U481" s="45"/>
      <c r="V481" s="45"/>
      <c r="W481" s="45"/>
      <c r="X481" s="47" t="str">
        <f>IFERROR(__xludf.DUMMYFUNCTION("""COMPUTED_VALUE"""),"OSDE")</f>
        <v>OSDE</v>
      </c>
      <c r="Y481" s="45" t="str">
        <f>IFERROR(__xludf.DUMMYFUNCTION("""COMPUTED_VALUE"""),"Si")</f>
        <v>Si</v>
      </c>
      <c r="Z481" s="45" t="str">
        <f>IFERROR(__xludf.DUMMYFUNCTION("""COMPUTED_VALUE"""),"Acepto")</f>
        <v>Acepto</v>
      </c>
      <c r="AA481" s="45" t="str">
        <f>IFERROR(__xludf.DUMMYFUNCTION("""COMPUTED_VALUE"""),"Pendiente")</f>
        <v>Pendiente</v>
      </c>
      <c r="AB481" s="45"/>
      <c r="AC481" s="7"/>
      <c r="AD481" s="7"/>
      <c r="AE481" s="7" t="str">
        <f>IFERROR(__xludf.DUMMYFUNCTION("""COMPUTED_VALUE"""),"OK")</f>
        <v>OK</v>
      </c>
      <c r="AF481" s="45"/>
    </row>
    <row r="482">
      <c r="A482" s="42">
        <f>IFERROR(__xludf.DUMMYFUNCTION("""COMPUTED_VALUE"""),45547.54342965278)</f>
        <v>45547.54343</v>
      </c>
      <c r="B482" s="43" t="str">
        <f>IFERROR(__xludf.DUMMYFUNCTION("""COMPUTED_VALUE"""),"Patricio")</f>
        <v>Patricio</v>
      </c>
      <c r="C482" s="43" t="str">
        <f>IFERROR(__xludf.DUMMYFUNCTION("""COMPUTED_VALUE"""),"Campo")</f>
        <v>Campo</v>
      </c>
      <c r="D482" s="43" t="str">
        <f>IFERROR(__xludf.DUMMYFUNCTION("""COMPUTED_VALUE"""),"San Isidro")</f>
        <v>San Isidro</v>
      </c>
      <c r="E482" s="45" t="str">
        <f>IFERROR(__xludf.DUMMYFUNCTION("""COMPUTED_VALUE"""),"ARG")</f>
        <v>ARG</v>
      </c>
      <c r="F482" s="45">
        <f>IFERROR(__xludf.DUMMYFUNCTION("""COMPUTED_VALUE"""),5.3468717E7)</f>
        <v>53468717</v>
      </c>
      <c r="G482" s="44">
        <f>IFERROR(__xludf.DUMMYFUNCTION("""COMPUTED_VALUE"""),41515.0)</f>
        <v>41515</v>
      </c>
      <c r="H482" s="45">
        <f>IFERROR(__xludf.DUMMYFUNCTION("""COMPUTED_VALUE"""),1.158550121E9)</f>
        <v>1158550121</v>
      </c>
      <c r="I482" s="45" t="str">
        <f>IFERROR(__xludf.DUMMYFUNCTION("""COMPUTED_VALUE"""),"01158550121")</f>
        <v>01158550121</v>
      </c>
      <c r="J482" s="45" t="str">
        <f>IFERROR(__xludf.DUMMYFUNCTION("""COMPUTED_VALUE"""),"patodc@hotmail.com")</f>
        <v>patodc@hotmail.com</v>
      </c>
      <c r="K482" s="45" t="str">
        <f>IFERROR(__xludf.DUMMYFUNCTION("""COMPUTED_VALUE"""),"Masculino")</f>
        <v>Masculino</v>
      </c>
      <c r="L482" s="45" t="str">
        <f>IFERROR(__xludf.DUMMYFUNCTION("""COMPUTED_VALUE"""),"CNSI")</f>
        <v>CNSI</v>
      </c>
      <c r="M482" s="45" t="str">
        <f>IFERROR(__xludf.DUMMYFUNCTION("""COMPUTED_VALUE"""),"OPTIMIST PRINCIPIANTES")</f>
        <v>OPTIMIST PRINCIPIANTES</v>
      </c>
      <c r="N482" s="45" t="str">
        <f>IFERROR(__xludf.DUMMYFUNCTION("""COMPUTED_VALUE"""),"OPTIMIST PRINCIPIANTES")</f>
        <v>OPTIMIST PRINCIPIANTES</v>
      </c>
      <c r="O482" s="7"/>
      <c r="P482" s="7" t="str">
        <f>IFERROR(__xludf.DUMMYFUNCTION("""COMPUTED_VALUE"""),"ARG4061")</f>
        <v>ARG4061</v>
      </c>
      <c r="Q482" s="45" t="str">
        <f>IFERROR(__xludf.DUMMYFUNCTION("""COMPUTED_VALUE"""),"Tranqui super turbo")</f>
        <v>Tranqui super turbo</v>
      </c>
      <c r="R482" s="45"/>
      <c r="S482" s="45"/>
      <c r="T482" s="45"/>
      <c r="U482" s="45"/>
      <c r="V482" s="45"/>
      <c r="W482" s="45"/>
      <c r="X482" s="47" t="str">
        <f>IFERROR(__xludf.DUMMYFUNCTION("""COMPUTED_VALUE"""),"OMINT")</f>
        <v>OMINT</v>
      </c>
      <c r="Y482" s="45" t="str">
        <f>IFERROR(__xludf.DUMMYFUNCTION("""COMPUTED_VALUE"""),"Si")</f>
        <v>Si</v>
      </c>
      <c r="Z482" s="45" t="str">
        <f>IFERROR(__xludf.DUMMYFUNCTION("""COMPUTED_VALUE"""),"Acepto")</f>
        <v>Acepto</v>
      </c>
      <c r="AA482" s="45" t="str">
        <f>IFERROR(__xludf.DUMMYFUNCTION("""COMPUTED_VALUE"""),"Pendiente")</f>
        <v>Pendiente</v>
      </c>
      <c r="AB482" s="45"/>
      <c r="AC482" s="7"/>
      <c r="AD482" s="7"/>
      <c r="AE482" s="7" t="str">
        <f>IFERROR(__xludf.DUMMYFUNCTION("""COMPUTED_VALUE"""),"OK")</f>
        <v>OK</v>
      </c>
      <c r="AF482" s="45"/>
    </row>
    <row r="483">
      <c r="A483" s="42">
        <f>IFERROR(__xludf.DUMMYFUNCTION("""COMPUTED_VALUE"""),45547.608762881944)</f>
        <v>45547.60876</v>
      </c>
      <c r="B483" s="43" t="str">
        <f>IFERROR(__xludf.DUMMYFUNCTION("""COMPUTED_VALUE"""),"Josefina")</f>
        <v>Josefina</v>
      </c>
      <c r="C483" s="43" t="str">
        <f>IFERROR(__xludf.DUMMYFUNCTION("""COMPUTED_VALUE"""),"Benvenuto")</f>
        <v>Benvenuto</v>
      </c>
      <c r="D483" s="43" t="str">
        <f>IFERROR(__xludf.DUMMYFUNCTION("""COMPUTED_VALUE"""),"C.A.B.A.")</f>
        <v>C.A.B.A.</v>
      </c>
      <c r="E483" s="45" t="str">
        <f>IFERROR(__xludf.DUMMYFUNCTION("""COMPUTED_VALUE"""),"ARG")</f>
        <v>ARG</v>
      </c>
      <c r="F483" s="45">
        <f>IFERROR(__xludf.DUMMYFUNCTION("""COMPUTED_VALUE"""),4.8178093E7)</f>
        <v>48178093</v>
      </c>
      <c r="G483" s="44">
        <f>IFERROR(__xludf.DUMMYFUNCTION("""COMPUTED_VALUE"""),39324.0)</f>
        <v>39324</v>
      </c>
      <c r="H483" s="45" t="str">
        <f>IFERROR(__xludf.DUMMYFUNCTION("""COMPUTED_VALUE"""),"+5491168777446")</f>
        <v>+5491168777446</v>
      </c>
      <c r="I483" s="45" t="str">
        <f>IFERROR(__xludf.DUMMYFUNCTION("""COMPUTED_VALUE"""),"+5491166059118")</f>
        <v>+5491166059118</v>
      </c>
      <c r="J483" s="45" t="str">
        <f>IFERROR(__xludf.DUMMYFUNCTION("""COMPUTED_VALUE"""),"josefinabenve@gmail.com")</f>
        <v>josefinabenve@gmail.com</v>
      </c>
      <c r="K483" s="45" t="str">
        <f>IFERROR(__xludf.DUMMYFUNCTION("""COMPUTED_VALUE"""),"Femenino")</f>
        <v>Femenino</v>
      </c>
      <c r="L483" s="45" t="str">
        <f>IFERROR(__xludf.DUMMYFUNCTION("""COMPUTED_VALUE"""),"YCO")</f>
        <v>YCO</v>
      </c>
      <c r="M483" s="45" t="str">
        <f>IFERROR(__xludf.DUMMYFUNCTION("""COMPUTED_VALUE"""),"Femenino")</f>
        <v>Femenino</v>
      </c>
      <c r="N483" s="45" t="str">
        <f>IFERROR(__xludf.DUMMYFUNCTION("""COMPUTED_VALUE"""),"ILCA 4")</f>
        <v>ILCA 4</v>
      </c>
      <c r="O483" s="7"/>
      <c r="P483" s="7">
        <f>IFERROR(__xludf.DUMMYFUNCTION("""COMPUTED_VALUE"""),3.0)</f>
        <v>3</v>
      </c>
      <c r="Q483" s="45" t="str">
        <f>IFERROR(__xludf.DUMMYFUNCTION("""COMPUTED_VALUE"""),"Bestia")</f>
        <v>Bestia</v>
      </c>
      <c r="R483" s="45"/>
      <c r="S483" s="45"/>
      <c r="T483" s="45"/>
      <c r="U483" s="45"/>
      <c r="V483" s="45"/>
      <c r="W483" s="45"/>
      <c r="X483" s="47" t="str">
        <f>IFERROR(__xludf.DUMMYFUNCTION("""COMPUTED_VALUE"""),"OSDE 62181998003")</f>
        <v>OSDE 62181998003</v>
      </c>
      <c r="Y483" s="45" t="str">
        <f>IFERROR(__xludf.DUMMYFUNCTION("""COMPUTED_VALUE"""),"Si")</f>
        <v>Si</v>
      </c>
      <c r="Z483" s="45" t="str">
        <f>IFERROR(__xludf.DUMMYFUNCTION("""COMPUTED_VALUE"""),"Acepto")</f>
        <v>Acepto</v>
      </c>
      <c r="AA483" s="45" t="str">
        <f>IFERROR(__xludf.DUMMYFUNCTION("""COMPUTED_VALUE"""),"Pendiente")</f>
        <v>Pendiente</v>
      </c>
      <c r="AB483" s="45"/>
      <c r="AC483" s="7"/>
      <c r="AD483" s="7"/>
      <c r="AE483" s="7" t="str">
        <f>IFERROR(__xludf.DUMMYFUNCTION("""COMPUTED_VALUE"""),"OK")</f>
        <v>OK</v>
      </c>
      <c r="AF483" s="45"/>
    </row>
    <row r="484">
      <c r="A484" s="42">
        <f>IFERROR(__xludf.DUMMYFUNCTION("""COMPUTED_VALUE"""),45547.612218009264)</f>
        <v>45547.61222</v>
      </c>
      <c r="B484" s="43" t="str">
        <f>IFERROR(__xludf.DUMMYFUNCTION("""COMPUTED_VALUE"""),"Josefina")</f>
        <v>Josefina</v>
      </c>
      <c r="C484" s="43" t="str">
        <f>IFERROR(__xludf.DUMMYFUNCTION("""COMPUTED_VALUE"""),"Elizondo")</f>
        <v>Elizondo</v>
      </c>
      <c r="D484" s="43" t="str">
        <f>IFERROR(__xludf.DUMMYFUNCTION("""COMPUTED_VALUE"""),"Ciudad de Buenos Aires ")</f>
        <v>Ciudad de Buenos Aires </v>
      </c>
      <c r="E484" s="45" t="str">
        <f>IFERROR(__xludf.DUMMYFUNCTION("""COMPUTED_VALUE"""),"ARG")</f>
        <v>ARG</v>
      </c>
      <c r="F484" s="45">
        <f>IFERROR(__xludf.DUMMYFUNCTION("""COMPUTED_VALUE"""),5.2095733E7)</f>
        <v>52095733</v>
      </c>
      <c r="G484" s="44">
        <f>IFERROR(__xludf.DUMMYFUNCTION("""COMPUTED_VALUE"""),40936.0)</f>
        <v>40936</v>
      </c>
      <c r="H484" s="45">
        <f>IFERROR(__xludf.DUMMYFUNCTION("""COMPUTED_VALUE"""),1.167952429E9)</f>
        <v>1167952429</v>
      </c>
      <c r="I484" s="45">
        <f>IFERROR(__xludf.DUMMYFUNCTION("""COMPUTED_VALUE"""),1.167952429E9)</f>
        <v>1167952429</v>
      </c>
      <c r="J484" s="45" t="str">
        <f>IFERROR(__xludf.DUMMYFUNCTION("""COMPUTED_VALUE"""),"Jarraelizondo@gmail.com")</f>
        <v>Jarraelizondo@gmail.com</v>
      </c>
      <c r="K484" s="45" t="str">
        <f>IFERROR(__xludf.DUMMYFUNCTION("""COMPUTED_VALUE"""),"Femenino")</f>
        <v>Femenino</v>
      </c>
      <c r="L484" s="45" t="str">
        <f>IFERROR(__xludf.DUMMYFUNCTION("""COMPUTED_VALUE"""),"CUBA")</f>
        <v>CUBA</v>
      </c>
      <c r="M484" s="45" t="str">
        <f>IFERROR(__xludf.DUMMYFUNCTION("""COMPUTED_VALUE"""),"Interior (Optimist)")</f>
        <v>Interior (Optimist)</v>
      </c>
      <c r="N484" s="45" t="str">
        <f>IFERROR(__xludf.DUMMYFUNCTION("""COMPUTED_VALUE"""),"OPTIMIST PRINCIPIANTES")</f>
        <v>OPTIMIST PRINCIPIANTES</v>
      </c>
      <c r="O484" s="7"/>
      <c r="P484" s="7">
        <f>IFERROR(__xludf.DUMMYFUNCTION("""COMPUTED_VALUE"""),3869.0)</f>
        <v>3869</v>
      </c>
      <c r="Q484" s="45" t="str">
        <f>IFERROR(__xludf.DUMMYFUNCTION("""COMPUTED_VALUE"""),"Hagrid")</f>
        <v>Hagrid</v>
      </c>
      <c r="R484" s="45"/>
      <c r="S484" s="45"/>
      <c r="T484" s="45"/>
      <c r="U484" s="45"/>
      <c r="V484" s="45"/>
      <c r="W484" s="45"/>
      <c r="X484" s="47"/>
      <c r="Y484" s="45" t="str">
        <f>IFERROR(__xludf.DUMMYFUNCTION("""COMPUTED_VALUE"""),"Si")</f>
        <v>Si</v>
      </c>
      <c r="Z484" s="45" t="str">
        <f>IFERROR(__xludf.DUMMYFUNCTION("""COMPUTED_VALUE"""),"Acepto")</f>
        <v>Acepto</v>
      </c>
      <c r="AA484" s="45" t="str">
        <f>IFERROR(__xludf.DUMMYFUNCTION("""COMPUTED_VALUE"""),"Pendiente")</f>
        <v>Pendiente</v>
      </c>
      <c r="AB484" s="45"/>
      <c r="AC484" s="7"/>
      <c r="AD484" s="7"/>
      <c r="AE484" s="7" t="str">
        <f>IFERROR(__xludf.DUMMYFUNCTION("""COMPUTED_VALUE"""),"Pendiente")</f>
        <v>Pendiente</v>
      </c>
      <c r="AF484" s="45"/>
    </row>
    <row r="485">
      <c r="A485" s="42">
        <f>IFERROR(__xludf.DUMMYFUNCTION("""COMPUTED_VALUE"""),45547.621195775464)</f>
        <v>45547.6212</v>
      </c>
      <c r="B485" s="43" t="str">
        <f>IFERROR(__xludf.DUMMYFUNCTION("""COMPUTED_VALUE"""),"FRANCO ")</f>
        <v>FRANCO </v>
      </c>
      <c r="C485" s="43" t="str">
        <f>IFERROR(__xludf.DUMMYFUNCTION("""COMPUTED_VALUE"""),"Vazquez Fontana")</f>
        <v>Vazquez Fontana</v>
      </c>
      <c r="D485" s="43" t="str">
        <f>IFERROR(__xludf.DUMMYFUNCTION("""COMPUTED_VALUE"""),"Caba")</f>
        <v>Caba</v>
      </c>
      <c r="E485" s="45" t="str">
        <f>IFERROR(__xludf.DUMMYFUNCTION("""COMPUTED_VALUE"""),"ARG")</f>
        <v>ARG</v>
      </c>
      <c r="F485" s="45">
        <f>IFERROR(__xludf.DUMMYFUNCTION("""COMPUTED_VALUE"""),5.2092349E7)</f>
        <v>52092349</v>
      </c>
      <c r="G485" s="44">
        <f>IFERROR(__xludf.DUMMYFUNCTION("""COMPUTED_VALUE"""),40893.0)</f>
        <v>40893</v>
      </c>
      <c r="H485" s="45" t="str">
        <f>IFERROR(__xludf.DUMMYFUNCTION("""COMPUTED_VALUE"""),"+5401164875771")</f>
        <v>+5401164875771</v>
      </c>
      <c r="I485" s="45" t="str">
        <f>IFERROR(__xludf.DUMMYFUNCTION("""COMPUTED_VALUE"""),"+5401130948999")</f>
        <v>+5401130948999</v>
      </c>
      <c r="J485" s="45" t="str">
        <f>IFERROR(__xludf.DUMMYFUNCTION("""COMPUTED_VALUE"""),"valefon72@gmail.com")</f>
        <v>valefon72@gmail.com</v>
      </c>
      <c r="K485" s="45" t="str">
        <f>IFERROR(__xludf.DUMMYFUNCTION("""COMPUTED_VALUE"""),"Masculino")</f>
        <v>Masculino</v>
      </c>
      <c r="L485" s="45" t="str">
        <f>IFERROR(__xludf.DUMMYFUNCTION("""COMPUTED_VALUE"""),"CVB")</f>
        <v>CVB</v>
      </c>
      <c r="M485" s="45"/>
      <c r="N485" s="45" t="str">
        <f>IFERROR(__xludf.DUMMYFUNCTION("""COMPUTED_VALUE"""),"ILCA 4")</f>
        <v>ILCA 4</v>
      </c>
      <c r="O485" s="7"/>
      <c r="P485" s="7">
        <f>IFERROR(__xludf.DUMMYFUNCTION("""COMPUTED_VALUE"""),171409.0)</f>
        <v>171409</v>
      </c>
      <c r="Q485" s="45"/>
      <c r="R485" s="45"/>
      <c r="S485" s="45"/>
      <c r="T485" s="45"/>
      <c r="U485" s="45"/>
      <c r="V485" s="45"/>
      <c r="W485" s="45"/>
      <c r="X485" s="47" t="str">
        <f>IFERROR(__xludf.DUMMYFUNCTION("""COMPUTED_VALUE"""),"OSSEG")</f>
        <v>OSSEG</v>
      </c>
      <c r="Y485" s="45" t="str">
        <f>IFERROR(__xludf.DUMMYFUNCTION("""COMPUTED_VALUE"""),"No")</f>
        <v>No</v>
      </c>
      <c r="Z485" s="45" t="str">
        <f>IFERROR(__xludf.DUMMYFUNCTION("""COMPUTED_VALUE"""),"Acepto")</f>
        <v>Acepto</v>
      </c>
      <c r="AA485" s="45" t="str">
        <f>IFERROR(__xludf.DUMMYFUNCTION("""COMPUTED_VALUE"""),"Pendiente")</f>
        <v>Pendiente</v>
      </c>
      <c r="AB485" s="45"/>
      <c r="AC485" s="7"/>
      <c r="AD485" s="7"/>
      <c r="AE485" s="7" t="str">
        <f>IFERROR(__xludf.DUMMYFUNCTION("""COMPUTED_VALUE"""),"OK")</f>
        <v>OK</v>
      </c>
      <c r="AF485" s="45"/>
    </row>
    <row r="486">
      <c r="A486" s="42">
        <f>IFERROR(__xludf.DUMMYFUNCTION("""COMPUTED_VALUE"""),45547.634314131945)</f>
        <v>45547.63431</v>
      </c>
      <c r="B486" s="43" t="str">
        <f>IFERROR(__xludf.DUMMYFUNCTION("""COMPUTED_VALUE"""),"Ivan")</f>
        <v>Ivan</v>
      </c>
      <c r="C486" s="43" t="str">
        <f>IFERROR(__xludf.DUMMYFUNCTION("""COMPUTED_VALUE"""),"Jovanovich")</f>
        <v>Jovanovich</v>
      </c>
      <c r="D486" s="43" t="str">
        <f>IFERROR(__xludf.DUMMYFUNCTION("""COMPUTED_VALUE"""),"Buenos aires ")</f>
        <v>Buenos aires </v>
      </c>
      <c r="E486" s="45" t="str">
        <f>IFERROR(__xludf.DUMMYFUNCTION("""COMPUTED_VALUE"""),"ARG")</f>
        <v>ARG</v>
      </c>
      <c r="F486" s="45">
        <f>IFERROR(__xludf.DUMMYFUNCTION("""COMPUTED_VALUE"""),4.7701108E7)</f>
        <v>47701108</v>
      </c>
      <c r="G486" s="44">
        <f>IFERROR(__xludf.DUMMYFUNCTION("""COMPUTED_VALUE"""),39064.0)</f>
        <v>39064</v>
      </c>
      <c r="H486" s="45" t="str">
        <f>IFERROR(__xludf.DUMMYFUNCTION("""COMPUTED_VALUE"""),"54 9 11 4074 3438")</f>
        <v>54 9 11 4074 3438</v>
      </c>
      <c r="I486" s="45" t="str">
        <f>IFERROR(__xludf.DUMMYFUNCTION("""COMPUTED_VALUE"""),"+54 9 11 3692-2792")</f>
        <v>+54 9 11 3692-2792</v>
      </c>
      <c r="J486" s="45" t="str">
        <f>IFERROR(__xludf.DUMMYFUNCTION("""COMPUTED_VALUE"""),"ivan.jovanovich@stgeorges.edu.ar")</f>
        <v>ivan.jovanovich@stgeorges.edu.ar</v>
      </c>
      <c r="K486" s="45" t="str">
        <f>IFERROR(__xludf.DUMMYFUNCTION("""COMPUTED_VALUE"""),"Masculino")</f>
        <v>Masculino</v>
      </c>
      <c r="L486" s="45" t="str">
        <f>IFERROR(__xludf.DUMMYFUNCTION("""COMPUTED_VALUE"""),"YCA")</f>
        <v>YCA</v>
      </c>
      <c r="M486" s="45"/>
      <c r="N486" s="45" t="str">
        <f>IFERROR(__xludf.DUMMYFUNCTION("""COMPUTED_VALUE"""),"ILCA 6")</f>
        <v>ILCA 6</v>
      </c>
      <c r="O486" s="7"/>
      <c r="P486" s="7">
        <f>IFERROR(__xludf.DUMMYFUNCTION("""COMPUTED_VALUE"""),22.0)</f>
        <v>22</v>
      </c>
      <c r="Q486" s="45" t="str">
        <f>IFERROR(__xludf.DUMMYFUNCTION("""COMPUTED_VALUE"""),"Maverick")</f>
        <v>Maverick</v>
      </c>
      <c r="R486" s="45" t="str">
        <f>IFERROR(__xludf.DUMMYFUNCTION("""COMPUTED_VALUE"""),"Ivan Jovanovich")</f>
        <v>Ivan Jovanovich</v>
      </c>
      <c r="S486" s="45"/>
      <c r="T486" s="45"/>
      <c r="U486" s="45"/>
      <c r="V486" s="45"/>
      <c r="W486" s="45"/>
      <c r="X486" s="47" t="str">
        <f>IFERROR(__xludf.DUMMYFUNCTION("""COMPUTED_VALUE"""),"Osde")</f>
        <v>Osde</v>
      </c>
      <c r="Y486" s="45" t="str">
        <f>IFERROR(__xludf.DUMMYFUNCTION("""COMPUTED_VALUE"""),"No")</f>
        <v>No</v>
      </c>
      <c r="Z486" s="45" t="str">
        <f>IFERROR(__xludf.DUMMYFUNCTION("""COMPUTED_VALUE"""),"Acepto")</f>
        <v>Acepto</v>
      </c>
      <c r="AA486" s="45" t="str">
        <f>IFERROR(__xludf.DUMMYFUNCTION("""COMPUTED_VALUE"""),"Pendiente")</f>
        <v>Pendiente</v>
      </c>
      <c r="AB486" s="45"/>
      <c r="AC486" s="7"/>
      <c r="AD486" s="7"/>
      <c r="AE486" s="7" t="str">
        <f>IFERROR(__xludf.DUMMYFUNCTION("""COMPUTED_VALUE"""),"Ok")</f>
        <v>Ok</v>
      </c>
      <c r="AF486" s="45"/>
    </row>
    <row r="487">
      <c r="A487" s="42">
        <f>IFERROR(__xludf.DUMMYFUNCTION("""COMPUTED_VALUE"""),45547.63805434028)</f>
        <v>45547.63805</v>
      </c>
      <c r="B487" s="43" t="str">
        <f>IFERROR(__xludf.DUMMYFUNCTION("""COMPUTED_VALUE"""),"Felipe")</f>
        <v>Felipe</v>
      </c>
      <c r="C487" s="43" t="str">
        <f>IFERROR(__xludf.DUMMYFUNCTION("""COMPUTED_VALUE"""),"González Villalba")</f>
        <v>González Villalba</v>
      </c>
      <c r="D487" s="43" t="str">
        <f>IFERROR(__xludf.DUMMYFUNCTION("""COMPUTED_VALUE"""),"Caba")</f>
        <v>Caba</v>
      </c>
      <c r="E487" s="45" t="str">
        <f>IFERROR(__xludf.DUMMYFUNCTION("""COMPUTED_VALUE"""),"ARG")</f>
        <v>ARG</v>
      </c>
      <c r="F487" s="45">
        <f>IFERROR(__xludf.DUMMYFUNCTION("""COMPUTED_VALUE"""),5.0681138E7)</f>
        <v>50681138</v>
      </c>
      <c r="G487" s="44">
        <f>IFERROR(__xludf.DUMMYFUNCTION("""COMPUTED_VALUE"""),40448.0)</f>
        <v>40448</v>
      </c>
      <c r="H487" s="45">
        <f>IFERROR(__xludf.DUMMYFUNCTION("""COMPUTED_VALUE"""),1.154004972E9)</f>
        <v>1154004972</v>
      </c>
      <c r="I487" s="45">
        <f>IFERROR(__xludf.DUMMYFUNCTION("""COMPUTED_VALUE"""),1.154004972E9)</f>
        <v>1154004972</v>
      </c>
      <c r="J487" s="45" t="str">
        <f>IFERROR(__xludf.DUMMYFUNCTION("""COMPUTED_VALUE"""),"aegnzlz@gmail.com")</f>
        <v>aegnzlz@gmail.com</v>
      </c>
      <c r="K487" s="45" t="str">
        <f>IFERROR(__xludf.DUMMYFUNCTION("""COMPUTED_VALUE"""),"Masculino")</f>
        <v>Masculino</v>
      </c>
      <c r="L487" s="45" t="str">
        <f>IFERROR(__xludf.DUMMYFUNCTION("""COMPUTED_VALUE"""),"CVB")</f>
        <v>CVB</v>
      </c>
      <c r="M487" s="45"/>
      <c r="N487" s="45" t="str">
        <f>IFERROR(__xludf.DUMMYFUNCTION("""COMPUTED_VALUE"""),"OPTIMIST TIMONELES")</f>
        <v>OPTIMIST TIMONELES</v>
      </c>
      <c r="O487" s="7"/>
      <c r="P487" s="7">
        <f>IFERROR(__xludf.DUMMYFUNCTION("""COMPUTED_VALUE"""),4148.0)</f>
        <v>4148</v>
      </c>
      <c r="Q487" s="45"/>
      <c r="R487" s="45"/>
      <c r="S487" s="45"/>
      <c r="T487" s="45"/>
      <c r="U487" s="45"/>
      <c r="V487" s="45"/>
      <c r="W487" s="45"/>
      <c r="X487" s="47" t="str">
        <f>IFERROR(__xludf.DUMMYFUNCTION("""COMPUTED_VALUE"""),"OSDIPP")</f>
        <v>OSDIPP</v>
      </c>
      <c r="Y487" s="45" t="str">
        <f>IFERROR(__xludf.DUMMYFUNCTION("""COMPUTED_VALUE"""),"Si")</f>
        <v>Si</v>
      </c>
      <c r="Z487" s="45" t="str">
        <f>IFERROR(__xludf.DUMMYFUNCTION("""COMPUTED_VALUE"""),"Acepto")</f>
        <v>Acepto</v>
      </c>
      <c r="AA487" s="45" t="str">
        <f>IFERROR(__xludf.DUMMYFUNCTION("""COMPUTED_VALUE"""),"Pendiente")</f>
        <v>Pendiente</v>
      </c>
      <c r="AB487" s="45"/>
      <c r="AC487" s="7"/>
      <c r="AD487" s="7"/>
      <c r="AE487" s="7" t="str">
        <f>IFERROR(__xludf.DUMMYFUNCTION("""COMPUTED_VALUE"""),"OK")</f>
        <v>OK</v>
      </c>
      <c r="AF487" s="45"/>
    </row>
    <row r="488">
      <c r="A488" s="42">
        <f>IFERROR(__xludf.DUMMYFUNCTION("""COMPUTED_VALUE"""),45547.69384881944)</f>
        <v>45547.69385</v>
      </c>
      <c r="B488" s="43" t="str">
        <f>IFERROR(__xludf.DUMMYFUNCTION("""COMPUTED_VALUE"""),"Ricardo")</f>
        <v>Ricardo</v>
      </c>
      <c r="C488" s="43" t="str">
        <f>IFERROR(__xludf.DUMMYFUNCTION("""COMPUTED_VALUE"""),"Reyes Anderson ")</f>
        <v>Reyes Anderson </v>
      </c>
      <c r="D488" s="43" t="str">
        <f>IFERROR(__xludf.DUMMYFUNCTION("""COMPUTED_VALUE"""),"Caba")</f>
        <v>Caba</v>
      </c>
      <c r="E488" s="45" t="str">
        <f>IFERROR(__xludf.DUMMYFUNCTION("""COMPUTED_VALUE"""),"ARG")</f>
        <v>ARG</v>
      </c>
      <c r="F488" s="45">
        <f>IFERROR(__xludf.DUMMYFUNCTION("""COMPUTED_VALUE"""),1.0966376E7)</f>
        <v>10966376</v>
      </c>
      <c r="G488" s="44">
        <f>IFERROR(__xludf.DUMMYFUNCTION("""COMPUTED_VALUE"""),20033.0)</f>
        <v>20033</v>
      </c>
      <c r="H488" s="45" t="str">
        <f>IFERROR(__xludf.DUMMYFUNCTION("""COMPUTED_VALUE"""),"4991-8271 ")</f>
        <v>4991-8271 </v>
      </c>
      <c r="I488" s="45" t="str">
        <f>IFERROR(__xludf.DUMMYFUNCTION("""COMPUTED_VALUE"""),"4178-6830 ")</f>
        <v>4178-6830 </v>
      </c>
      <c r="J488" s="45" t="str">
        <f>IFERROR(__xludf.DUMMYFUNCTION("""COMPUTED_VALUE"""),"ric.rey.anderson@gmail.com")</f>
        <v>ric.rey.anderson@gmail.com</v>
      </c>
      <c r="K488" s="45" t="str">
        <f>IFERROR(__xludf.DUMMYFUNCTION("""COMPUTED_VALUE"""),"Masculino")</f>
        <v>Masculino</v>
      </c>
      <c r="L488" s="45" t="str">
        <f>IFERROR(__xludf.DUMMYFUNCTION("""COMPUTED_VALUE"""),"YCO")</f>
        <v>YCO</v>
      </c>
      <c r="M488" s="45" t="str">
        <f>IFERROR(__xludf.DUMMYFUNCTION("""COMPUTED_VALUE"""),"Master (ILCA)")</f>
        <v>Master (ILCA)</v>
      </c>
      <c r="N488" s="45" t="str">
        <f>IFERROR(__xludf.DUMMYFUNCTION("""COMPUTED_VALUE"""),"LASER - Ilca")</f>
        <v>LASER - Ilca</v>
      </c>
      <c r="O488" s="7"/>
      <c r="P488" s="7">
        <f>IFERROR(__xludf.DUMMYFUNCTION("""COMPUTED_VALUE"""),213395.0)</f>
        <v>213395</v>
      </c>
      <c r="Q488" s="45"/>
      <c r="R488" s="45"/>
      <c r="S488" s="45"/>
      <c r="T488" s="45"/>
      <c r="U488" s="45"/>
      <c r="V488" s="45"/>
      <c r="W488" s="45"/>
      <c r="X488" s="47" t="str">
        <f>IFERROR(__xludf.DUMMYFUNCTION("""COMPUTED_VALUE"""),"Amex")</f>
        <v>Amex</v>
      </c>
      <c r="Y488" s="45" t="str">
        <f>IFERROR(__xludf.DUMMYFUNCTION("""COMPUTED_VALUE"""),"Si")</f>
        <v>Si</v>
      </c>
      <c r="Z488" s="45" t="str">
        <f>IFERROR(__xludf.DUMMYFUNCTION("""COMPUTED_VALUE"""),"Acepto")</f>
        <v>Acepto</v>
      </c>
      <c r="AA488" s="45" t="str">
        <f>IFERROR(__xludf.DUMMYFUNCTION("""COMPUTED_VALUE"""),"Terminado")</f>
        <v>Terminado</v>
      </c>
      <c r="AB488" s="45">
        <f>IFERROR(__xludf.DUMMYFUNCTION("""COMPUTED_VALUE"""),45000.0)</f>
        <v>45000</v>
      </c>
      <c r="AC488" s="7"/>
      <c r="AD488" s="7" t="str">
        <f>IFERROR(__xludf.DUMMYFUNCTION("""COMPUTED_VALUE"""),"AF")</f>
        <v>AF</v>
      </c>
      <c r="AE488" s="7" t="str">
        <f>IFERROR(__xludf.DUMMYFUNCTION("""COMPUTED_VALUE"""),"No Corresp")</f>
        <v>No Corresp</v>
      </c>
      <c r="AF488" s="45"/>
    </row>
    <row r="489">
      <c r="A489" s="42">
        <f>IFERROR(__xludf.DUMMYFUNCTION("""COMPUTED_VALUE"""),45547.71712579861)</f>
        <v>45547.71713</v>
      </c>
      <c r="B489" s="43" t="str">
        <f>IFERROR(__xludf.DUMMYFUNCTION("""COMPUTED_VALUE"""),"Martin Segundo")</f>
        <v>Martin Segundo</v>
      </c>
      <c r="C489" s="43" t="str">
        <f>IFERROR(__xludf.DUMMYFUNCTION("""COMPUTED_VALUE"""),"Curutchet")</f>
        <v>Curutchet</v>
      </c>
      <c r="D489" s="43" t="str">
        <f>IFERROR(__xludf.DUMMYFUNCTION("""COMPUTED_VALUE"""),"Caba")</f>
        <v>Caba</v>
      </c>
      <c r="E489" s="45" t="str">
        <f>IFERROR(__xludf.DUMMYFUNCTION("""COMPUTED_VALUE"""),"ARG")</f>
        <v>ARG</v>
      </c>
      <c r="F489" s="45">
        <f>IFERROR(__xludf.DUMMYFUNCTION("""COMPUTED_VALUE"""),5.2769391E7)</f>
        <v>52769391</v>
      </c>
      <c r="G489" s="44">
        <f>IFERROR(__xludf.DUMMYFUNCTION("""COMPUTED_VALUE"""),41226.0)</f>
        <v>41226</v>
      </c>
      <c r="H489" s="45">
        <f>IFERROR(__xludf.DUMMYFUNCTION("""COMPUTED_VALUE"""),1.556689111E9)</f>
        <v>1556689111</v>
      </c>
      <c r="I489" s="45">
        <f>IFERROR(__xludf.DUMMYFUNCTION("""COMPUTED_VALUE"""),1.565701907E9)</f>
        <v>1565701907</v>
      </c>
      <c r="J489" s="45" t="str">
        <f>IFERROR(__xludf.DUMMYFUNCTION("""COMPUTED_VALUE"""),"Mluzvarela@hotmail.com")</f>
        <v>Mluzvarela@hotmail.com</v>
      </c>
      <c r="K489" s="45" t="str">
        <f>IFERROR(__xludf.DUMMYFUNCTION("""COMPUTED_VALUE"""),"Masculino")</f>
        <v>Masculino</v>
      </c>
      <c r="L489" s="45" t="str">
        <f>IFERROR(__xludf.DUMMYFUNCTION("""COMPUTED_VALUE"""),"CUBA")</f>
        <v>CUBA</v>
      </c>
      <c r="M489" s="45" t="str">
        <f>IFERROR(__xludf.DUMMYFUNCTION("""COMPUTED_VALUE"""),"Interior (Optimist)")</f>
        <v>Interior (Optimist)</v>
      </c>
      <c r="N489" s="45" t="str">
        <f>IFERROR(__xludf.DUMMYFUNCTION("""COMPUTED_VALUE"""),"Optimist principiante")</f>
        <v>Optimist principiante</v>
      </c>
      <c r="O489" s="7"/>
      <c r="P489" s="7">
        <f>IFERROR(__xludf.DUMMYFUNCTION("""COMPUTED_VALUE"""),3731.0)</f>
        <v>3731</v>
      </c>
      <c r="Q489" s="45" t="str">
        <f>IFERROR(__xludf.DUMMYFUNCTION("""COMPUTED_VALUE"""),"Dream Hunter")</f>
        <v>Dream Hunter</v>
      </c>
      <c r="R489" s="45" t="str">
        <f>IFERROR(__xludf.DUMMYFUNCTION("""COMPUTED_VALUE"""),"Martin Segundo Curutchet ")</f>
        <v>Martin Segundo Curutchet </v>
      </c>
      <c r="S489" s="45"/>
      <c r="T489" s="45"/>
      <c r="U489" s="45"/>
      <c r="V489" s="45"/>
      <c r="W489" s="45"/>
      <c r="X489" s="47" t="str">
        <f>IFERROR(__xludf.DUMMYFUNCTION("""COMPUTED_VALUE"""),"OSPJN/WILLIAM HOPE")</f>
        <v>OSPJN/WILLIAM HOPE</v>
      </c>
      <c r="Y489" s="45" t="str">
        <f>IFERROR(__xludf.DUMMYFUNCTION("""COMPUTED_VALUE"""),"Si")</f>
        <v>Si</v>
      </c>
      <c r="Z489" s="45" t="str">
        <f>IFERROR(__xludf.DUMMYFUNCTION("""COMPUTED_VALUE"""),"Acepto")</f>
        <v>Acepto</v>
      </c>
      <c r="AA489" s="45" t="str">
        <f>IFERROR(__xludf.DUMMYFUNCTION("""COMPUTED_VALUE"""),"Pendiente")</f>
        <v>Pendiente</v>
      </c>
      <c r="AB489" s="45"/>
      <c r="AC489" s="7"/>
      <c r="AD489" s="7"/>
      <c r="AE489" s="7"/>
      <c r="AF489" s="45"/>
    </row>
    <row r="490">
      <c r="A490" s="42">
        <f>IFERROR(__xludf.DUMMYFUNCTION("""COMPUTED_VALUE"""),45547.733964432875)</f>
        <v>45547.73396</v>
      </c>
      <c r="B490" s="43" t="str">
        <f>IFERROR(__xludf.DUMMYFUNCTION("""COMPUTED_VALUE"""),"Francisco")</f>
        <v>Francisco</v>
      </c>
      <c r="C490" s="43" t="str">
        <f>IFERROR(__xludf.DUMMYFUNCTION("""COMPUTED_VALUE"""),"Lago")</f>
        <v>Lago</v>
      </c>
      <c r="D490" s="43" t="str">
        <f>IFERROR(__xludf.DUMMYFUNCTION("""COMPUTED_VALUE"""),"CABA")</f>
        <v>CABA</v>
      </c>
      <c r="E490" s="45" t="str">
        <f>IFERROR(__xludf.DUMMYFUNCTION("""COMPUTED_VALUE"""),"ARG")</f>
        <v>ARG</v>
      </c>
      <c r="F490" s="45">
        <f>IFERROR(__xludf.DUMMYFUNCTION("""COMPUTED_VALUE"""),4.8112453E7)</f>
        <v>48112453</v>
      </c>
      <c r="G490" s="44">
        <f>IFERROR(__xludf.DUMMYFUNCTION("""COMPUTED_VALUE"""),39315.0)</f>
        <v>39315</v>
      </c>
      <c r="H490" s="45">
        <f>IFERROR(__xludf.DUMMYFUNCTION("""COMPUTED_VALUE"""),1.122498369E9)</f>
        <v>1122498369</v>
      </c>
      <c r="I490" s="45">
        <f>IFERROR(__xludf.DUMMYFUNCTION("""COMPUTED_VALUE"""),1.141887459E9)</f>
        <v>1141887459</v>
      </c>
      <c r="J490" s="45" t="str">
        <f>IFERROR(__xludf.DUMMYFUNCTION("""COMPUTED_VALUE"""),"franlagosins@gmail.com")</f>
        <v>franlagosins@gmail.com</v>
      </c>
      <c r="K490" s="45" t="str">
        <f>IFERROR(__xludf.DUMMYFUNCTION("""COMPUTED_VALUE"""),"Masculino")</f>
        <v>Masculino</v>
      </c>
      <c r="L490" s="45" t="str">
        <f>IFERROR(__xludf.DUMMYFUNCTION("""COMPUTED_VALUE"""),"CNSI")</f>
        <v>CNSI</v>
      </c>
      <c r="M490" s="45"/>
      <c r="N490" s="45" t="str">
        <f>IFERROR(__xludf.DUMMYFUNCTION("""COMPUTED_VALUE"""),"ILCA")</f>
        <v>ILCA</v>
      </c>
      <c r="O490" s="7"/>
      <c r="P490" s="7">
        <f>IFERROR(__xludf.DUMMYFUNCTION("""COMPUTED_VALUE"""),201297.0)</f>
        <v>201297</v>
      </c>
      <c r="Q490" s="45"/>
      <c r="R490" s="45"/>
      <c r="S490" s="45"/>
      <c r="T490" s="45"/>
      <c r="U490" s="45"/>
      <c r="V490" s="45"/>
      <c r="W490" s="45"/>
      <c r="X490" s="47"/>
      <c r="Y490" s="45" t="str">
        <f>IFERROR(__xludf.DUMMYFUNCTION("""COMPUTED_VALUE"""),"No")</f>
        <v>No</v>
      </c>
      <c r="Z490" s="45" t="str">
        <f>IFERROR(__xludf.DUMMYFUNCTION("""COMPUTED_VALUE"""),"Acepto")</f>
        <v>Acepto</v>
      </c>
      <c r="AA490" s="45" t="str">
        <f>IFERROR(__xludf.DUMMYFUNCTION("""COMPUTED_VALUE"""),"Pendiente")</f>
        <v>Pendiente</v>
      </c>
      <c r="AB490" s="45"/>
      <c r="AC490" s="7"/>
      <c r="AD490" s="7"/>
      <c r="AE490" s="7"/>
      <c r="AF490" s="45"/>
    </row>
    <row r="491">
      <c r="A491" s="45"/>
      <c r="B491" s="43"/>
      <c r="C491" s="43"/>
      <c r="D491" s="43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7"/>
      <c r="P491" s="7"/>
      <c r="Q491" s="45"/>
      <c r="R491" s="45"/>
      <c r="S491" s="45"/>
      <c r="T491" s="45"/>
      <c r="U491" s="45"/>
      <c r="V491" s="45"/>
      <c r="W491" s="45"/>
      <c r="X491" s="47"/>
      <c r="Y491" s="45"/>
      <c r="Z491" s="45"/>
      <c r="AA491" s="45"/>
      <c r="AB491" s="45"/>
      <c r="AC491" s="7"/>
      <c r="AD491" s="7"/>
      <c r="AE491" s="7"/>
      <c r="AF491" s="45"/>
    </row>
    <row r="492">
      <c r="A492" s="45"/>
      <c r="B492" s="43"/>
      <c r="C492" s="43"/>
      <c r="D492" s="43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7"/>
      <c r="P492" s="7"/>
      <c r="Q492" s="45"/>
      <c r="R492" s="45"/>
      <c r="S492" s="45"/>
      <c r="T492" s="45"/>
      <c r="U492" s="45"/>
      <c r="V492" s="45"/>
      <c r="W492" s="45"/>
      <c r="X492" s="47"/>
      <c r="Y492" s="45"/>
      <c r="Z492" s="45"/>
      <c r="AA492" s="45"/>
      <c r="AB492" s="45"/>
      <c r="AC492" s="7"/>
      <c r="AD492" s="7"/>
      <c r="AE492" s="7"/>
      <c r="AF492" s="45"/>
    </row>
    <row r="493">
      <c r="A493" s="45"/>
      <c r="B493" s="43"/>
      <c r="C493" s="43"/>
      <c r="D493" s="43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7"/>
      <c r="P493" s="7"/>
      <c r="Q493" s="45"/>
      <c r="R493" s="45"/>
      <c r="S493" s="45"/>
      <c r="T493" s="45"/>
      <c r="U493" s="45"/>
      <c r="V493" s="45"/>
      <c r="W493" s="45"/>
      <c r="X493" s="47"/>
      <c r="Y493" s="45"/>
      <c r="Z493" s="45"/>
      <c r="AA493" s="45"/>
      <c r="AB493" s="45"/>
      <c r="AC493" s="7"/>
      <c r="AD493" s="7"/>
      <c r="AE493" s="7"/>
      <c r="AF493" s="45"/>
    </row>
    <row r="494">
      <c r="A494" s="45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7"/>
      <c r="P494" s="7"/>
      <c r="Q494" s="45"/>
      <c r="R494" s="45"/>
      <c r="S494" s="45"/>
      <c r="T494" s="45"/>
      <c r="U494" s="45"/>
      <c r="V494" s="45"/>
      <c r="W494" s="45"/>
      <c r="X494" s="47"/>
      <c r="Y494" s="45"/>
      <c r="Z494" s="45"/>
      <c r="AA494" s="45"/>
      <c r="AB494" s="45"/>
      <c r="AC494" s="7"/>
      <c r="AD494" s="7"/>
      <c r="AE494" s="7"/>
      <c r="AF494" s="45"/>
    </row>
    <row r="495">
      <c r="A495" s="45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7"/>
      <c r="P495" s="7"/>
      <c r="Q495" s="45"/>
      <c r="R495" s="45"/>
      <c r="S495" s="45"/>
      <c r="T495" s="45"/>
      <c r="U495" s="45"/>
      <c r="V495" s="45"/>
      <c r="W495" s="45"/>
      <c r="X495" s="47"/>
      <c r="Y495" s="45"/>
      <c r="Z495" s="45"/>
      <c r="AA495" s="45"/>
      <c r="AB495" s="45"/>
      <c r="AC495" s="7"/>
      <c r="AD495" s="7"/>
      <c r="AE495" s="7"/>
      <c r="AF495" s="45"/>
    </row>
    <row r="496">
      <c r="A496" s="45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7"/>
      <c r="P496" s="7"/>
      <c r="Q496" s="45"/>
      <c r="R496" s="45"/>
      <c r="S496" s="45"/>
      <c r="T496" s="45"/>
      <c r="U496" s="45"/>
      <c r="V496" s="45"/>
      <c r="W496" s="45"/>
      <c r="X496" s="47"/>
      <c r="Y496" s="45"/>
      <c r="Z496" s="45"/>
      <c r="AA496" s="45"/>
      <c r="AB496" s="45"/>
      <c r="AC496" s="7"/>
      <c r="AD496" s="7"/>
      <c r="AE496" s="7"/>
      <c r="AF496" s="45"/>
    </row>
    <row r="497">
      <c r="A497" s="45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7"/>
      <c r="P497" s="7"/>
      <c r="Q497" s="45"/>
      <c r="R497" s="45"/>
      <c r="S497" s="45"/>
      <c r="T497" s="45"/>
      <c r="U497" s="45"/>
      <c r="V497" s="45"/>
      <c r="W497" s="45"/>
      <c r="X497" s="47"/>
      <c r="Y497" s="45"/>
      <c r="Z497" s="45"/>
      <c r="AA497" s="45"/>
      <c r="AB497" s="45"/>
      <c r="AC497" s="7"/>
      <c r="AD497" s="7"/>
      <c r="AE497" s="7"/>
      <c r="AF497" s="45"/>
    </row>
    <row r="498">
      <c r="A498" s="45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7"/>
      <c r="P498" s="7"/>
      <c r="Q498" s="45"/>
      <c r="R498" s="45"/>
      <c r="S498" s="45"/>
      <c r="T498" s="45"/>
      <c r="U498" s="45"/>
      <c r="V498" s="45"/>
      <c r="W498" s="45"/>
      <c r="X498" s="47"/>
      <c r="Y498" s="45"/>
      <c r="Z498" s="45"/>
      <c r="AA498" s="45"/>
      <c r="AB498" s="45"/>
      <c r="AC498" s="7"/>
      <c r="AD498" s="7"/>
      <c r="AE498" s="7"/>
      <c r="AF498" s="45"/>
    </row>
    <row r="499">
      <c r="A499" s="45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7"/>
      <c r="P499" s="7"/>
      <c r="Q499" s="45"/>
      <c r="R499" s="45"/>
      <c r="S499" s="45"/>
      <c r="T499" s="45"/>
      <c r="U499" s="45"/>
      <c r="V499" s="45"/>
      <c r="W499" s="45"/>
      <c r="X499" s="47"/>
      <c r="Y499" s="45"/>
      <c r="Z499" s="45"/>
      <c r="AA499" s="45"/>
      <c r="AB499" s="45"/>
      <c r="AC499" s="7"/>
      <c r="AD499" s="7"/>
      <c r="AE499" s="7"/>
      <c r="AF499" s="45"/>
    </row>
    <row r="500">
      <c r="A500" s="45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7"/>
      <c r="P500" s="7"/>
      <c r="Q500" s="45"/>
      <c r="R500" s="45"/>
      <c r="S500" s="45"/>
      <c r="T500" s="45"/>
      <c r="U500" s="45"/>
      <c r="V500" s="45"/>
      <c r="W500" s="45"/>
      <c r="X500" s="47"/>
      <c r="Y500" s="45"/>
      <c r="Z500" s="45"/>
      <c r="AA500" s="45"/>
      <c r="AB500" s="45"/>
      <c r="AC500" s="7"/>
      <c r="AD500" s="7"/>
      <c r="AE500" s="7"/>
      <c r="AF500" s="45"/>
    </row>
    <row r="501">
      <c r="A501" s="45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7"/>
      <c r="P501" s="7"/>
      <c r="Q501" s="45"/>
      <c r="R501" s="45"/>
      <c r="S501" s="45"/>
      <c r="T501" s="45"/>
      <c r="U501" s="45"/>
      <c r="V501" s="45"/>
      <c r="W501" s="45"/>
      <c r="X501" s="47"/>
      <c r="Y501" s="45"/>
      <c r="Z501" s="45"/>
      <c r="AA501" s="45"/>
      <c r="AB501" s="45"/>
      <c r="AC501" s="7"/>
      <c r="AD501" s="7"/>
      <c r="AE501" s="7"/>
      <c r="AF501" s="45"/>
    </row>
    <row r="502">
      <c r="A502" s="45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7"/>
      <c r="P502" s="7"/>
      <c r="Q502" s="45"/>
      <c r="R502" s="45"/>
      <c r="S502" s="45"/>
      <c r="T502" s="45"/>
      <c r="U502" s="45"/>
      <c r="V502" s="45"/>
      <c r="W502" s="45"/>
      <c r="X502" s="47"/>
      <c r="Y502" s="45"/>
      <c r="Z502" s="45"/>
      <c r="AA502" s="45"/>
      <c r="AB502" s="45"/>
      <c r="AC502" s="7"/>
      <c r="AD502" s="7"/>
      <c r="AE502" s="7"/>
      <c r="AF502" s="45"/>
    </row>
    <row r="503">
      <c r="A503" s="45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7"/>
      <c r="P503" s="7"/>
      <c r="Q503" s="45"/>
      <c r="R503" s="45"/>
      <c r="S503" s="45"/>
      <c r="T503" s="45"/>
      <c r="U503" s="45"/>
      <c r="V503" s="45"/>
      <c r="W503" s="45"/>
      <c r="X503" s="47"/>
      <c r="Y503" s="45"/>
      <c r="Z503" s="45"/>
      <c r="AA503" s="45"/>
      <c r="AB503" s="45"/>
      <c r="AC503" s="7"/>
      <c r="AD503" s="7"/>
      <c r="AE503" s="7"/>
      <c r="AF503" s="45"/>
    </row>
    <row r="504">
      <c r="A504" s="45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7"/>
      <c r="P504" s="7"/>
      <c r="Q504" s="45"/>
      <c r="R504" s="45"/>
      <c r="S504" s="45"/>
      <c r="T504" s="45"/>
      <c r="U504" s="45"/>
      <c r="V504" s="45"/>
      <c r="W504" s="45"/>
      <c r="X504" s="47"/>
      <c r="Y504" s="45"/>
      <c r="Z504" s="45"/>
      <c r="AA504" s="45"/>
      <c r="AB504" s="45"/>
      <c r="AC504" s="7"/>
      <c r="AD504" s="7"/>
      <c r="AE504" s="7"/>
      <c r="AF504" s="45"/>
    </row>
    <row r="505">
      <c r="A505" s="45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7"/>
      <c r="P505" s="7"/>
      <c r="Q505" s="45"/>
      <c r="R505" s="45"/>
      <c r="S505" s="45"/>
      <c r="T505" s="45"/>
      <c r="U505" s="45"/>
      <c r="V505" s="45"/>
      <c r="W505" s="45"/>
      <c r="X505" s="47"/>
      <c r="Y505" s="45"/>
      <c r="Z505" s="45"/>
      <c r="AA505" s="45"/>
      <c r="AB505" s="45"/>
      <c r="AC505" s="7"/>
      <c r="AD505" s="7"/>
      <c r="AE505" s="7"/>
      <c r="AF505" s="45"/>
    </row>
    <row r="506">
      <c r="A506" s="45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7"/>
      <c r="P506" s="7"/>
      <c r="Q506" s="45"/>
      <c r="R506" s="45"/>
      <c r="S506" s="45"/>
      <c r="T506" s="45"/>
      <c r="U506" s="45"/>
      <c r="V506" s="45"/>
      <c r="W506" s="45"/>
      <c r="X506" s="47"/>
      <c r="Y506" s="45"/>
      <c r="Z506" s="45"/>
      <c r="AA506" s="45"/>
      <c r="AB506" s="45"/>
      <c r="AC506" s="7"/>
      <c r="AD506" s="7"/>
      <c r="AE506" s="7"/>
      <c r="AF506" s="45"/>
    </row>
    <row r="507">
      <c r="A507" s="45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7"/>
      <c r="P507" s="7"/>
      <c r="Q507" s="45"/>
      <c r="R507" s="45"/>
      <c r="S507" s="45"/>
      <c r="T507" s="45"/>
      <c r="U507" s="45"/>
      <c r="V507" s="45"/>
      <c r="W507" s="45"/>
      <c r="X507" s="47"/>
      <c r="Y507" s="45"/>
      <c r="Z507" s="45"/>
      <c r="AA507" s="45"/>
      <c r="AB507" s="45"/>
      <c r="AC507" s="7"/>
      <c r="AD507" s="7"/>
      <c r="AE507" s="7"/>
      <c r="AF507" s="45"/>
    </row>
    <row r="508">
      <c r="A508" s="45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7"/>
      <c r="P508" s="7"/>
      <c r="Q508" s="45"/>
      <c r="R508" s="45"/>
      <c r="S508" s="45"/>
      <c r="T508" s="45"/>
      <c r="U508" s="45"/>
      <c r="V508" s="45"/>
      <c r="W508" s="45"/>
      <c r="X508" s="47"/>
      <c r="Y508" s="45"/>
      <c r="Z508" s="45"/>
      <c r="AA508" s="45"/>
      <c r="AB508" s="45"/>
      <c r="AC508" s="7"/>
      <c r="AD508" s="7"/>
      <c r="AE508" s="7"/>
      <c r="AF508" s="45"/>
    </row>
    <row r="509">
      <c r="A509" s="45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7"/>
      <c r="P509" s="7"/>
      <c r="Q509" s="45"/>
      <c r="R509" s="45"/>
      <c r="S509" s="45"/>
      <c r="T509" s="45"/>
      <c r="U509" s="45"/>
      <c r="V509" s="45"/>
      <c r="W509" s="45"/>
      <c r="X509" s="47"/>
      <c r="Y509" s="45"/>
      <c r="Z509" s="45"/>
      <c r="AA509" s="45"/>
      <c r="AB509" s="45"/>
      <c r="AC509" s="7"/>
      <c r="AD509" s="7"/>
      <c r="AE509" s="7"/>
      <c r="AF509" s="45"/>
    </row>
    <row r="510">
      <c r="A510" s="45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7"/>
      <c r="P510" s="7"/>
      <c r="Q510" s="45"/>
      <c r="R510" s="45"/>
      <c r="S510" s="45"/>
      <c r="T510" s="45"/>
      <c r="U510" s="45"/>
      <c r="V510" s="45"/>
      <c r="W510" s="45"/>
      <c r="X510" s="47"/>
      <c r="Y510" s="45"/>
      <c r="Z510" s="45"/>
      <c r="AA510" s="45"/>
      <c r="AB510" s="45"/>
      <c r="AC510" s="7"/>
      <c r="AD510" s="7"/>
      <c r="AE510" s="7"/>
      <c r="AF510" s="45"/>
    </row>
    <row r="511">
      <c r="A511" s="45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7"/>
      <c r="P511" s="7"/>
      <c r="Q511" s="45"/>
      <c r="R511" s="45"/>
      <c r="S511" s="45"/>
      <c r="T511" s="45"/>
      <c r="U511" s="45"/>
      <c r="V511" s="45"/>
      <c r="W511" s="45"/>
      <c r="X511" s="47"/>
      <c r="Y511" s="45"/>
      <c r="Z511" s="45"/>
      <c r="AA511" s="45"/>
      <c r="AB511" s="45"/>
      <c r="AC511" s="7"/>
      <c r="AD511" s="7"/>
      <c r="AE511" s="7"/>
      <c r="AF511" s="45"/>
    </row>
    <row r="512">
      <c r="A512" s="45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7"/>
      <c r="P512" s="7"/>
      <c r="Q512" s="45"/>
      <c r="R512" s="45"/>
      <c r="S512" s="45"/>
      <c r="T512" s="45"/>
      <c r="U512" s="45"/>
      <c r="V512" s="45"/>
      <c r="W512" s="45"/>
      <c r="X512" s="47"/>
      <c r="Y512" s="45"/>
      <c r="Z512" s="45"/>
      <c r="AA512" s="45"/>
      <c r="AB512" s="45"/>
      <c r="AC512" s="7"/>
      <c r="AD512" s="7"/>
      <c r="AE512" s="7"/>
      <c r="AF512" s="45"/>
    </row>
    <row r="513">
      <c r="A513" s="45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7"/>
      <c r="P513" s="7"/>
      <c r="Q513" s="45"/>
      <c r="R513" s="45"/>
      <c r="S513" s="45"/>
      <c r="T513" s="45"/>
      <c r="U513" s="45"/>
      <c r="V513" s="45"/>
      <c r="W513" s="45"/>
      <c r="X513" s="47"/>
      <c r="Y513" s="45"/>
      <c r="Z513" s="45"/>
      <c r="AA513" s="45"/>
      <c r="AB513" s="45"/>
      <c r="AC513" s="7"/>
      <c r="AD513" s="7"/>
      <c r="AE513" s="7"/>
      <c r="AF513" s="45"/>
    </row>
    <row r="514">
      <c r="A514" s="45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7"/>
      <c r="P514" s="7"/>
      <c r="Q514" s="45"/>
      <c r="R514" s="45"/>
      <c r="S514" s="45"/>
      <c r="T514" s="45"/>
      <c r="U514" s="45"/>
      <c r="V514" s="45"/>
      <c r="W514" s="45"/>
      <c r="X514" s="47"/>
      <c r="Y514" s="45"/>
      <c r="Z514" s="45"/>
      <c r="AA514" s="45"/>
      <c r="AB514" s="45"/>
      <c r="AC514" s="7"/>
      <c r="AD514" s="7"/>
      <c r="AE514" s="7"/>
      <c r="AF514" s="45"/>
    </row>
    <row r="515">
      <c r="A515" s="45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7"/>
      <c r="P515" s="7"/>
      <c r="Q515" s="45"/>
      <c r="R515" s="45"/>
      <c r="S515" s="45"/>
      <c r="T515" s="45"/>
      <c r="U515" s="45"/>
      <c r="V515" s="45"/>
      <c r="W515" s="45"/>
      <c r="X515" s="47"/>
      <c r="Y515" s="45"/>
      <c r="Z515" s="45"/>
      <c r="AA515" s="45"/>
      <c r="AB515" s="45"/>
      <c r="AC515" s="7"/>
      <c r="AD515" s="7"/>
      <c r="AE515" s="7"/>
      <c r="AF515" s="45"/>
    </row>
    <row r="516">
      <c r="A516" s="45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7"/>
      <c r="P516" s="7"/>
      <c r="Q516" s="45"/>
      <c r="R516" s="45"/>
      <c r="S516" s="45"/>
      <c r="T516" s="45"/>
      <c r="U516" s="45"/>
      <c r="V516" s="45"/>
      <c r="W516" s="45"/>
      <c r="X516" s="47"/>
      <c r="Y516" s="45"/>
      <c r="Z516" s="45"/>
      <c r="AA516" s="45"/>
      <c r="AB516" s="45"/>
      <c r="AC516" s="7"/>
      <c r="AD516" s="7"/>
      <c r="AE516" s="7"/>
      <c r="AF516" s="45"/>
    </row>
    <row r="517">
      <c r="A517" s="45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7"/>
      <c r="P517" s="7"/>
      <c r="Q517" s="45"/>
      <c r="R517" s="45"/>
      <c r="S517" s="45"/>
      <c r="T517" s="45"/>
      <c r="U517" s="45"/>
      <c r="V517" s="45"/>
      <c r="W517" s="45"/>
      <c r="X517" s="47"/>
      <c r="Y517" s="45"/>
      <c r="Z517" s="45"/>
      <c r="AA517" s="45"/>
      <c r="AB517" s="45"/>
      <c r="AC517" s="7"/>
      <c r="AD517" s="7"/>
      <c r="AE517" s="7"/>
      <c r="AF517" s="45"/>
    </row>
    <row r="518">
      <c r="A518" s="45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7"/>
      <c r="P518" s="7"/>
      <c r="Q518" s="45"/>
      <c r="R518" s="45"/>
      <c r="S518" s="45"/>
      <c r="T518" s="45"/>
      <c r="U518" s="45"/>
      <c r="V518" s="45"/>
      <c r="W518" s="45"/>
      <c r="X518" s="47"/>
      <c r="Y518" s="45"/>
      <c r="Z518" s="45"/>
      <c r="AA518" s="45"/>
      <c r="AB518" s="45"/>
      <c r="AC518" s="7"/>
      <c r="AD518" s="7"/>
      <c r="AE518" s="7"/>
      <c r="AF518" s="45"/>
    </row>
    <row r="519">
      <c r="A519" s="45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7"/>
      <c r="P519" s="7"/>
      <c r="Q519" s="45"/>
      <c r="R519" s="45"/>
      <c r="S519" s="45"/>
      <c r="T519" s="45"/>
      <c r="U519" s="45"/>
      <c r="V519" s="45"/>
      <c r="W519" s="45"/>
      <c r="X519" s="47"/>
      <c r="Y519" s="45"/>
      <c r="Z519" s="45"/>
      <c r="AA519" s="45"/>
      <c r="AB519" s="45"/>
      <c r="AC519" s="7"/>
      <c r="AD519" s="7"/>
      <c r="AE519" s="7"/>
      <c r="AF519" s="45"/>
    </row>
    <row r="520">
      <c r="A520" s="45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7"/>
      <c r="P520" s="7"/>
      <c r="Q520" s="45"/>
      <c r="R520" s="45"/>
      <c r="S520" s="45"/>
      <c r="T520" s="45"/>
      <c r="U520" s="45"/>
      <c r="V520" s="45"/>
      <c r="W520" s="45"/>
      <c r="X520" s="47"/>
      <c r="Y520" s="45"/>
      <c r="Z520" s="45"/>
      <c r="AA520" s="45"/>
      <c r="AB520" s="45"/>
      <c r="AC520" s="7"/>
      <c r="AD520" s="7"/>
      <c r="AE520" s="7"/>
      <c r="AF520" s="45"/>
    </row>
    <row r="521">
      <c r="A521" s="45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7"/>
      <c r="P521" s="7"/>
      <c r="Q521" s="45"/>
      <c r="R521" s="45"/>
      <c r="S521" s="45"/>
      <c r="T521" s="45"/>
      <c r="U521" s="45"/>
      <c r="V521" s="45"/>
      <c r="W521" s="45"/>
      <c r="X521" s="47"/>
      <c r="Y521" s="45"/>
      <c r="Z521" s="45"/>
      <c r="AA521" s="45"/>
      <c r="AB521" s="45"/>
      <c r="AC521" s="7"/>
      <c r="AD521" s="7"/>
      <c r="AE521" s="7"/>
      <c r="AF521" s="45"/>
    </row>
    <row r="522">
      <c r="A522" s="45"/>
      <c r="B522" s="43"/>
      <c r="C522" s="43"/>
      <c r="D522" s="43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7"/>
      <c r="P522" s="7"/>
      <c r="Q522" s="45"/>
      <c r="R522" s="45"/>
      <c r="S522" s="45"/>
      <c r="T522" s="45"/>
      <c r="U522" s="45"/>
      <c r="V522" s="45"/>
      <c r="W522" s="45"/>
      <c r="X522" s="47"/>
      <c r="Y522" s="45"/>
      <c r="Z522" s="45"/>
      <c r="AA522" s="45"/>
      <c r="AB522" s="45"/>
      <c r="AC522" s="7"/>
      <c r="AD522" s="7"/>
      <c r="AE522" s="7"/>
      <c r="AF522" s="45"/>
    </row>
    <row r="523">
      <c r="A523" s="45"/>
      <c r="B523" s="43"/>
      <c r="C523" s="43"/>
      <c r="D523" s="43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7"/>
      <c r="P523" s="7"/>
      <c r="Q523" s="45"/>
      <c r="R523" s="45"/>
      <c r="S523" s="45"/>
      <c r="T523" s="45"/>
      <c r="U523" s="45"/>
      <c r="V523" s="45"/>
      <c r="W523" s="45"/>
      <c r="X523" s="47"/>
      <c r="Y523" s="45"/>
      <c r="Z523" s="45"/>
      <c r="AA523" s="45"/>
      <c r="AB523" s="45"/>
      <c r="AC523" s="7"/>
      <c r="AD523" s="7"/>
      <c r="AE523" s="7"/>
      <c r="AF523" s="45"/>
    </row>
    <row r="524">
      <c r="A524" s="45"/>
      <c r="B524" s="43"/>
      <c r="C524" s="43"/>
      <c r="D524" s="43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7"/>
      <c r="P524" s="7"/>
      <c r="Q524" s="45"/>
      <c r="R524" s="45"/>
      <c r="S524" s="45"/>
      <c r="T524" s="45"/>
      <c r="U524" s="45"/>
      <c r="V524" s="45"/>
      <c r="W524" s="45"/>
      <c r="X524" s="47"/>
      <c r="Y524" s="45"/>
      <c r="Z524" s="45"/>
      <c r="AA524" s="45"/>
      <c r="AB524" s="45"/>
      <c r="AC524" s="7"/>
      <c r="AD524" s="7"/>
      <c r="AE524" s="7"/>
      <c r="AF524" s="45"/>
    </row>
    <row r="525">
      <c r="A525" s="45"/>
      <c r="B525" s="43"/>
      <c r="C525" s="43"/>
      <c r="D525" s="43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7"/>
      <c r="P525" s="7"/>
      <c r="Q525" s="45"/>
      <c r="R525" s="45"/>
      <c r="S525" s="45"/>
      <c r="T525" s="45"/>
      <c r="U525" s="45"/>
      <c r="V525" s="45"/>
      <c r="W525" s="45"/>
      <c r="X525" s="47"/>
      <c r="Y525" s="45"/>
      <c r="Z525" s="45"/>
      <c r="AA525" s="45"/>
      <c r="AB525" s="45"/>
      <c r="AC525" s="7"/>
      <c r="AD525" s="7"/>
      <c r="AE525" s="7"/>
      <c r="AF525" s="45"/>
    </row>
    <row r="526">
      <c r="A526" s="45"/>
      <c r="B526" s="43"/>
      <c r="C526" s="43"/>
      <c r="D526" s="43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7"/>
      <c r="P526" s="7"/>
      <c r="Q526" s="45"/>
      <c r="R526" s="45"/>
      <c r="S526" s="45"/>
      <c r="T526" s="45"/>
      <c r="U526" s="45"/>
      <c r="V526" s="45"/>
      <c r="W526" s="45"/>
      <c r="X526" s="47"/>
      <c r="Y526" s="45"/>
      <c r="Z526" s="45"/>
      <c r="AA526" s="45"/>
      <c r="AB526" s="45"/>
      <c r="AC526" s="7"/>
      <c r="AD526" s="7"/>
      <c r="AE526" s="7"/>
      <c r="AF526" s="45"/>
    </row>
    <row r="527">
      <c r="A527" s="45"/>
      <c r="B527" s="43"/>
      <c r="C527" s="43"/>
      <c r="D527" s="43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7"/>
      <c r="P527" s="7"/>
      <c r="Q527" s="45"/>
      <c r="R527" s="45"/>
      <c r="S527" s="45"/>
      <c r="T527" s="45"/>
      <c r="U527" s="45"/>
      <c r="V527" s="45"/>
      <c r="W527" s="45"/>
      <c r="X527" s="47"/>
      <c r="Y527" s="45"/>
      <c r="Z527" s="45"/>
      <c r="AA527" s="45"/>
      <c r="AB527" s="45"/>
      <c r="AC527" s="7"/>
      <c r="AD527" s="7"/>
      <c r="AE527" s="7"/>
      <c r="AF527" s="45"/>
    </row>
    <row r="528">
      <c r="A528" s="45"/>
      <c r="B528" s="43"/>
      <c r="C528" s="43"/>
      <c r="D528" s="43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7"/>
      <c r="P528" s="7"/>
      <c r="Q528" s="45"/>
      <c r="R528" s="45"/>
      <c r="S528" s="45"/>
      <c r="T528" s="45"/>
      <c r="U528" s="45"/>
      <c r="V528" s="45"/>
      <c r="W528" s="45"/>
      <c r="X528" s="47"/>
      <c r="Y528" s="45"/>
      <c r="Z528" s="45"/>
      <c r="AA528" s="45"/>
      <c r="AB528" s="45"/>
      <c r="AC528" s="7"/>
      <c r="AD528" s="7"/>
      <c r="AE528" s="7"/>
      <c r="AF528" s="45"/>
    </row>
    <row r="529">
      <c r="A529" s="45"/>
      <c r="B529" s="43"/>
      <c r="C529" s="43"/>
      <c r="D529" s="43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7"/>
      <c r="P529" s="7"/>
      <c r="Q529" s="45"/>
      <c r="R529" s="45"/>
      <c r="S529" s="45"/>
      <c r="T529" s="45"/>
      <c r="U529" s="45"/>
      <c r="V529" s="45"/>
      <c r="W529" s="45"/>
      <c r="X529" s="47"/>
      <c r="Y529" s="45"/>
      <c r="Z529" s="45"/>
      <c r="AA529" s="45"/>
      <c r="AB529" s="45"/>
      <c r="AC529" s="7"/>
      <c r="AD529" s="7"/>
      <c r="AE529" s="7"/>
      <c r="AF529" s="45"/>
    </row>
    <row r="530">
      <c r="A530" s="45"/>
      <c r="B530" s="43"/>
      <c r="C530" s="43"/>
      <c r="D530" s="43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7"/>
      <c r="P530" s="7"/>
      <c r="Q530" s="45"/>
      <c r="R530" s="45"/>
      <c r="S530" s="45"/>
      <c r="T530" s="45"/>
      <c r="U530" s="45"/>
      <c r="V530" s="45"/>
      <c r="W530" s="45"/>
      <c r="X530" s="47"/>
      <c r="Y530" s="45"/>
      <c r="Z530" s="45"/>
      <c r="AA530" s="45"/>
      <c r="AB530" s="45"/>
      <c r="AC530" s="7"/>
      <c r="AD530" s="7"/>
      <c r="AE530" s="7"/>
      <c r="AF530" s="45"/>
    </row>
    <row r="531">
      <c r="A531" s="45"/>
      <c r="B531" s="43"/>
      <c r="C531" s="43"/>
      <c r="D531" s="43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7"/>
      <c r="P531" s="7"/>
      <c r="Q531" s="45"/>
      <c r="R531" s="45"/>
      <c r="S531" s="45"/>
      <c r="T531" s="45"/>
      <c r="U531" s="45"/>
      <c r="V531" s="45"/>
      <c r="W531" s="45"/>
      <c r="X531" s="47"/>
      <c r="Y531" s="45"/>
      <c r="Z531" s="45"/>
      <c r="AA531" s="45"/>
      <c r="AB531" s="45"/>
      <c r="AC531" s="7"/>
      <c r="AD531" s="7"/>
      <c r="AE531" s="7"/>
      <c r="AF531" s="45"/>
    </row>
    <row r="532">
      <c r="A532" s="45"/>
      <c r="B532" s="43"/>
      <c r="C532" s="43"/>
      <c r="D532" s="43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7"/>
      <c r="P532" s="7"/>
      <c r="Q532" s="45"/>
      <c r="R532" s="45"/>
      <c r="S532" s="45"/>
      <c r="T532" s="45"/>
      <c r="U532" s="45"/>
      <c r="V532" s="45"/>
      <c r="W532" s="45"/>
      <c r="X532" s="47"/>
      <c r="Y532" s="45"/>
      <c r="Z532" s="45"/>
      <c r="AA532" s="45"/>
      <c r="AB532" s="45"/>
      <c r="AC532" s="7"/>
      <c r="AD532" s="7"/>
      <c r="AE532" s="7"/>
      <c r="AF532" s="45"/>
    </row>
    <row r="533">
      <c r="A533" s="45"/>
      <c r="B533" s="43"/>
      <c r="C533" s="43"/>
      <c r="D533" s="43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7"/>
      <c r="P533" s="7"/>
      <c r="Q533" s="45"/>
      <c r="R533" s="45"/>
      <c r="S533" s="45"/>
      <c r="T533" s="45"/>
      <c r="U533" s="45"/>
      <c r="V533" s="45"/>
      <c r="W533" s="45"/>
      <c r="X533" s="47"/>
      <c r="Y533" s="45"/>
      <c r="Z533" s="45"/>
      <c r="AA533" s="45"/>
      <c r="AB533" s="45"/>
      <c r="AC533" s="7"/>
      <c r="AD533" s="7"/>
      <c r="AE533" s="7"/>
      <c r="AF533" s="45"/>
    </row>
    <row r="534">
      <c r="A534" s="45"/>
      <c r="B534" s="43"/>
      <c r="C534" s="43"/>
      <c r="D534" s="43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7"/>
      <c r="P534" s="7"/>
      <c r="Q534" s="45"/>
      <c r="R534" s="45"/>
      <c r="S534" s="45"/>
      <c r="T534" s="45"/>
      <c r="U534" s="45"/>
      <c r="V534" s="45"/>
      <c r="W534" s="45"/>
      <c r="X534" s="47"/>
      <c r="Y534" s="45"/>
      <c r="Z534" s="45"/>
      <c r="AA534" s="45"/>
      <c r="AB534" s="45"/>
      <c r="AC534" s="7"/>
      <c r="AD534" s="7"/>
      <c r="AE534" s="7"/>
      <c r="AF534" s="45"/>
    </row>
    <row r="535">
      <c r="A535" s="45"/>
      <c r="B535" s="43"/>
      <c r="C535" s="43"/>
      <c r="D535" s="43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7"/>
      <c r="P535" s="7"/>
      <c r="Q535" s="45"/>
      <c r="R535" s="45"/>
      <c r="S535" s="45"/>
      <c r="T535" s="45"/>
      <c r="U535" s="45"/>
      <c r="V535" s="45"/>
      <c r="W535" s="45"/>
      <c r="X535" s="47"/>
      <c r="Y535" s="45"/>
      <c r="Z535" s="45"/>
      <c r="AA535" s="45"/>
      <c r="AB535" s="45"/>
      <c r="AC535" s="7"/>
      <c r="AD535" s="7"/>
      <c r="AE535" s="7"/>
      <c r="AF535" s="45"/>
    </row>
    <row r="536">
      <c r="A536" s="45"/>
      <c r="B536" s="43"/>
      <c r="C536" s="43"/>
      <c r="D536" s="43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7"/>
      <c r="P536" s="7"/>
      <c r="Q536" s="45"/>
      <c r="R536" s="45"/>
      <c r="S536" s="45"/>
      <c r="T536" s="45"/>
      <c r="U536" s="45"/>
      <c r="V536" s="45"/>
      <c r="W536" s="45"/>
      <c r="X536" s="47"/>
      <c r="Y536" s="45"/>
      <c r="Z536" s="45"/>
      <c r="AA536" s="45"/>
      <c r="AB536" s="45"/>
      <c r="AC536" s="7"/>
      <c r="AD536" s="7"/>
      <c r="AE536" s="7"/>
      <c r="AF536" s="45"/>
    </row>
    <row r="537">
      <c r="A537" s="45"/>
      <c r="B537" s="43"/>
      <c r="C537" s="43"/>
      <c r="D537" s="43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7"/>
      <c r="P537" s="7"/>
      <c r="Q537" s="45"/>
      <c r="R537" s="45"/>
      <c r="S537" s="45"/>
      <c r="T537" s="45"/>
      <c r="U537" s="45"/>
      <c r="V537" s="45"/>
      <c r="W537" s="45"/>
      <c r="X537" s="47"/>
      <c r="Y537" s="45"/>
      <c r="Z537" s="45"/>
      <c r="AA537" s="45"/>
      <c r="AB537" s="45"/>
      <c r="AC537" s="7"/>
      <c r="AD537" s="7"/>
      <c r="AE537" s="7"/>
      <c r="AF537" s="45"/>
    </row>
    <row r="538">
      <c r="A538" s="45"/>
      <c r="B538" s="43"/>
      <c r="C538" s="43"/>
      <c r="D538" s="43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7"/>
      <c r="P538" s="7"/>
      <c r="Q538" s="45"/>
      <c r="R538" s="45"/>
      <c r="S538" s="45"/>
      <c r="T538" s="45"/>
      <c r="U538" s="45"/>
      <c r="V538" s="45"/>
      <c r="W538" s="45"/>
      <c r="X538" s="47"/>
      <c r="Y538" s="45"/>
      <c r="Z538" s="45"/>
      <c r="AA538" s="45"/>
      <c r="AB538" s="45"/>
      <c r="AC538" s="7"/>
      <c r="AD538" s="7"/>
      <c r="AE538" s="7"/>
      <c r="AF538" s="45"/>
    </row>
    <row r="539">
      <c r="A539" s="45"/>
      <c r="B539" s="43"/>
      <c r="C539" s="43"/>
      <c r="D539" s="43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7"/>
      <c r="P539" s="7"/>
      <c r="Q539" s="45"/>
      <c r="R539" s="45"/>
      <c r="S539" s="45"/>
      <c r="T539" s="45"/>
      <c r="U539" s="45"/>
      <c r="V539" s="45"/>
      <c r="W539" s="45"/>
      <c r="X539" s="47"/>
      <c r="Y539" s="45"/>
      <c r="Z539" s="45"/>
      <c r="AA539" s="45"/>
      <c r="AB539" s="45"/>
      <c r="AC539" s="7"/>
      <c r="AD539" s="7"/>
      <c r="AE539" s="7"/>
      <c r="AF539" s="45"/>
    </row>
    <row r="540">
      <c r="A540" s="45"/>
      <c r="B540" s="43"/>
      <c r="C540" s="43"/>
      <c r="D540" s="43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7"/>
      <c r="P540" s="7"/>
      <c r="Q540" s="45"/>
      <c r="R540" s="45"/>
      <c r="S540" s="45"/>
      <c r="T540" s="45"/>
      <c r="U540" s="45"/>
      <c r="V540" s="45"/>
      <c r="W540" s="45"/>
      <c r="X540" s="47"/>
      <c r="Y540" s="45"/>
      <c r="Z540" s="45"/>
      <c r="AA540" s="45"/>
      <c r="AB540" s="45"/>
      <c r="AC540" s="7"/>
      <c r="AD540" s="7"/>
      <c r="AE540" s="7"/>
      <c r="AF540" s="45"/>
    </row>
    <row r="541">
      <c r="A541" s="45"/>
      <c r="B541" s="43"/>
      <c r="C541" s="43"/>
      <c r="D541" s="43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7"/>
      <c r="P541" s="7"/>
      <c r="Q541" s="45"/>
      <c r="R541" s="45"/>
      <c r="S541" s="45"/>
      <c r="T541" s="45"/>
      <c r="U541" s="45"/>
      <c r="V541" s="45"/>
      <c r="W541" s="45"/>
      <c r="X541" s="47"/>
      <c r="Y541" s="45"/>
      <c r="Z541" s="45"/>
      <c r="AA541" s="45"/>
      <c r="AB541" s="45"/>
      <c r="AC541" s="7"/>
      <c r="AD541" s="7"/>
      <c r="AE541" s="7"/>
      <c r="AF541" s="45"/>
    </row>
    <row r="542">
      <c r="A542" s="45"/>
      <c r="B542" s="43"/>
      <c r="C542" s="43"/>
      <c r="D542" s="43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7"/>
      <c r="P542" s="7"/>
      <c r="Q542" s="45"/>
      <c r="R542" s="45"/>
      <c r="S542" s="45"/>
      <c r="T542" s="45"/>
      <c r="U542" s="45"/>
      <c r="V542" s="45"/>
      <c r="W542" s="45"/>
      <c r="X542" s="47"/>
      <c r="Y542" s="45"/>
      <c r="Z542" s="45"/>
      <c r="AA542" s="45"/>
      <c r="AB542" s="45"/>
      <c r="AC542" s="7"/>
      <c r="AD542" s="7"/>
      <c r="AE542" s="7"/>
      <c r="AF542" s="45"/>
    </row>
    <row r="543">
      <c r="A543" s="45"/>
      <c r="B543" s="43"/>
      <c r="C543" s="43"/>
      <c r="D543" s="43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7"/>
      <c r="P543" s="7"/>
      <c r="Q543" s="45"/>
      <c r="R543" s="45"/>
      <c r="S543" s="45"/>
      <c r="T543" s="45"/>
      <c r="U543" s="45"/>
      <c r="V543" s="45"/>
      <c r="W543" s="45"/>
      <c r="X543" s="47"/>
      <c r="Y543" s="45"/>
      <c r="Z543" s="45"/>
      <c r="AA543" s="45"/>
      <c r="AB543" s="45"/>
      <c r="AC543" s="7"/>
      <c r="AD543" s="7"/>
      <c r="AE543" s="7"/>
      <c r="AF543" s="45"/>
    </row>
    <row r="544">
      <c r="A544" s="45"/>
      <c r="B544" s="43"/>
      <c r="C544" s="43"/>
      <c r="D544" s="43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7"/>
      <c r="P544" s="7"/>
      <c r="Q544" s="45"/>
      <c r="R544" s="45"/>
      <c r="S544" s="45"/>
      <c r="T544" s="45"/>
      <c r="U544" s="45"/>
      <c r="V544" s="45"/>
      <c r="W544" s="45"/>
      <c r="X544" s="47"/>
      <c r="Y544" s="45"/>
      <c r="Z544" s="45"/>
      <c r="AA544" s="45"/>
      <c r="AB544" s="45"/>
      <c r="AC544" s="7"/>
      <c r="AD544" s="7"/>
      <c r="AE544" s="7"/>
      <c r="AF544" s="45"/>
    </row>
    <row r="545">
      <c r="A545" s="45"/>
      <c r="B545" s="43"/>
      <c r="C545" s="43"/>
      <c r="D545" s="43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7"/>
      <c r="P545" s="7"/>
      <c r="Q545" s="45"/>
      <c r="R545" s="45"/>
      <c r="S545" s="45"/>
      <c r="T545" s="45"/>
      <c r="U545" s="45"/>
      <c r="V545" s="45"/>
      <c r="W545" s="45"/>
      <c r="X545" s="47"/>
      <c r="Y545" s="45"/>
      <c r="Z545" s="45"/>
      <c r="AA545" s="45"/>
      <c r="AB545" s="45"/>
      <c r="AC545" s="7"/>
      <c r="AD545" s="7"/>
      <c r="AE545" s="7"/>
      <c r="AF545" s="45"/>
    </row>
    <row r="546">
      <c r="A546" s="45"/>
      <c r="B546" s="43"/>
      <c r="C546" s="43"/>
      <c r="D546" s="43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7"/>
      <c r="P546" s="7"/>
      <c r="Q546" s="45"/>
      <c r="R546" s="45"/>
      <c r="S546" s="45"/>
      <c r="T546" s="45"/>
      <c r="U546" s="45"/>
      <c r="V546" s="45"/>
      <c r="W546" s="45"/>
      <c r="X546" s="47"/>
      <c r="Y546" s="45"/>
      <c r="Z546" s="45"/>
      <c r="AA546" s="45"/>
      <c r="AB546" s="45"/>
      <c r="AC546" s="7"/>
      <c r="AD546" s="7"/>
      <c r="AE546" s="7"/>
      <c r="AF546" s="45"/>
    </row>
    <row r="547">
      <c r="A547" s="45"/>
      <c r="B547" s="43"/>
      <c r="C547" s="43"/>
      <c r="D547" s="43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7"/>
      <c r="P547" s="7"/>
      <c r="Q547" s="45"/>
      <c r="R547" s="45"/>
      <c r="S547" s="45"/>
      <c r="T547" s="45"/>
      <c r="U547" s="45"/>
      <c r="V547" s="45"/>
      <c r="W547" s="45"/>
      <c r="X547" s="47"/>
      <c r="Y547" s="45"/>
      <c r="Z547" s="45"/>
      <c r="AA547" s="45"/>
      <c r="AB547" s="45"/>
      <c r="AC547" s="7"/>
      <c r="AD547" s="7"/>
      <c r="AE547" s="7"/>
      <c r="AF547" s="45"/>
    </row>
    <row r="548">
      <c r="A548" s="45"/>
      <c r="B548" s="43"/>
      <c r="C548" s="43"/>
      <c r="D548" s="43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7"/>
      <c r="P548" s="7"/>
      <c r="Q548" s="45"/>
      <c r="R548" s="45"/>
      <c r="S548" s="45"/>
      <c r="T548" s="45"/>
      <c r="U548" s="45"/>
      <c r="V548" s="45"/>
      <c r="W548" s="45"/>
      <c r="X548" s="47"/>
      <c r="Y548" s="45"/>
      <c r="Z548" s="45"/>
      <c r="AA548" s="45"/>
      <c r="AB548" s="45"/>
      <c r="AC548" s="7"/>
      <c r="AD548" s="7"/>
      <c r="AE548" s="7"/>
      <c r="AF548" s="45"/>
    </row>
    <row r="549">
      <c r="A549" s="45"/>
      <c r="B549" s="43"/>
      <c r="C549" s="43"/>
      <c r="D549" s="43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7"/>
      <c r="P549" s="7"/>
      <c r="Q549" s="45"/>
      <c r="R549" s="45"/>
      <c r="S549" s="45"/>
      <c r="T549" s="45"/>
      <c r="U549" s="45"/>
      <c r="V549" s="45"/>
      <c r="W549" s="45"/>
      <c r="X549" s="47"/>
      <c r="Y549" s="45"/>
      <c r="Z549" s="45"/>
      <c r="AA549" s="45"/>
      <c r="AB549" s="45"/>
      <c r="AC549" s="7"/>
      <c r="AD549" s="7"/>
      <c r="AE549" s="7"/>
      <c r="AF549" s="45"/>
    </row>
    <row r="550">
      <c r="A550" s="45"/>
      <c r="B550" s="43"/>
      <c r="C550" s="43"/>
      <c r="D550" s="43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7"/>
      <c r="P550" s="7"/>
      <c r="Q550" s="45"/>
      <c r="R550" s="45"/>
      <c r="S550" s="45"/>
      <c r="T550" s="45"/>
      <c r="U550" s="45"/>
      <c r="V550" s="45"/>
      <c r="W550" s="45"/>
      <c r="X550" s="47"/>
      <c r="Y550" s="45"/>
      <c r="Z550" s="45"/>
      <c r="AA550" s="45"/>
      <c r="AB550" s="45"/>
      <c r="AC550" s="7"/>
      <c r="AD550" s="7"/>
      <c r="AE550" s="7"/>
      <c r="AF550" s="45"/>
    </row>
    <row r="551">
      <c r="A551" s="45"/>
      <c r="B551" s="43"/>
      <c r="C551" s="43"/>
      <c r="D551" s="43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7"/>
      <c r="P551" s="7"/>
      <c r="Q551" s="45"/>
      <c r="R551" s="45"/>
      <c r="S551" s="45"/>
      <c r="T551" s="45"/>
      <c r="U551" s="45"/>
      <c r="V551" s="45"/>
      <c r="W551" s="45"/>
      <c r="X551" s="47"/>
      <c r="Y551" s="45"/>
      <c r="Z551" s="45"/>
      <c r="AA551" s="45"/>
      <c r="AB551" s="45"/>
      <c r="AC551" s="7"/>
      <c r="AD551" s="7"/>
      <c r="AE551" s="7"/>
      <c r="AF551" s="45"/>
    </row>
    <row r="552">
      <c r="A552" s="45"/>
      <c r="B552" s="43"/>
      <c r="C552" s="43"/>
      <c r="D552" s="43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7"/>
      <c r="P552" s="7"/>
      <c r="Q552" s="45"/>
      <c r="R552" s="45"/>
      <c r="S552" s="45"/>
      <c r="T552" s="45"/>
      <c r="U552" s="45"/>
      <c r="V552" s="45"/>
      <c r="W552" s="45"/>
      <c r="X552" s="47"/>
      <c r="Y552" s="45"/>
      <c r="Z552" s="45"/>
      <c r="AA552" s="45"/>
      <c r="AB552" s="45"/>
      <c r="AC552" s="7"/>
      <c r="AD552" s="7"/>
      <c r="AE552" s="7"/>
      <c r="AF552" s="45"/>
    </row>
    <row r="553">
      <c r="A553" s="45"/>
      <c r="B553" s="43"/>
      <c r="C553" s="43"/>
      <c r="D553" s="43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7"/>
      <c r="P553" s="7"/>
      <c r="Q553" s="45"/>
      <c r="R553" s="45"/>
      <c r="S553" s="45"/>
      <c r="T553" s="45"/>
      <c r="U553" s="45"/>
      <c r="V553" s="45"/>
      <c r="W553" s="45"/>
      <c r="X553" s="47"/>
      <c r="Y553" s="45"/>
      <c r="Z553" s="45"/>
      <c r="AA553" s="45"/>
      <c r="AB553" s="45"/>
      <c r="AC553" s="7"/>
      <c r="AD553" s="7"/>
      <c r="AE553" s="7"/>
      <c r="AF553" s="45"/>
    </row>
    <row r="554">
      <c r="A554" s="45"/>
      <c r="B554" s="43"/>
      <c r="C554" s="43"/>
      <c r="D554" s="43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7"/>
      <c r="P554" s="7"/>
      <c r="Q554" s="45"/>
      <c r="R554" s="45"/>
      <c r="S554" s="45"/>
      <c r="T554" s="45"/>
      <c r="U554" s="45"/>
      <c r="V554" s="45"/>
      <c r="W554" s="45"/>
      <c r="X554" s="47"/>
      <c r="Y554" s="45"/>
      <c r="Z554" s="45"/>
      <c r="AA554" s="45"/>
      <c r="AB554" s="45"/>
      <c r="AC554" s="7"/>
      <c r="AD554" s="7"/>
      <c r="AE554" s="7"/>
      <c r="AF554" s="45"/>
    </row>
    <row r="555">
      <c r="A555" s="45"/>
      <c r="B555" s="43"/>
      <c r="C555" s="43"/>
      <c r="D555" s="43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7"/>
      <c r="P555" s="7"/>
      <c r="Q555" s="45"/>
      <c r="R555" s="45"/>
      <c r="S555" s="45"/>
      <c r="T555" s="45"/>
      <c r="U555" s="45"/>
      <c r="V555" s="45"/>
      <c r="W555" s="45"/>
      <c r="X555" s="47"/>
      <c r="Y555" s="45"/>
      <c r="Z555" s="45"/>
      <c r="AA555" s="45"/>
      <c r="AB555" s="45"/>
      <c r="AC555" s="7"/>
      <c r="AD555" s="7"/>
      <c r="AE555" s="7"/>
      <c r="AF555" s="45"/>
    </row>
    <row r="556">
      <c r="A556" s="45"/>
      <c r="B556" s="43"/>
      <c r="C556" s="43"/>
      <c r="D556" s="43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7"/>
      <c r="P556" s="7"/>
      <c r="Q556" s="45"/>
      <c r="R556" s="45"/>
      <c r="S556" s="45"/>
      <c r="T556" s="45"/>
      <c r="U556" s="45"/>
      <c r="V556" s="45"/>
      <c r="W556" s="45"/>
      <c r="X556" s="47"/>
      <c r="Y556" s="45"/>
      <c r="Z556" s="45"/>
      <c r="AA556" s="45"/>
      <c r="AB556" s="45"/>
      <c r="AC556" s="7"/>
      <c r="AD556" s="7"/>
      <c r="AE556" s="7"/>
      <c r="AF556" s="45"/>
    </row>
    <row r="557">
      <c r="A557" s="45"/>
      <c r="B557" s="43"/>
      <c r="C557" s="43"/>
      <c r="D557" s="43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7"/>
      <c r="P557" s="7"/>
      <c r="Q557" s="45"/>
      <c r="R557" s="45"/>
      <c r="S557" s="45"/>
      <c r="T557" s="45"/>
      <c r="U557" s="45"/>
      <c r="V557" s="45"/>
      <c r="W557" s="45"/>
      <c r="X557" s="47"/>
      <c r="Y557" s="45"/>
      <c r="Z557" s="45"/>
      <c r="AA557" s="45"/>
      <c r="AB557" s="45"/>
      <c r="AC557" s="7"/>
      <c r="AD557" s="7"/>
      <c r="AE557" s="7"/>
      <c r="AF557" s="45"/>
    </row>
    <row r="558">
      <c r="A558" s="45"/>
      <c r="B558" s="43"/>
      <c r="C558" s="43"/>
      <c r="D558" s="43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7"/>
      <c r="P558" s="7"/>
      <c r="Q558" s="45"/>
      <c r="R558" s="45"/>
      <c r="S558" s="45"/>
      <c r="T558" s="45"/>
      <c r="U558" s="45"/>
      <c r="V558" s="45"/>
      <c r="W558" s="45"/>
      <c r="X558" s="47"/>
      <c r="Y558" s="45"/>
      <c r="Z558" s="45"/>
      <c r="AA558" s="45"/>
      <c r="AB558" s="45"/>
      <c r="AC558" s="7"/>
      <c r="AD558" s="7"/>
      <c r="AE558" s="7"/>
      <c r="AF558" s="45"/>
    </row>
    <row r="559">
      <c r="A559" s="45"/>
      <c r="B559" s="43"/>
      <c r="C559" s="43"/>
      <c r="D559" s="43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7"/>
      <c r="P559" s="7"/>
      <c r="Q559" s="45"/>
      <c r="R559" s="45"/>
      <c r="S559" s="45"/>
      <c r="T559" s="45"/>
      <c r="U559" s="45"/>
      <c r="V559" s="45"/>
      <c r="W559" s="45"/>
      <c r="X559" s="47"/>
      <c r="Y559" s="45"/>
      <c r="Z559" s="45"/>
      <c r="AA559" s="45"/>
      <c r="AB559" s="45"/>
      <c r="AC559" s="7"/>
      <c r="AD559" s="7"/>
      <c r="AE559" s="7"/>
      <c r="AF559" s="45"/>
    </row>
    <row r="560">
      <c r="A560" s="45"/>
      <c r="B560" s="43"/>
      <c r="C560" s="43"/>
      <c r="D560" s="43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7"/>
      <c r="P560" s="7"/>
      <c r="Q560" s="45"/>
      <c r="R560" s="45"/>
      <c r="S560" s="45"/>
      <c r="T560" s="45"/>
      <c r="U560" s="45"/>
      <c r="V560" s="45"/>
      <c r="W560" s="45"/>
      <c r="X560" s="47"/>
      <c r="Y560" s="45"/>
      <c r="Z560" s="45"/>
      <c r="AA560" s="45"/>
      <c r="AB560" s="45"/>
      <c r="AC560" s="7"/>
      <c r="AD560" s="7"/>
      <c r="AE560" s="7"/>
      <c r="AF560" s="45"/>
    </row>
    <row r="561">
      <c r="A561" s="45"/>
      <c r="B561" s="43"/>
      <c r="C561" s="43"/>
      <c r="D561" s="43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7"/>
      <c r="P561" s="7"/>
      <c r="Q561" s="45"/>
      <c r="R561" s="45"/>
      <c r="S561" s="45"/>
      <c r="T561" s="45"/>
      <c r="U561" s="45"/>
      <c r="V561" s="45"/>
      <c r="W561" s="45"/>
      <c r="X561" s="47"/>
      <c r="Y561" s="45"/>
      <c r="Z561" s="45"/>
      <c r="AA561" s="45"/>
      <c r="AB561" s="45"/>
      <c r="AC561" s="7"/>
      <c r="AD561" s="7"/>
      <c r="AE561" s="7"/>
      <c r="AF561" s="45"/>
    </row>
    <row r="562">
      <c r="A562" s="45"/>
      <c r="B562" s="43"/>
      <c r="C562" s="43"/>
      <c r="D562" s="43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7"/>
      <c r="P562" s="7"/>
      <c r="Q562" s="45"/>
      <c r="R562" s="45"/>
      <c r="S562" s="45"/>
      <c r="T562" s="45"/>
      <c r="U562" s="45"/>
      <c r="V562" s="45"/>
      <c r="W562" s="45"/>
      <c r="X562" s="47"/>
      <c r="Y562" s="45"/>
      <c r="Z562" s="45"/>
      <c r="AA562" s="45"/>
      <c r="AB562" s="45"/>
      <c r="AC562" s="7"/>
      <c r="AD562" s="7"/>
      <c r="AE562" s="7"/>
      <c r="AF562" s="45"/>
    </row>
    <row r="563">
      <c r="A563" s="45"/>
      <c r="B563" s="43"/>
      <c r="C563" s="43"/>
      <c r="D563" s="43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7"/>
      <c r="P563" s="7"/>
      <c r="Q563" s="45"/>
      <c r="R563" s="45"/>
      <c r="S563" s="45"/>
      <c r="T563" s="45"/>
      <c r="U563" s="45"/>
      <c r="V563" s="45"/>
      <c r="W563" s="45"/>
      <c r="X563" s="47"/>
      <c r="Y563" s="45"/>
      <c r="Z563" s="45"/>
      <c r="AA563" s="45"/>
      <c r="AB563" s="45"/>
      <c r="AC563" s="7"/>
      <c r="AD563" s="7"/>
      <c r="AE563" s="7"/>
      <c r="AF563" s="45"/>
    </row>
    <row r="564">
      <c r="A564" s="45"/>
      <c r="B564" s="43"/>
      <c r="C564" s="43"/>
      <c r="D564" s="43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7"/>
      <c r="P564" s="7"/>
      <c r="Q564" s="45"/>
      <c r="R564" s="45"/>
      <c r="S564" s="45"/>
      <c r="T564" s="45"/>
      <c r="U564" s="45"/>
      <c r="V564" s="45"/>
      <c r="W564" s="45"/>
      <c r="X564" s="47"/>
      <c r="Y564" s="45"/>
      <c r="Z564" s="45"/>
      <c r="AA564" s="45"/>
      <c r="AB564" s="45"/>
      <c r="AC564" s="7"/>
      <c r="AD564" s="7"/>
      <c r="AE564" s="7"/>
      <c r="AF564" s="45"/>
    </row>
    <row r="565">
      <c r="A565" s="45"/>
      <c r="B565" s="43"/>
      <c r="C565" s="43"/>
      <c r="D565" s="43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7"/>
      <c r="P565" s="7"/>
      <c r="Q565" s="45"/>
      <c r="R565" s="45"/>
      <c r="S565" s="45"/>
      <c r="T565" s="45"/>
      <c r="U565" s="45"/>
      <c r="V565" s="45"/>
      <c r="W565" s="45"/>
      <c r="X565" s="47"/>
      <c r="Y565" s="45"/>
      <c r="Z565" s="45"/>
      <c r="AA565" s="45"/>
      <c r="AB565" s="45"/>
      <c r="AC565" s="7"/>
      <c r="AD565" s="7"/>
      <c r="AE565" s="7"/>
      <c r="AF565" s="45"/>
    </row>
    <row r="566">
      <c r="A566" s="45"/>
      <c r="B566" s="43"/>
      <c r="C566" s="43"/>
      <c r="D566" s="43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7"/>
      <c r="P566" s="7"/>
      <c r="Q566" s="45"/>
      <c r="R566" s="45"/>
      <c r="S566" s="45"/>
      <c r="T566" s="45"/>
      <c r="U566" s="45"/>
      <c r="V566" s="45"/>
      <c r="W566" s="45"/>
      <c r="X566" s="47"/>
      <c r="Y566" s="45"/>
      <c r="Z566" s="45"/>
      <c r="AA566" s="45"/>
      <c r="AB566" s="45"/>
      <c r="AC566" s="7"/>
      <c r="AD566" s="7"/>
      <c r="AE566" s="7"/>
      <c r="AF566" s="45"/>
    </row>
    <row r="567">
      <c r="A567" s="45"/>
      <c r="B567" s="43"/>
      <c r="C567" s="43"/>
      <c r="D567" s="43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7"/>
      <c r="P567" s="7"/>
      <c r="Q567" s="45"/>
      <c r="R567" s="45"/>
      <c r="S567" s="45"/>
      <c r="T567" s="45"/>
      <c r="U567" s="45"/>
      <c r="V567" s="45"/>
      <c r="W567" s="45"/>
      <c r="X567" s="47"/>
      <c r="Y567" s="45"/>
      <c r="Z567" s="45"/>
      <c r="AA567" s="45"/>
      <c r="AB567" s="45"/>
      <c r="AC567" s="7"/>
      <c r="AD567" s="7"/>
      <c r="AE567" s="7"/>
      <c r="AF567" s="45"/>
    </row>
    <row r="568">
      <c r="A568" s="45"/>
      <c r="B568" s="43"/>
      <c r="C568" s="43"/>
      <c r="D568" s="43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7"/>
      <c r="P568" s="7"/>
      <c r="Q568" s="45"/>
      <c r="R568" s="45"/>
      <c r="S568" s="45"/>
      <c r="T568" s="45"/>
      <c r="U568" s="45"/>
      <c r="V568" s="45"/>
      <c r="W568" s="45"/>
      <c r="X568" s="47"/>
      <c r="Y568" s="45"/>
      <c r="Z568" s="45"/>
      <c r="AA568" s="45"/>
      <c r="AB568" s="45"/>
      <c r="AC568" s="7"/>
      <c r="AD568" s="7"/>
      <c r="AE568" s="7"/>
      <c r="AF568" s="45"/>
    </row>
    <row r="569">
      <c r="A569" s="45"/>
      <c r="B569" s="43"/>
      <c r="C569" s="43"/>
      <c r="D569" s="43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7"/>
      <c r="P569" s="7"/>
      <c r="Q569" s="45"/>
      <c r="R569" s="45"/>
      <c r="S569" s="45"/>
      <c r="T569" s="45"/>
      <c r="U569" s="45"/>
      <c r="V569" s="45"/>
      <c r="W569" s="45"/>
      <c r="X569" s="47"/>
      <c r="Y569" s="45"/>
      <c r="Z569" s="45"/>
      <c r="AA569" s="45"/>
      <c r="AB569" s="45"/>
      <c r="AC569" s="7"/>
      <c r="AD569" s="7"/>
      <c r="AE569" s="7"/>
      <c r="AF569" s="45"/>
    </row>
    <row r="570">
      <c r="A570" s="45"/>
      <c r="B570" s="43"/>
      <c r="C570" s="43"/>
      <c r="D570" s="43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7"/>
      <c r="P570" s="7"/>
      <c r="Q570" s="45"/>
      <c r="R570" s="45"/>
      <c r="S570" s="45"/>
      <c r="T570" s="45"/>
      <c r="U570" s="45"/>
      <c r="V570" s="45"/>
      <c r="W570" s="45"/>
      <c r="X570" s="47"/>
      <c r="Y570" s="45"/>
      <c r="Z570" s="45"/>
      <c r="AA570" s="45"/>
      <c r="AB570" s="45"/>
      <c r="AC570" s="7"/>
      <c r="AD570" s="7"/>
      <c r="AE570" s="7"/>
      <c r="AF570" s="45"/>
    </row>
    <row r="571">
      <c r="A571" s="45"/>
      <c r="B571" s="43"/>
      <c r="C571" s="43"/>
      <c r="D571" s="43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7"/>
      <c r="P571" s="7"/>
      <c r="Q571" s="45"/>
      <c r="R571" s="45"/>
      <c r="S571" s="45"/>
      <c r="T571" s="45"/>
      <c r="U571" s="45"/>
      <c r="V571" s="45"/>
      <c r="W571" s="45"/>
      <c r="X571" s="47"/>
      <c r="Y571" s="45"/>
      <c r="Z571" s="45"/>
      <c r="AA571" s="45"/>
      <c r="AB571" s="45"/>
      <c r="AC571" s="7"/>
      <c r="AD571" s="7"/>
      <c r="AE571" s="7"/>
      <c r="AF571" s="45"/>
    </row>
    <row r="572">
      <c r="A572" s="45"/>
      <c r="B572" s="43"/>
      <c r="C572" s="43"/>
      <c r="D572" s="43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7"/>
      <c r="P572" s="7"/>
      <c r="Q572" s="45"/>
      <c r="R572" s="45"/>
      <c r="S572" s="45"/>
      <c r="T572" s="45"/>
      <c r="U572" s="45"/>
      <c r="V572" s="45"/>
      <c r="W572" s="45"/>
      <c r="X572" s="47"/>
      <c r="Y572" s="45"/>
      <c r="Z572" s="45"/>
      <c r="AA572" s="45"/>
      <c r="AB572" s="45"/>
      <c r="AC572" s="7"/>
      <c r="AD572" s="7"/>
      <c r="AE572" s="7"/>
      <c r="AF572" s="45"/>
    </row>
    <row r="573">
      <c r="A573" s="45"/>
      <c r="B573" s="43"/>
      <c r="C573" s="43"/>
      <c r="D573" s="43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7"/>
      <c r="P573" s="7"/>
      <c r="Q573" s="45"/>
      <c r="R573" s="45"/>
      <c r="S573" s="45"/>
      <c r="T573" s="45"/>
      <c r="U573" s="45"/>
      <c r="V573" s="45"/>
      <c r="W573" s="45"/>
      <c r="X573" s="47"/>
      <c r="Y573" s="45"/>
      <c r="Z573" s="45"/>
      <c r="AA573" s="45"/>
      <c r="AB573" s="45"/>
      <c r="AC573" s="7"/>
      <c r="AD573" s="7"/>
      <c r="AE573" s="7"/>
      <c r="AF573" s="45"/>
    </row>
    <row r="574">
      <c r="A574" s="45"/>
      <c r="B574" s="43"/>
      <c r="C574" s="43"/>
      <c r="D574" s="43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7"/>
      <c r="P574" s="7"/>
      <c r="Q574" s="45"/>
      <c r="R574" s="45"/>
      <c r="S574" s="45"/>
      <c r="T574" s="45"/>
      <c r="U574" s="45"/>
      <c r="V574" s="45"/>
      <c r="W574" s="45"/>
      <c r="X574" s="47"/>
      <c r="Y574" s="45"/>
      <c r="Z574" s="45"/>
      <c r="AA574" s="45"/>
      <c r="AB574" s="45"/>
      <c r="AC574" s="7"/>
      <c r="AD574" s="7"/>
      <c r="AE574" s="7"/>
      <c r="AF574" s="45"/>
    </row>
    <row r="575">
      <c r="A575" s="45"/>
      <c r="B575" s="43"/>
      <c r="C575" s="43"/>
      <c r="D575" s="43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7"/>
      <c r="P575" s="7"/>
      <c r="Q575" s="45"/>
      <c r="R575" s="45"/>
      <c r="S575" s="45"/>
      <c r="T575" s="45"/>
      <c r="U575" s="45"/>
      <c r="V575" s="45"/>
      <c r="W575" s="45"/>
      <c r="X575" s="47"/>
      <c r="Y575" s="45"/>
      <c r="Z575" s="45"/>
      <c r="AA575" s="45"/>
      <c r="AB575" s="45"/>
      <c r="AC575" s="7"/>
      <c r="AD575" s="7"/>
      <c r="AE575" s="7"/>
      <c r="AF575" s="45"/>
    </row>
    <row r="576">
      <c r="A576" s="45"/>
      <c r="B576" s="43"/>
      <c r="C576" s="43"/>
      <c r="D576" s="43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7"/>
      <c r="P576" s="7"/>
      <c r="Q576" s="45"/>
      <c r="R576" s="45"/>
      <c r="S576" s="45"/>
      <c r="T576" s="45"/>
      <c r="U576" s="45"/>
      <c r="V576" s="45"/>
      <c r="W576" s="45"/>
      <c r="X576" s="47"/>
      <c r="Y576" s="45"/>
      <c r="Z576" s="45"/>
      <c r="AA576" s="45"/>
      <c r="AB576" s="45"/>
      <c r="AC576" s="7"/>
      <c r="AD576" s="7"/>
      <c r="AE576" s="7"/>
      <c r="AF576" s="45"/>
    </row>
    <row r="577">
      <c r="A577" s="45"/>
      <c r="B577" s="43"/>
      <c r="C577" s="43"/>
      <c r="D577" s="43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7"/>
      <c r="P577" s="7"/>
      <c r="Q577" s="45"/>
      <c r="R577" s="45"/>
      <c r="S577" s="45"/>
      <c r="T577" s="45"/>
      <c r="U577" s="45"/>
      <c r="V577" s="45"/>
      <c r="W577" s="45"/>
      <c r="X577" s="47"/>
      <c r="Y577" s="45"/>
      <c r="Z577" s="45"/>
      <c r="AA577" s="45"/>
      <c r="AB577" s="45"/>
      <c r="AC577" s="7"/>
      <c r="AD577" s="7"/>
      <c r="AE577" s="7"/>
      <c r="AF577" s="45"/>
    </row>
    <row r="578">
      <c r="A578" s="45"/>
      <c r="B578" s="43"/>
      <c r="C578" s="43"/>
      <c r="D578" s="43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7"/>
      <c r="P578" s="7"/>
      <c r="Q578" s="45"/>
      <c r="R578" s="45"/>
      <c r="S578" s="45"/>
      <c r="T578" s="45"/>
      <c r="U578" s="45"/>
      <c r="V578" s="45"/>
      <c r="W578" s="45"/>
      <c r="X578" s="47"/>
      <c r="Y578" s="45"/>
      <c r="Z578" s="45"/>
      <c r="AA578" s="45"/>
      <c r="AB578" s="45"/>
      <c r="AC578" s="7"/>
      <c r="AD578" s="7"/>
      <c r="AE578" s="7"/>
      <c r="AF578" s="45"/>
    </row>
    <row r="579">
      <c r="A579" s="45"/>
      <c r="B579" s="43"/>
      <c r="C579" s="43"/>
      <c r="D579" s="43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7"/>
      <c r="P579" s="7"/>
      <c r="Q579" s="45"/>
      <c r="R579" s="45"/>
      <c r="S579" s="45"/>
      <c r="T579" s="45"/>
      <c r="U579" s="45"/>
      <c r="V579" s="45"/>
      <c r="W579" s="45"/>
      <c r="X579" s="47"/>
      <c r="Y579" s="45"/>
      <c r="Z579" s="45"/>
      <c r="AA579" s="45"/>
      <c r="AB579" s="45"/>
      <c r="AC579" s="7"/>
      <c r="AD579" s="7"/>
      <c r="AE579" s="7"/>
      <c r="AF579" s="45"/>
    </row>
    <row r="580">
      <c r="A580" s="45"/>
      <c r="B580" s="43"/>
      <c r="C580" s="43"/>
      <c r="D580" s="43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7"/>
      <c r="P580" s="7"/>
      <c r="Q580" s="45"/>
      <c r="R580" s="45"/>
      <c r="S580" s="45"/>
      <c r="T580" s="45"/>
      <c r="U580" s="45"/>
      <c r="V580" s="45"/>
      <c r="W580" s="45"/>
      <c r="X580" s="47"/>
      <c r="Y580" s="45"/>
      <c r="Z580" s="45"/>
      <c r="AA580" s="45"/>
      <c r="AB580" s="45"/>
      <c r="AC580" s="7"/>
      <c r="AD580" s="7"/>
      <c r="AE580" s="7"/>
      <c r="AF580" s="45"/>
    </row>
    <row r="581">
      <c r="A581" s="45"/>
      <c r="B581" s="43"/>
      <c r="C581" s="43"/>
      <c r="D581" s="43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7"/>
      <c r="P581" s="7"/>
      <c r="Q581" s="45"/>
      <c r="R581" s="45"/>
      <c r="S581" s="45"/>
      <c r="T581" s="45"/>
      <c r="U581" s="45"/>
      <c r="V581" s="45"/>
      <c r="W581" s="45"/>
      <c r="X581" s="47"/>
      <c r="Y581" s="45"/>
      <c r="Z581" s="45"/>
      <c r="AA581" s="45"/>
      <c r="AB581" s="45"/>
      <c r="AC581" s="7"/>
      <c r="AD581" s="7"/>
      <c r="AE581" s="7"/>
      <c r="AF581" s="45"/>
    </row>
    <row r="582">
      <c r="A582" s="45"/>
      <c r="B582" s="43"/>
      <c r="C582" s="43"/>
      <c r="D582" s="43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7"/>
      <c r="P582" s="7"/>
      <c r="Q582" s="45"/>
      <c r="R582" s="45"/>
      <c r="S582" s="45"/>
      <c r="T582" s="45"/>
      <c r="U582" s="45"/>
      <c r="V582" s="45"/>
      <c r="W582" s="45"/>
      <c r="X582" s="47"/>
      <c r="Y582" s="45"/>
      <c r="Z582" s="45"/>
      <c r="AA582" s="45"/>
      <c r="AB582" s="45"/>
      <c r="AC582" s="7"/>
      <c r="AD582" s="7"/>
      <c r="AE582" s="7"/>
      <c r="AF582" s="45"/>
    </row>
    <row r="583">
      <c r="A583" s="45"/>
      <c r="B583" s="43"/>
      <c r="C583" s="43"/>
      <c r="D583" s="43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7"/>
      <c r="P583" s="7"/>
      <c r="Q583" s="45"/>
      <c r="R583" s="45"/>
      <c r="S583" s="45"/>
      <c r="T583" s="45"/>
      <c r="U583" s="45"/>
      <c r="V583" s="45"/>
      <c r="W583" s="45"/>
      <c r="X583" s="47"/>
      <c r="Y583" s="45"/>
      <c r="Z583" s="45"/>
      <c r="AA583" s="45"/>
      <c r="AB583" s="45"/>
      <c r="AC583" s="7"/>
      <c r="AD583" s="7"/>
      <c r="AE583" s="7"/>
      <c r="AF583" s="45"/>
    </row>
    <row r="584">
      <c r="A584" s="45"/>
      <c r="B584" s="43"/>
      <c r="C584" s="43"/>
      <c r="D584" s="43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7"/>
      <c r="P584" s="7"/>
      <c r="Q584" s="45"/>
      <c r="R584" s="45"/>
      <c r="S584" s="45"/>
      <c r="T584" s="45"/>
      <c r="U584" s="45"/>
      <c r="V584" s="45"/>
      <c r="W584" s="45"/>
      <c r="X584" s="47"/>
      <c r="Y584" s="45"/>
      <c r="Z584" s="45"/>
      <c r="AA584" s="45"/>
      <c r="AB584" s="45"/>
      <c r="AC584" s="7"/>
      <c r="AD584" s="7"/>
      <c r="AE584" s="7"/>
      <c r="AF584" s="45"/>
    </row>
    <row r="585">
      <c r="A585" s="45"/>
      <c r="B585" s="43"/>
      <c r="C585" s="43"/>
      <c r="D585" s="43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7"/>
      <c r="P585" s="7"/>
      <c r="Q585" s="45"/>
      <c r="R585" s="45"/>
      <c r="S585" s="45"/>
      <c r="T585" s="45"/>
      <c r="U585" s="45"/>
      <c r="V585" s="45"/>
      <c r="W585" s="45"/>
      <c r="X585" s="47"/>
      <c r="Y585" s="45"/>
      <c r="Z585" s="45"/>
      <c r="AA585" s="45"/>
      <c r="AB585" s="45"/>
      <c r="AC585" s="7"/>
      <c r="AD585" s="7"/>
      <c r="AE585" s="7"/>
      <c r="AF585" s="45"/>
    </row>
    <row r="586">
      <c r="A586" s="45"/>
      <c r="B586" s="43"/>
      <c r="C586" s="43"/>
      <c r="D586" s="43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7"/>
      <c r="P586" s="7"/>
      <c r="Q586" s="45"/>
      <c r="R586" s="45"/>
      <c r="S586" s="45"/>
      <c r="T586" s="45"/>
      <c r="U586" s="45"/>
      <c r="V586" s="45"/>
      <c r="W586" s="45"/>
      <c r="X586" s="47"/>
      <c r="Y586" s="45"/>
      <c r="Z586" s="45"/>
      <c r="AA586" s="45"/>
      <c r="AB586" s="45"/>
      <c r="AC586" s="7"/>
      <c r="AD586" s="7"/>
      <c r="AE586" s="7"/>
      <c r="AF586" s="45"/>
    </row>
    <row r="587">
      <c r="A587" s="45"/>
      <c r="B587" s="43"/>
      <c r="C587" s="43"/>
      <c r="D587" s="43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7"/>
      <c r="P587" s="7"/>
      <c r="Q587" s="45"/>
      <c r="R587" s="45"/>
      <c r="S587" s="45"/>
      <c r="T587" s="45"/>
      <c r="U587" s="45"/>
      <c r="V587" s="45"/>
      <c r="W587" s="45"/>
      <c r="X587" s="47"/>
      <c r="Y587" s="45"/>
      <c r="Z587" s="45"/>
      <c r="AA587" s="45"/>
      <c r="AB587" s="45"/>
      <c r="AC587" s="7"/>
      <c r="AD587" s="7"/>
      <c r="AE587" s="7"/>
      <c r="AF587" s="45"/>
    </row>
    <row r="588">
      <c r="A588" s="45"/>
      <c r="B588" s="43"/>
      <c r="C588" s="43"/>
      <c r="D588" s="43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7"/>
      <c r="P588" s="7"/>
      <c r="Q588" s="45"/>
      <c r="R588" s="45"/>
      <c r="S588" s="45"/>
      <c r="T588" s="45"/>
      <c r="U588" s="45"/>
      <c r="V588" s="45"/>
      <c r="W588" s="45"/>
      <c r="X588" s="47"/>
      <c r="Y588" s="45"/>
      <c r="Z588" s="45"/>
      <c r="AA588" s="45"/>
      <c r="AB588" s="45"/>
      <c r="AC588" s="7"/>
      <c r="AD588" s="7"/>
      <c r="AE588" s="7"/>
      <c r="AF588" s="45"/>
    </row>
    <row r="589">
      <c r="A589" s="45"/>
      <c r="B589" s="43"/>
      <c r="C589" s="43"/>
      <c r="D589" s="43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7"/>
      <c r="P589" s="7"/>
      <c r="Q589" s="45"/>
      <c r="R589" s="45"/>
      <c r="S589" s="45"/>
      <c r="T589" s="45"/>
      <c r="U589" s="45"/>
      <c r="V589" s="45"/>
      <c r="W589" s="45"/>
      <c r="X589" s="47"/>
      <c r="Y589" s="45"/>
      <c r="Z589" s="45"/>
      <c r="AA589" s="45"/>
      <c r="AB589" s="45"/>
      <c r="AC589" s="7"/>
      <c r="AD589" s="7"/>
      <c r="AE589" s="7"/>
      <c r="AF589" s="45"/>
    </row>
    <row r="590">
      <c r="A590" s="45"/>
      <c r="B590" s="43"/>
      <c r="C590" s="43"/>
      <c r="D590" s="43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7"/>
      <c r="P590" s="7"/>
      <c r="Q590" s="45"/>
      <c r="R590" s="45"/>
      <c r="S590" s="45"/>
      <c r="T590" s="45"/>
      <c r="U590" s="45"/>
      <c r="V590" s="45"/>
      <c r="W590" s="45"/>
      <c r="X590" s="47"/>
      <c r="Y590" s="45"/>
      <c r="Z590" s="45"/>
      <c r="AA590" s="45"/>
      <c r="AB590" s="45"/>
      <c r="AC590" s="7"/>
      <c r="AD590" s="7"/>
      <c r="AE590" s="7"/>
      <c r="AF590" s="45"/>
    </row>
    <row r="591">
      <c r="B591" s="43"/>
      <c r="C591" s="43"/>
      <c r="D591" s="43"/>
      <c r="O591" s="7"/>
      <c r="P591" s="7"/>
      <c r="X591" s="47"/>
      <c r="AC591" s="7"/>
      <c r="AD591" s="7"/>
      <c r="AE591" s="7"/>
    </row>
    <row r="592">
      <c r="B592" s="43"/>
      <c r="C592" s="43"/>
      <c r="D592" s="43"/>
      <c r="O592" s="7"/>
      <c r="P592" s="7"/>
      <c r="X592" s="47"/>
      <c r="AC592" s="7"/>
      <c r="AD592" s="7"/>
      <c r="AE592" s="7"/>
    </row>
    <row r="593">
      <c r="B593" s="43"/>
      <c r="C593" s="43"/>
      <c r="D593" s="43"/>
      <c r="O593" s="7"/>
      <c r="P593" s="7"/>
      <c r="X593" s="47"/>
      <c r="AC593" s="7"/>
      <c r="AD593" s="7"/>
      <c r="AE593" s="7"/>
    </row>
    <row r="594">
      <c r="B594" s="43"/>
      <c r="C594" s="43"/>
      <c r="D594" s="43"/>
      <c r="O594" s="7"/>
      <c r="P594" s="7"/>
      <c r="X594" s="47"/>
      <c r="AC594" s="7"/>
      <c r="AD594" s="7"/>
      <c r="AE594" s="7"/>
    </row>
    <row r="595">
      <c r="B595" s="43"/>
      <c r="C595" s="43"/>
      <c r="D595" s="43"/>
      <c r="O595" s="7"/>
      <c r="P595" s="7"/>
      <c r="X595" s="47"/>
      <c r="AC595" s="7"/>
      <c r="AD595" s="7"/>
      <c r="AE595" s="7"/>
    </row>
    <row r="596">
      <c r="B596" s="43"/>
      <c r="C596" s="43"/>
      <c r="D596" s="43"/>
      <c r="O596" s="7"/>
      <c r="P596" s="7"/>
      <c r="X596" s="47"/>
      <c r="AC596" s="7"/>
      <c r="AD596" s="7"/>
      <c r="AE596" s="7"/>
    </row>
    <row r="597">
      <c r="B597" s="43"/>
      <c r="C597" s="43"/>
      <c r="D597" s="43"/>
      <c r="O597" s="7"/>
      <c r="P597" s="7"/>
      <c r="X597" s="47"/>
      <c r="AC597" s="7"/>
      <c r="AD597" s="7"/>
      <c r="AE597" s="7"/>
    </row>
    <row r="598">
      <c r="B598" s="43"/>
      <c r="C598" s="43"/>
      <c r="D598" s="43"/>
      <c r="O598" s="7"/>
      <c r="P598" s="7"/>
      <c r="X598" s="47"/>
      <c r="AC598" s="7"/>
      <c r="AD598" s="7"/>
      <c r="AE598" s="7"/>
    </row>
    <row r="599">
      <c r="B599" s="43"/>
      <c r="C599" s="43"/>
      <c r="D599" s="43"/>
      <c r="O599" s="7"/>
      <c r="P599" s="7"/>
      <c r="X599" s="47"/>
      <c r="AC599" s="7"/>
      <c r="AD599" s="7"/>
      <c r="AE599" s="7"/>
    </row>
    <row r="600">
      <c r="B600" s="43"/>
      <c r="C600" s="43"/>
      <c r="D600" s="43"/>
      <c r="O600" s="7"/>
      <c r="P600" s="7"/>
      <c r="X600" s="47"/>
      <c r="AC600" s="7"/>
      <c r="AD600" s="7"/>
      <c r="AE600" s="7"/>
    </row>
    <row r="601">
      <c r="B601" s="43"/>
      <c r="C601" s="43"/>
      <c r="D601" s="43"/>
      <c r="O601" s="7"/>
      <c r="P601" s="7"/>
      <c r="X601" s="47"/>
      <c r="AC601" s="7"/>
      <c r="AD601" s="7"/>
      <c r="AE601" s="7"/>
    </row>
    <row r="602">
      <c r="B602" s="43"/>
      <c r="C602" s="43"/>
      <c r="D602" s="43"/>
      <c r="O602" s="7"/>
      <c r="P602" s="7"/>
      <c r="X602" s="47"/>
      <c r="AC602" s="7"/>
      <c r="AD602" s="7"/>
      <c r="AE602" s="7"/>
    </row>
    <row r="603">
      <c r="B603" s="43"/>
      <c r="C603" s="43"/>
      <c r="D603" s="43"/>
      <c r="O603" s="7"/>
      <c r="P603" s="7"/>
      <c r="X603" s="47"/>
      <c r="AC603" s="7"/>
      <c r="AD603" s="7"/>
      <c r="AE603" s="7"/>
    </row>
    <row r="604">
      <c r="B604" s="43"/>
      <c r="C604" s="43"/>
      <c r="D604" s="43"/>
      <c r="O604" s="7"/>
      <c r="P604" s="7"/>
      <c r="X604" s="47"/>
      <c r="AC604" s="7"/>
      <c r="AD604" s="7"/>
      <c r="AE604" s="7"/>
    </row>
    <row r="605">
      <c r="B605" s="43"/>
      <c r="C605" s="43"/>
      <c r="D605" s="43"/>
      <c r="O605" s="7"/>
      <c r="P605" s="7"/>
      <c r="X605" s="47"/>
      <c r="AC605" s="7"/>
      <c r="AD605" s="7"/>
      <c r="AE605" s="7"/>
    </row>
    <row r="606">
      <c r="B606" s="43"/>
      <c r="C606" s="43"/>
      <c r="D606" s="43"/>
      <c r="O606" s="7"/>
      <c r="P606" s="7"/>
      <c r="X606" s="47"/>
      <c r="AC606" s="7"/>
      <c r="AD606" s="7"/>
      <c r="AE606" s="7"/>
    </row>
    <row r="607">
      <c r="B607" s="43"/>
      <c r="C607" s="43"/>
      <c r="D607" s="43"/>
      <c r="O607" s="7"/>
      <c r="P607" s="7"/>
      <c r="X607" s="47"/>
      <c r="AC607" s="7"/>
      <c r="AD607" s="7"/>
      <c r="AE607" s="7"/>
    </row>
    <row r="608">
      <c r="B608" s="43"/>
      <c r="C608" s="43"/>
      <c r="D608" s="43"/>
      <c r="O608" s="7"/>
      <c r="P608" s="7"/>
      <c r="X608" s="47"/>
      <c r="AC608" s="7"/>
      <c r="AD608" s="7"/>
      <c r="AE608" s="7"/>
    </row>
    <row r="609">
      <c r="B609" s="43"/>
      <c r="C609" s="43"/>
      <c r="D609" s="43"/>
      <c r="O609" s="7"/>
      <c r="P609" s="7"/>
      <c r="X609" s="47"/>
      <c r="AC609" s="7"/>
      <c r="AD609" s="7"/>
      <c r="AE609" s="7"/>
    </row>
    <row r="610">
      <c r="B610" s="43"/>
      <c r="C610" s="43"/>
      <c r="D610" s="43"/>
      <c r="O610" s="7"/>
      <c r="P610" s="7"/>
      <c r="X610" s="47"/>
      <c r="AC610" s="7"/>
      <c r="AD610" s="7"/>
      <c r="AE610" s="7"/>
    </row>
    <row r="611">
      <c r="B611" s="43"/>
      <c r="C611" s="43"/>
      <c r="D611" s="43"/>
      <c r="O611" s="7"/>
      <c r="P611" s="7"/>
      <c r="X611" s="47"/>
      <c r="AC611" s="7"/>
      <c r="AD611" s="7"/>
      <c r="AE611" s="7"/>
    </row>
    <row r="612">
      <c r="B612" s="43"/>
      <c r="C612" s="43"/>
      <c r="D612" s="43"/>
      <c r="O612" s="7"/>
      <c r="P612" s="7"/>
      <c r="X612" s="47"/>
      <c r="AC612" s="7"/>
      <c r="AD612" s="7"/>
      <c r="AE612" s="7"/>
    </row>
    <row r="613">
      <c r="B613" s="43"/>
      <c r="C613" s="43"/>
      <c r="D613" s="43"/>
      <c r="O613" s="7"/>
      <c r="P613" s="7"/>
      <c r="X613" s="47"/>
      <c r="AC613" s="7"/>
      <c r="AD613" s="7"/>
      <c r="AE613" s="7"/>
    </row>
    <row r="614">
      <c r="B614" s="43"/>
      <c r="C614" s="43"/>
      <c r="D614" s="43"/>
      <c r="O614" s="7"/>
      <c r="P614" s="7"/>
      <c r="X614" s="47"/>
      <c r="AC614" s="7"/>
      <c r="AD614" s="7"/>
      <c r="AE614" s="7"/>
    </row>
    <row r="615">
      <c r="B615" s="43"/>
      <c r="C615" s="43"/>
      <c r="D615" s="43"/>
      <c r="O615" s="7"/>
      <c r="P615" s="7"/>
      <c r="X615" s="47"/>
      <c r="AC615" s="7"/>
      <c r="AD615" s="7"/>
      <c r="AE615" s="7"/>
    </row>
    <row r="616">
      <c r="B616" s="43"/>
      <c r="C616" s="43"/>
      <c r="D616" s="43"/>
      <c r="O616" s="7"/>
      <c r="P616" s="7"/>
      <c r="X616" s="47"/>
      <c r="AC616" s="7"/>
      <c r="AD616" s="7"/>
      <c r="AE616" s="7"/>
    </row>
    <row r="617">
      <c r="B617" s="43"/>
      <c r="C617" s="43"/>
      <c r="D617" s="43"/>
      <c r="O617" s="7"/>
      <c r="P617" s="7"/>
      <c r="X617" s="47"/>
      <c r="AC617" s="7"/>
      <c r="AD617" s="7"/>
      <c r="AE617" s="7"/>
    </row>
    <row r="618">
      <c r="B618" s="43"/>
      <c r="C618" s="43"/>
      <c r="D618" s="43"/>
      <c r="O618" s="7"/>
      <c r="P618" s="7"/>
      <c r="X618" s="47"/>
      <c r="AC618" s="7"/>
      <c r="AD618" s="7"/>
      <c r="AE618" s="7"/>
    </row>
    <row r="619">
      <c r="B619" s="43"/>
      <c r="C619" s="43"/>
      <c r="D619" s="43"/>
      <c r="O619" s="7"/>
      <c r="P619" s="7"/>
      <c r="X619" s="47"/>
      <c r="AC619" s="7"/>
      <c r="AD619" s="7"/>
      <c r="AE619" s="7"/>
    </row>
    <row r="620">
      <c r="B620" s="43"/>
      <c r="C620" s="43"/>
      <c r="D620" s="43"/>
      <c r="O620" s="7"/>
      <c r="P620" s="7"/>
      <c r="X620" s="47"/>
      <c r="AC620" s="7"/>
      <c r="AD620" s="7"/>
      <c r="AE620" s="7"/>
    </row>
    <row r="621">
      <c r="B621" s="43"/>
      <c r="C621" s="43"/>
      <c r="D621" s="43"/>
      <c r="O621" s="7"/>
      <c r="P621" s="7"/>
      <c r="X621" s="47"/>
      <c r="AC621" s="7"/>
      <c r="AD621" s="7"/>
      <c r="AE621" s="7"/>
    </row>
    <row r="622">
      <c r="B622" s="43"/>
      <c r="C622" s="43"/>
      <c r="D622" s="43"/>
      <c r="O622" s="7"/>
      <c r="P622" s="7"/>
      <c r="X622" s="47"/>
      <c r="AC622" s="7"/>
      <c r="AD622" s="7"/>
      <c r="AE622" s="7"/>
    </row>
    <row r="623">
      <c r="B623" s="43"/>
      <c r="C623" s="43"/>
      <c r="D623" s="43"/>
      <c r="O623" s="7"/>
      <c r="P623" s="7"/>
      <c r="X623" s="47"/>
      <c r="AC623" s="7"/>
      <c r="AD623" s="7"/>
      <c r="AE623" s="7"/>
    </row>
    <row r="624">
      <c r="B624" s="43"/>
      <c r="C624" s="43"/>
      <c r="D624" s="43"/>
      <c r="O624" s="7"/>
      <c r="P624" s="7"/>
      <c r="X624" s="47"/>
      <c r="AC624" s="7"/>
      <c r="AD624" s="7"/>
      <c r="AE624" s="7"/>
    </row>
    <row r="625">
      <c r="B625" s="43"/>
      <c r="C625" s="43"/>
      <c r="D625" s="43"/>
      <c r="O625" s="7"/>
      <c r="P625" s="7"/>
      <c r="X625" s="47"/>
      <c r="AC625" s="7"/>
      <c r="AD625" s="7"/>
      <c r="AE625" s="7"/>
    </row>
    <row r="626">
      <c r="B626" s="43"/>
      <c r="C626" s="43"/>
      <c r="D626" s="43"/>
      <c r="O626" s="7"/>
      <c r="P626" s="7"/>
      <c r="X626" s="47"/>
      <c r="AC626" s="7"/>
      <c r="AD626" s="7"/>
      <c r="AE626" s="7"/>
    </row>
    <row r="627">
      <c r="B627" s="43"/>
      <c r="C627" s="43"/>
      <c r="D627" s="43"/>
      <c r="O627" s="7"/>
      <c r="P627" s="7"/>
      <c r="X627" s="47"/>
      <c r="AC627" s="7"/>
      <c r="AD627" s="7"/>
      <c r="AE627" s="7"/>
    </row>
    <row r="628">
      <c r="B628" s="43"/>
      <c r="C628" s="43"/>
      <c r="D628" s="43"/>
      <c r="O628" s="7"/>
      <c r="P628" s="7"/>
      <c r="X628" s="47"/>
      <c r="AC628" s="7"/>
      <c r="AD628" s="7"/>
      <c r="AE628" s="7"/>
    </row>
    <row r="629">
      <c r="B629" s="43"/>
      <c r="C629" s="43"/>
      <c r="D629" s="43"/>
      <c r="O629" s="7"/>
      <c r="P629" s="7"/>
      <c r="X629" s="47"/>
      <c r="AC629" s="7"/>
      <c r="AD629" s="7"/>
      <c r="AE629" s="7"/>
    </row>
    <row r="630">
      <c r="B630" s="43"/>
      <c r="C630" s="43"/>
      <c r="D630" s="43"/>
      <c r="O630" s="7"/>
      <c r="P630" s="7"/>
      <c r="X630" s="47"/>
      <c r="AC630" s="7"/>
      <c r="AD630" s="7"/>
      <c r="AE630" s="7"/>
    </row>
    <row r="631">
      <c r="B631" s="43"/>
      <c r="C631" s="43"/>
      <c r="D631" s="43"/>
      <c r="O631" s="7"/>
      <c r="P631" s="7"/>
      <c r="X631" s="47"/>
      <c r="AC631" s="7"/>
      <c r="AD631" s="7"/>
      <c r="AE631" s="7"/>
    </row>
    <row r="632">
      <c r="B632" s="43"/>
      <c r="C632" s="43"/>
      <c r="D632" s="43"/>
      <c r="O632" s="7"/>
      <c r="P632" s="7"/>
      <c r="X632" s="47"/>
      <c r="AC632" s="7"/>
      <c r="AD632" s="7"/>
      <c r="AE632" s="7"/>
    </row>
    <row r="633">
      <c r="B633" s="43"/>
      <c r="C633" s="43"/>
      <c r="D633" s="43"/>
      <c r="O633" s="7"/>
      <c r="P633" s="7"/>
      <c r="X633" s="47"/>
      <c r="AC633" s="7"/>
      <c r="AD633" s="7"/>
      <c r="AE633" s="7"/>
    </row>
    <row r="634">
      <c r="B634" s="43"/>
      <c r="C634" s="43"/>
      <c r="D634" s="43"/>
      <c r="O634" s="7"/>
      <c r="P634" s="7"/>
      <c r="X634" s="47"/>
      <c r="AC634" s="7"/>
      <c r="AD634" s="7"/>
      <c r="AE634" s="7"/>
    </row>
    <row r="635">
      <c r="B635" s="43"/>
      <c r="C635" s="43"/>
      <c r="D635" s="43"/>
      <c r="O635" s="7"/>
      <c r="P635" s="7"/>
      <c r="X635" s="47"/>
      <c r="AC635" s="7"/>
      <c r="AD635" s="7"/>
      <c r="AE635" s="7"/>
    </row>
    <row r="636">
      <c r="B636" s="43"/>
      <c r="C636" s="43"/>
      <c r="D636" s="43"/>
      <c r="O636" s="7"/>
      <c r="P636" s="7"/>
      <c r="X636" s="47"/>
      <c r="AC636" s="7"/>
      <c r="AD636" s="7"/>
      <c r="AE636" s="7"/>
    </row>
    <row r="637">
      <c r="B637" s="43"/>
      <c r="C637" s="43"/>
      <c r="D637" s="43"/>
      <c r="O637" s="7"/>
      <c r="P637" s="7"/>
      <c r="X637" s="47"/>
      <c r="AC637" s="7"/>
      <c r="AD637" s="7"/>
      <c r="AE637" s="7"/>
    </row>
    <row r="638">
      <c r="B638" s="43"/>
      <c r="C638" s="43"/>
      <c r="D638" s="43"/>
      <c r="O638" s="7"/>
      <c r="P638" s="7"/>
      <c r="X638" s="47"/>
      <c r="AC638" s="7"/>
      <c r="AD638" s="7"/>
      <c r="AE638" s="7"/>
    </row>
    <row r="639">
      <c r="B639" s="43"/>
      <c r="C639" s="43"/>
      <c r="D639" s="43"/>
      <c r="O639" s="7"/>
      <c r="P639" s="7"/>
      <c r="X639" s="47"/>
      <c r="AC639" s="7"/>
      <c r="AD639" s="7"/>
      <c r="AE639" s="7"/>
    </row>
    <row r="640">
      <c r="B640" s="43"/>
      <c r="C640" s="43"/>
      <c r="D640" s="43"/>
      <c r="O640" s="7"/>
      <c r="P640" s="7"/>
      <c r="X640" s="47"/>
      <c r="AC640" s="7"/>
      <c r="AD640" s="7"/>
      <c r="AE640" s="7"/>
    </row>
    <row r="641">
      <c r="B641" s="43"/>
      <c r="C641" s="43"/>
      <c r="D641" s="43"/>
      <c r="O641" s="7"/>
      <c r="P641" s="7"/>
      <c r="X641" s="47"/>
      <c r="AC641" s="7"/>
      <c r="AD641" s="7"/>
      <c r="AE641" s="7"/>
    </row>
    <row r="642">
      <c r="B642" s="43"/>
      <c r="C642" s="43"/>
      <c r="D642" s="43"/>
      <c r="O642" s="7"/>
      <c r="P642" s="7"/>
      <c r="X642" s="47"/>
      <c r="AC642" s="7"/>
      <c r="AD642" s="7"/>
      <c r="AE642" s="7"/>
    </row>
    <row r="643">
      <c r="B643" s="43"/>
      <c r="C643" s="43"/>
      <c r="D643" s="43"/>
      <c r="O643" s="7"/>
      <c r="P643" s="7"/>
      <c r="X643" s="47"/>
      <c r="AC643" s="7"/>
      <c r="AD643" s="7"/>
      <c r="AE643" s="7"/>
    </row>
    <row r="644">
      <c r="B644" s="43"/>
      <c r="C644" s="43"/>
      <c r="D644" s="43"/>
      <c r="O644" s="7"/>
      <c r="P644" s="7"/>
      <c r="X644" s="47"/>
      <c r="AC644" s="7"/>
      <c r="AD644" s="7"/>
      <c r="AE644" s="7"/>
    </row>
    <row r="645">
      <c r="B645" s="43"/>
      <c r="C645" s="43"/>
      <c r="D645" s="43"/>
      <c r="O645" s="7"/>
      <c r="P645" s="7"/>
      <c r="X645" s="47"/>
      <c r="AC645" s="7"/>
      <c r="AD645" s="7"/>
      <c r="AE645" s="7"/>
    </row>
    <row r="646">
      <c r="B646" s="43"/>
      <c r="C646" s="43"/>
      <c r="D646" s="43"/>
      <c r="O646" s="7"/>
      <c r="P646" s="7"/>
      <c r="X646" s="47"/>
      <c r="AC646" s="7"/>
      <c r="AD646" s="7"/>
      <c r="AE646" s="7"/>
    </row>
    <row r="647">
      <c r="B647" s="43"/>
      <c r="C647" s="43"/>
      <c r="D647" s="43"/>
      <c r="O647" s="7"/>
      <c r="P647" s="7"/>
      <c r="X647" s="47"/>
      <c r="AC647" s="7"/>
      <c r="AD647" s="7"/>
      <c r="AE647" s="7"/>
    </row>
    <row r="648">
      <c r="B648" s="43"/>
      <c r="C648" s="43"/>
      <c r="D648" s="43"/>
      <c r="O648" s="7"/>
      <c r="P648" s="7"/>
      <c r="X648" s="47"/>
      <c r="AC648" s="7"/>
      <c r="AD648" s="7"/>
      <c r="AE648" s="7"/>
    </row>
    <row r="649">
      <c r="B649" s="43"/>
      <c r="C649" s="43"/>
      <c r="D649" s="43"/>
      <c r="O649" s="7"/>
      <c r="P649" s="7"/>
      <c r="X649" s="47"/>
      <c r="AC649" s="7"/>
      <c r="AD649" s="7"/>
      <c r="AE649" s="7"/>
    </row>
    <row r="650">
      <c r="B650" s="43"/>
      <c r="C650" s="43"/>
      <c r="D650" s="43"/>
      <c r="O650" s="7"/>
      <c r="P650" s="7"/>
      <c r="X650" s="47"/>
      <c r="AC650" s="7"/>
      <c r="AD650" s="7"/>
      <c r="AE650" s="7"/>
    </row>
    <row r="651">
      <c r="B651" s="43"/>
      <c r="C651" s="43"/>
      <c r="D651" s="43"/>
      <c r="O651" s="7"/>
      <c r="P651" s="7"/>
      <c r="X651" s="47"/>
      <c r="AC651" s="7"/>
      <c r="AD651" s="7"/>
      <c r="AE651" s="7"/>
    </row>
    <row r="652">
      <c r="B652" s="43"/>
      <c r="C652" s="43"/>
      <c r="D652" s="43"/>
      <c r="O652" s="7"/>
      <c r="P652" s="7"/>
      <c r="X652" s="47"/>
      <c r="AC652" s="7"/>
      <c r="AD652" s="7"/>
      <c r="AE652" s="7"/>
    </row>
    <row r="653">
      <c r="B653" s="43"/>
      <c r="C653" s="43"/>
      <c r="D653" s="43"/>
      <c r="O653" s="7"/>
      <c r="P653" s="7"/>
      <c r="X653" s="47"/>
      <c r="AC653" s="7"/>
      <c r="AD653" s="7"/>
      <c r="AE653" s="7"/>
    </row>
    <row r="654">
      <c r="B654" s="43"/>
      <c r="C654" s="43"/>
      <c r="D654" s="43"/>
      <c r="O654" s="7"/>
      <c r="P654" s="7"/>
      <c r="X654" s="47"/>
      <c r="AC654" s="7"/>
      <c r="AD654" s="7"/>
      <c r="AE654" s="7"/>
    </row>
    <row r="655">
      <c r="B655" s="43"/>
      <c r="C655" s="43"/>
      <c r="D655" s="43"/>
      <c r="O655" s="7"/>
      <c r="P655" s="7"/>
      <c r="X655" s="47"/>
      <c r="AC655" s="7"/>
      <c r="AD655" s="7"/>
      <c r="AE655" s="7"/>
    </row>
    <row r="656">
      <c r="B656" s="43"/>
      <c r="C656" s="43"/>
      <c r="D656" s="43"/>
      <c r="O656" s="7"/>
      <c r="P656" s="7"/>
      <c r="X656" s="47"/>
      <c r="AC656" s="7"/>
      <c r="AD656" s="7"/>
      <c r="AE656" s="7"/>
    </row>
    <row r="657">
      <c r="B657" s="43"/>
      <c r="C657" s="43"/>
      <c r="D657" s="43"/>
      <c r="O657" s="7"/>
      <c r="P657" s="7"/>
      <c r="X657" s="47"/>
      <c r="AC657" s="7"/>
      <c r="AD657" s="7"/>
      <c r="AE657" s="7"/>
    </row>
    <row r="658">
      <c r="B658" s="43"/>
      <c r="C658" s="43"/>
      <c r="D658" s="43"/>
      <c r="O658" s="7"/>
      <c r="P658" s="7"/>
      <c r="X658" s="47"/>
      <c r="AC658" s="7"/>
      <c r="AD658" s="7"/>
      <c r="AE658" s="7"/>
    </row>
    <row r="659">
      <c r="B659" s="43"/>
      <c r="C659" s="43"/>
      <c r="D659" s="43"/>
      <c r="O659" s="7"/>
      <c r="P659" s="7"/>
      <c r="X659" s="47"/>
      <c r="AC659" s="7"/>
      <c r="AD659" s="7"/>
      <c r="AE659" s="7"/>
    </row>
    <row r="660">
      <c r="B660" s="43"/>
      <c r="C660" s="43"/>
      <c r="D660" s="43"/>
      <c r="O660" s="7"/>
      <c r="P660" s="7"/>
      <c r="X660" s="47"/>
      <c r="AC660" s="7"/>
      <c r="AD660" s="7"/>
      <c r="AE660" s="7"/>
    </row>
    <row r="661">
      <c r="B661" s="43"/>
      <c r="C661" s="43"/>
      <c r="D661" s="43"/>
      <c r="O661" s="7"/>
      <c r="P661" s="7"/>
      <c r="X661" s="47"/>
      <c r="AC661" s="7"/>
      <c r="AD661" s="7"/>
      <c r="AE661" s="7"/>
    </row>
    <row r="662">
      <c r="B662" s="43"/>
      <c r="C662" s="43"/>
      <c r="D662" s="43"/>
      <c r="O662" s="7"/>
      <c r="P662" s="7"/>
      <c r="X662" s="47"/>
      <c r="AC662" s="7"/>
      <c r="AD662" s="7"/>
      <c r="AE662" s="7"/>
    </row>
    <row r="663">
      <c r="B663" s="43"/>
      <c r="C663" s="43"/>
      <c r="D663" s="43"/>
      <c r="O663" s="7"/>
      <c r="P663" s="7"/>
      <c r="X663" s="47"/>
      <c r="AC663" s="7"/>
      <c r="AD663" s="7"/>
      <c r="AE663" s="7"/>
    </row>
    <row r="664">
      <c r="B664" s="43"/>
      <c r="C664" s="43"/>
      <c r="D664" s="43"/>
      <c r="O664" s="7"/>
      <c r="P664" s="7"/>
      <c r="X664" s="47"/>
      <c r="AC664" s="7"/>
      <c r="AD664" s="7"/>
      <c r="AE664" s="7"/>
    </row>
    <row r="665">
      <c r="B665" s="43"/>
      <c r="C665" s="43"/>
      <c r="D665" s="43"/>
      <c r="O665" s="7"/>
      <c r="P665" s="7"/>
      <c r="X665" s="47"/>
      <c r="AC665" s="7"/>
      <c r="AD665" s="7"/>
      <c r="AE665" s="7"/>
    </row>
    <row r="666">
      <c r="B666" s="43"/>
      <c r="C666" s="43"/>
      <c r="D666" s="43"/>
      <c r="O666" s="7"/>
      <c r="P666" s="7"/>
      <c r="X666" s="47"/>
      <c r="AC666" s="7"/>
      <c r="AD666" s="7"/>
      <c r="AE666" s="7"/>
    </row>
    <row r="667">
      <c r="B667" s="43"/>
      <c r="C667" s="43"/>
      <c r="D667" s="43"/>
      <c r="O667" s="7"/>
      <c r="P667" s="7"/>
      <c r="X667" s="47"/>
      <c r="AC667" s="7"/>
      <c r="AD667" s="7"/>
      <c r="AE667" s="7"/>
    </row>
    <row r="668">
      <c r="B668" s="43"/>
      <c r="C668" s="43"/>
      <c r="D668" s="43"/>
      <c r="O668" s="7"/>
      <c r="P668" s="7"/>
      <c r="X668" s="47"/>
      <c r="AC668" s="7"/>
      <c r="AD668" s="7"/>
      <c r="AE668" s="7"/>
    </row>
    <row r="669">
      <c r="B669" s="43"/>
      <c r="C669" s="43"/>
      <c r="D669" s="43"/>
      <c r="O669" s="7"/>
      <c r="P669" s="7"/>
      <c r="X669" s="47"/>
      <c r="AC669" s="7"/>
      <c r="AD669" s="7"/>
      <c r="AE669" s="7"/>
    </row>
    <row r="670">
      <c r="B670" s="43"/>
      <c r="C670" s="43"/>
      <c r="D670" s="43"/>
      <c r="O670" s="7"/>
      <c r="P670" s="7"/>
      <c r="X670" s="47"/>
      <c r="AC670" s="7"/>
      <c r="AD670" s="7"/>
      <c r="AE670" s="7"/>
    </row>
    <row r="671">
      <c r="B671" s="43"/>
      <c r="C671" s="43"/>
      <c r="D671" s="43"/>
      <c r="O671" s="7"/>
      <c r="P671" s="7"/>
      <c r="X671" s="47"/>
      <c r="AC671" s="7"/>
      <c r="AD671" s="7"/>
      <c r="AE671" s="7"/>
    </row>
    <row r="672">
      <c r="B672" s="43"/>
      <c r="C672" s="43"/>
      <c r="D672" s="43"/>
      <c r="O672" s="7"/>
      <c r="P672" s="7"/>
      <c r="X672" s="47"/>
      <c r="AC672" s="7"/>
      <c r="AD672" s="7"/>
      <c r="AE672" s="7"/>
    </row>
    <row r="673">
      <c r="B673" s="43"/>
      <c r="C673" s="43"/>
      <c r="D673" s="43"/>
      <c r="O673" s="7"/>
      <c r="P673" s="7"/>
      <c r="X673" s="47"/>
      <c r="AC673" s="7"/>
      <c r="AD673" s="7"/>
      <c r="AE673" s="7"/>
    </row>
    <row r="674">
      <c r="B674" s="43"/>
      <c r="C674" s="43"/>
      <c r="D674" s="43"/>
      <c r="O674" s="7"/>
      <c r="P674" s="7"/>
      <c r="X674" s="47"/>
      <c r="AC674" s="7"/>
      <c r="AD674" s="7"/>
      <c r="AE674" s="7"/>
    </row>
    <row r="675">
      <c r="B675" s="43"/>
      <c r="C675" s="43"/>
      <c r="D675" s="43"/>
      <c r="O675" s="7"/>
      <c r="P675" s="7"/>
      <c r="X675" s="47"/>
      <c r="AC675" s="7"/>
      <c r="AD675" s="7"/>
      <c r="AE675" s="7"/>
    </row>
    <row r="676">
      <c r="B676" s="43"/>
      <c r="C676" s="43"/>
      <c r="D676" s="43"/>
      <c r="O676" s="7"/>
      <c r="P676" s="7"/>
      <c r="X676" s="47"/>
      <c r="AC676" s="7"/>
      <c r="AD676" s="7"/>
      <c r="AE676" s="7"/>
    </row>
    <row r="677">
      <c r="B677" s="43"/>
      <c r="C677" s="43"/>
      <c r="D677" s="43"/>
      <c r="O677" s="7"/>
      <c r="P677" s="7"/>
      <c r="X677" s="47"/>
      <c r="AC677" s="7"/>
      <c r="AD677" s="7"/>
      <c r="AE677" s="7"/>
    </row>
    <row r="678">
      <c r="B678" s="43"/>
      <c r="C678" s="43"/>
      <c r="D678" s="43"/>
      <c r="O678" s="7"/>
      <c r="P678" s="7"/>
      <c r="X678" s="47"/>
      <c r="AC678" s="7"/>
      <c r="AD678" s="7"/>
      <c r="AE678" s="7"/>
    </row>
    <row r="679">
      <c r="B679" s="43"/>
      <c r="C679" s="43"/>
      <c r="D679" s="43"/>
      <c r="O679" s="7"/>
      <c r="P679" s="7"/>
      <c r="X679" s="47"/>
      <c r="AC679" s="7"/>
      <c r="AD679" s="7"/>
      <c r="AE679" s="7"/>
    </row>
    <row r="680">
      <c r="B680" s="43"/>
      <c r="C680" s="43"/>
      <c r="D680" s="43"/>
      <c r="O680" s="7"/>
      <c r="P680" s="7"/>
      <c r="X680" s="47"/>
      <c r="AC680" s="7"/>
      <c r="AD680" s="7"/>
      <c r="AE680" s="7"/>
    </row>
    <row r="681">
      <c r="B681" s="43"/>
      <c r="C681" s="43"/>
      <c r="D681" s="43"/>
      <c r="O681" s="7"/>
      <c r="P681" s="7"/>
      <c r="X681" s="47"/>
      <c r="AC681" s="7"/>
      <c r="AD681" s="7"/>
      <c r="AE681" s="7"/>
    </row>
    <row r="682">
      <c r="B682" s="43"/>
      <c r="C682" s="43"/>
      <c r="D682" s="43"/>
      <c r="O682" s="7"/>
      <c r="P682" s="7"/>
      <c r="X682" s="47"/>
      <c r="AC682" s="7"/>
      <c r="AD682" s="7"/>
      <c r="AE682" s="7"/>
    </row>
    <row r="683">
      <c r="B683" s="43"/>
      <c r="C683" s="43"/>
      <c r="D683" s="43"/>
      <c r="O683" s="7"/>
      <c r="P683" s="7"/>
      <c r="X683" s="47"/>
      <c r="AC683" s="7"/>
      <c r="AD683" s="7"/>
      <c r="AE683" s="7"/>
    </row>
    <row r="684">
      <c r="B684" s="43"/>
      <c r="C684" s="43"/>
      <c r="D684" s="43"/>
      <c r="O684" s="7"/>
      <c r="P684" s="7"/>
      <c r="X684" s="47"/>
      <c r="AC684" s="7"/>
      <c r="AD684" s="7"/>
      <c r="AE684" s="7"/>
    </row>
    <row r="685">
      <c r="B685" s="43"/>
      <c r="C685" s="43"/>
      <c r="D685" s="43"/>
      <c r="O685" s="7"/>
      <c r="P685" s="7"/>
      <c r="X685" s="47"/>
      <c r="AC685" s="7"/>
      <c r="AD685" s="7"/>
      <c r="AE685" s="7"/>
    </row>
    <row r="686">
      <c r="B686" s="43"/>
      <c r="C686" s="43"/>
      <c r="D686" s="43"/>
      <c r="O686" s="7"/>
      <c r="P686" s="7"/>
      <c r="X686" s="47"/>
      <c r="AC686" s="7"/>
      <c r="AD686" s="7"/>
      <c r="AE686" s="7"/>
    </row>
    <row r="687">
      <c r="B687" s="43"/>
      <c r="C687" s="43"/>
      <c r="D687" s="43"/>
      <c r="O687" s="7"/>
      <c r="P687" s="7"/>
      <c r="X687" s="47"/>
      <c r="AC687" s="7"/>
      <c r="AD687" s="7"/>
      <c r="AE687" s="7"/>
    </row>
    <row r="688">
      <c r="B688" s="43"/>
      <c r="C688" s="43"/>
      <c r="D688" s="43"/>
      <c r="O688" s="7"/>
      <c r="P688" s="7"/>
      <c r="X688" s="47"/>
      <c r="AC688" s="7"/>
      <c r="AD688" s="7"/>
      <c r="AE688" s="7"/>
    </row>
    <row r="689">
      <c r="B689" s="43"/>
      <c r="C689" s="43"/>
      <c r="D689" s="43"/>
      <c r="O689" s="7"/>
      <c r="P689" s="7"/>
      <c r="X689" s="47"/>
      <c r="AC689" s="7"/>
      <c r="AD689" s="7"/>
      <c r="AE689" s="7"/>
    </row>
    <row r="690">
      <c r="B690" s="43"/>
      <c r="C690" s="43"/>
      <c r="D690" s="43"/>
      <c r="O690" s="7"/>
      <c r="P690" s="7"/>
      <c r="X690" s="47"/>
      <c r="AC690" s="7"/>
      <c r="AD690" s="7"/>
      <c r="AE690" s="7"/>
    </row>
    <row r="691">
      <c r="B691" s="43"/>
      <c r="C691" s="43"/>
      <c r="D691" s="43"/>
      <c r="O691" s="7"/>
      <c r="P691" s="7"/>
      <c r="X691" s="47"/>
      <c r="AC691" s="7"/>
      <c r="AD691" s="7"/>
      <c r="AE691" s="7"/>
    </row>
    <row r="692">
      <c r="B692" s="43"/>
      <c r="C692" s="43"/>
      <c r="D692" s="43"/>
      <c r="O692" s="7"/>
      <c r="P692" s="7"/>
      <c r="X692" s="47"/>
      <c r="AC692" s="7"/>
      <c r="AD692" s="7"/>
      <c r="AE692" s="7"/>
    </row>
    <row r="693">
      <c r="B693" s="43"/>
      <c r="C693" s="43"/>
      <c r="D693" s="43"/>
      <c r="O693" s="7"/>
      <c r="P693" s="7"/>
      <c r="X693" s="47"/>
      <c r="AC693" s="7"/>
      <c r="AD693" s="7"/>
      <c r="AE693" s="7"/>
    </row>
    <row r="694">
      <c r="B694" s="43"/>
      <c r="C694" s="43"/>
      <c r="D694" s="43"/>
      <c r="O694" s="7"/>
      <c r="P694" s="7"/>
      <c r="X694" s="47"/>
      <c r="AC694" s="7"/>
      <c r="AD694" s="7"/>
      <c r="AE694" s="7"/>
    </row>
    <row r="695">
      <c r="B695" s="43"/>
      <c r="C695" s="43"/>
      <c r="D695" s="43"/>
      <c r="O695" s="7"/>
      <c r="P695" s="7"/>
      <c r="X695" s="47"/>
      <c r="AC695" s="7"/>
      <c r="AD695" s="7"/>
      <c r="AE695" s="7"/>
    </row>
    <row r="696">
      <c r="B696" s="43"/>
      <c r="C696" s="43"/>
      <c r="D696" s="43"/>
      <c r="O696" s="7"/>
      <c r="P696" s="7"/>
      <c r="X696" s="47"/>
      <c r="AC696" s="7"/>
      <c r="AD696" s="7"/>
      <c r="AE696" s="7"/>
    </row>
    <row r="697">
      <c r="B697" s="43"/>
      <c r="C697" s="43"/>
      <c r="D697" s="43"/>
      <c r="O697" s="7"/>
      <c r="P697" s="7"/>
      <c r="X697" s="47"/>
      <c r="AC697" s="7"/>
      <c r="AD697" s="7"/>
      <c r="AE697" s="7"/>
    </row>
    <row r="698">
      <c r="B698" s="43"/>
      <c r="C698" s="43"/>
      <c r="D698" s="43"/>
      <c r="O698" s="7"/>
      <c r="P698" s="7"/>
      <c r="X698" s="47"/>
      <c r="AC698" s="7"/>
      <c r="AD698" s="7"/>
      <c r="AE698" s="7"/>
    </row>
    <row r="699">
      <c r="B699" s="43"/>
      <c r="C699" s="43"/>
      <c r="D699" s="43"/>
      <c r="O699" s="7"/>
      <c r="P699" s="7"/>
      <c r="X699" s="47"/>
      <c r="AC699" s="7"/>
      <c r="AD699" s="7"/>
      <c r="AE699" s="7"/>
    </row>
    <row r="700">
      <c r="B700" s="43"/>
      <c r="C700" s="43"/>
      <c r="D700" s="43"/>
      <c r="O700" s="7"/>
      <c r="P700" s="7"/>
      <c r="X700" s="47"/>
      <c r="AC700" s="7"/>
      <c r="AD700" s="7"/>
      <c r="AE700" s="7"/>
    </row>
    <row r="701">
      <c r="B701" s="43"/>
      <c r="C701" s="43"/>
      <c r="D701" s="43"/>
      <c r="O701" s="7"/>
      <c r="P701" s="7"/>
      <c r="X701" s="47"/>
      <c r="AC701" s="7"/>
      <c r="AD701" s="7"/>
      <c r="AE701" s="7"/>
    </row>
    <row r="702">
      <c r="B702" s="43"/>
      <c r="C702" s="43"/>
      <c r="D702" s="43"/>
      <c r="O702" s="7"/>
      <c r="P702" s="7"/>
      <c r="X702" s="47"/>
      <c r="AC702" s="7"/>
      <c r="AD702" s="7"/>
      <c r="AE702" s="7"/>
    </row>
    <row r="703">
      <c r="B703" s="43"/>
      <c r="C703" s="43"/>
      <c r="D703" s="43"/>
      <c r="O703" s="7"/>
      <c r="P703" s="7"/>
      <c r="X703" s="47"/>
      <c r="AC703" s="7"/>
      <c r="AD703" s="7"/>
      <c r="AE703" s="7"/>
    </row>
    <row r="704">
      <c r="B704" s="43"/>
      <c r="C704" s="43"/>
      <c r="D704" s="43"/>
      <c r="O704" s="7"/>
      <c r="P704" s="7"/>
      <c r="X704" s="47"/>
      <c r="AC704" s="7"/>
      <c r="AD704" s="7"/>
      <c r="AE704" s="7"/>
    </row>
    <row r="705">
      <c r="B705" s="43"/>
      <c r="C705" s="43"/>
      <c r="D705" s="43"/>
      <c r="O705" s="7"/>
      <c r="P705" s="7"/>
      <c r="X705" s="47"/>
      <c r="AC705" s="7"/>
      <c r="AD705" s="7"/>
      <c r="AE705" s="7"/>
    </row>
    <row r="706">
      <c r="B706" s="43"/>
      <c r="C706" s="43"/>
      <c r="D706" s="43"/>
      <c r="O706" s="7"/>
      <c r="P706" s="7"/>
      <c r="X706" s="47"/>
      <c r="AC706" s="7"/>
      <c r="AD706" s="7"/>
      <c r="AE706" s="7"/>
    </row>
    <row r="707">
      <c r="B707" s="43"/>
      <c r="C707" s="43"/>
      <c r="D707" s="43"/>
      <c r="O707" s="7"/>
      <c r="P707" s="7"/>
      <c r="X707" s="47"/>
      <c r="AC707" s="7"/>
      <c r="AD707" s="7"/>
      <c r="AE707" s="7"/>
    </row>
    <row r="708">
      <c r="B708" s="43"/>
      <c r="C708" s="43"/>
      <c r="D708" s="43"/>
      <c r="O708" s="7"/>
      <c r="P708" s="7"/>
      <c r="X708" s="47"/>
      <c r="AC708" s="7"/>
      <c r="AD708" s="7"/>
      <c r="AE708" s="7"/>
    </row>
    <row r="709">
      <c r="B709" s="43"/>
      <c r="C709" s="43"/>
      <c r="D709" s="43"/>
      <c r="O709" s="7"/>
      <c r="P709" s="7"/>
      <c r="X709" s="47"/>
      <c r="AC709" s="7"/>
      <c r="AD709" s="7"/>
      <c r="AE709" s="7"/>
    </row>
    <row r="710">
      <c r="B710" s="43"/>
      <c r="C710" s="43"/>
      <c r="D710" s="43"/>
      <c r="O710" s="7"/>
      <c r="P710" s="7"/>
      <c r="X710" s="47"/>
      <c r="AC710" s="7"/>
      <c r="AD710" s="7"/>
      <c r="AE710" s="7"/>
    </row>
    <row r="711">
      <c r="B711" s="43"/>
      <c r="C711" s="43"/>
      <c r="D711" s="43"/>
      <c r="O711" s="7"/>
      <c r="P711" s="7"/>
      <c r="X711" s="47"/>
      <c r="AC711" s="7"/>
      <c r="AD711" s="7"/>
      <c r="AE711" s="7"/>
    </row>
    <row r="712">
      <c r="B712" s="43"/>
      <c r="C712" s="43"/>
      <c r="D712" s="43"/>
      <c r="O712" s="7"/>
      <c r="P712" s="7"/>
      <c r="X712" s="47"/>
      <c r="AC712" s="7"/>
      <c r="AD712" s="7"/>
      <c r="AE712" s="7"/>
    </row>
    <row r="713">
      <c r="B713" s="43"/>
      <c r="C713" s="43"/>
      <c r="D713" s="43"/>
      <c r="O713" s="7"/>
      <c r="P713" s="7"/>
      <c r="X713" s="47"/>
      <c r="AC713" s="7"/>
      <c r="AD713" s="7"/>
      <c r="AE713" s="7"/>
    </row>
    <row r="714">
      <c r="B714" s="43"/>
      <c r="C714" s="43"/>
      <c r="D714" s="43"/>
      <c r="O714" s="7"/>
      <c r="P714" s="7"/>
      <c r="X714" s="47"/>
      <c r="AC714" s="7"/>
      <c r="AD714" s="7"/>
      <c r="AE714" s="7"/>
    </row>
    <row r="715">
      <c r="B715" s="43"/>
      <c r="C715" s="43"/>
      <c r="D715" s="43"/>
      <c r="O715" s="7"/>
      <c r="P715" s="7"/>
      <c r="X715" s="47"/>
      <c r="AC715" s="7"/>
      <c r="AD715" s="7"/>
      <c r="AE715" s="7"/>
    </row>
    <row r="716">
      <c r="B716" s="43"/>
      <c r="C716" s="43"/>
      <c r="D716" s="43"/>
      <c r="O716" s="7"/>
      <c r="P716" s="7"/>
      <c r="X716" s="47"/>
      <c r="AC716" s="7"/>
      <c r="AD716" s="7"/>
      <c r="AE716" s="7"/>
    </row>
    <row r="717">
      <c r="B717" s="43"/>
      <c r="C717" s="43"/>
      <c r="D717" s="43"/>
      <c r="O717" s="7"/>
      <c r="P717" s="7"/>
      <c r="X717" s="47"/>
      <c r="AC717" s="7"/>
      <c r="AD717" s="7"/>
      <c r="AE717" s="7"/>
    </row>
    <row r="718">
      <c r="B718" s="43"/>
      <c r="C718" s="43"/>
      <c r="D718" s="43"/>
      <c r="O718" s="7"/>
      <c r="P718" s="7"/>
      <c r="X718" s="47"/>
      <c r="AC718" s="7"/>
      <c r="AD718" s="7"/>
      <c r="AE718" s="7"/>
    </row>
    <row r="719">
      <c r="B719" s="43"/>
      <c r="C719" s="43"/>
      <c r="D719" s="43"/>
      <c r="O719" s="7"/>
      <c r="P719" s="7"/>
      <c r="X719" s="47"/>
      <c r="AC719" s="7"/>
      <c r="AD719" s="7"/>
      <c r="AE719" s="7"/>
    </row>
    <row r="720">
      <c r="B720" s="43"/>
      <c r="C720" s="43"/>
      <c r="D720" s="43"/>
      <c r="O720" s="7"/>
      <c r="P720" s="7"/>
      <c r="X720" s="47"/>
      <c r="AC720" s="7"/>
      <c r="AD720" s="7"/>
      <c r="AE720" s="7"/>
    </row>
    <row r="721">
      <c r="B721" s="43"/>
      <c r="C721" s="43"/>
      <c r="D721" s="43"/>
      <c r="O721" s="7"/>
      <c r="P721" s="7"/>
      <c r="X721" s="47"/>
      <c r="AC721" s="7"/>
      <c r="AD721" s="7"/>
      <c r="AE721" s="7"/>
    </row>
    <row r="722">
      <c r="B722" s="43"/>
      <c r="C722" s="43"/>
      <c r="D722" s="43"/>
      <c r="O722" s="7"/>
      <c r="P722" s="7"/>
      <c r="X722" s="47"/>
      <c r="AC722" s="7"/>
      <c r="AD722" s="7"/>
      <c r="AE722" s="7"/>
    </row>
    <row r="723">
      <c r="B723" s="43"/>
      <c r="C723" s="43"/>
      <c r="D723" s="43"/>
      <c r="O723" s="7"/>
      <c r="P723" s="7"/>
      <c r="X723" s="47"/>
      <c r="AC723" s="7"/>
      <c r="AD723" s="7"/>
      <c r="AE723" s="7"/>
    </row>
    <row r="724">
      <c r="B724" s="43"/>
      <c r="C724" s="43"/>
      <c r="D724" s="43"/>
      <c r="O724" s="7"/>
      <c r="P724" s="7"/>
      <c r="X724" s="47"/>
      <c r="AC724" s="7"/>
      <c r="AD724" s="7"/>
      <c r="AE724" s="7"/>
    </row>
    <row r="725">
      <c r="B725" s="43"/>
      <c r="C725" s="43"/>
      <c r="D725" s="43"/>
      <c r="O725" s="7"/>
      <c r="P725" s="7"/>
      <c r="X725" s="47"/>
      <c r="AC725" s="7"/>
      <c r="AD725" s="7"/>
      <c r="AE725" s="7"/>
    </row>
    <row r="726">
      <c r="B726" s="43"/>
      <c r="C726" s="43"/>
      <c r="D726" s="43"/>
      <c r="O726" s="7"/>
      <c r="P726" s="7"/>
      <c r="X726" s="47"/>
      <c r="AC726" s="7"/>
      <c r="AD726" s="7"/>
      <c r="AE726" s="7"/>
    </row>
    <row r="727">
      <c r="B727" s="43"/>
      <c r="C727" s="43"/>
      <c r="D727" s="43"/>
      <c r="O727" s="7"/>
      <c r="P727" s="7"/>
      <c r="X727" s="47"/>
      <c r="AC727" s="7"/>
      <c r="AD727" s="7"/>
      <c r="AE727" s="7"/>
    </row>
    <row r="728">
      <c r="B728" s="43"/>
      <c r="C728" s="43"/>
      <c r="D728" s="43"/>
      <c r="O728" s="7"/>
      <c r="P728" s="7"/>
      <c r="X728" s="47"/>
      <c r="AC728" s="7"/>
      <c r="AD728" s="7"/>
      <c r="AE728" s="7"/>
    </row>
    <row r="729">
      <c r="B729" s="43"/>
      <c r="C729" s="43"/>
      <c r="D729" s="43"/>
      <c r="O729" s="7"/>
      <c r="P729" s="7"/>
      <c r="X729" s="47"/>
      <c r="AC729" s="7"/>
      <c r="AD729" s="7"/>
      <c r="AE729" s="7"/>
    </row>
    <row r="730">
      <c r="B730" s="43"/>
      <c r="C730" s="43"/>
      <c r="D730" s="43"/>
      <c r="O730" s="7"/>
      <c r="P730" s="7"/>
      <c r="X730" s="47"/>
      <c r="AC730" s="7"/>
      <c r="AD730" s="7"/>
      <c r="AE730" s="7"/>
    </row>
    <row r="731">
      <c r="B731" s="43"/>
      <c r="C731" s="43"/>
      <c r="D731" s="43"/>
      <c r="O731" s="7"/>
      <c r="P731" s="7"/>
      <c r="X731" s="47"/>
      <c r="AC731" s="7"/>
      <c r="AD731" s="7"/>
      <c r="AE731" s="7"/>
    </row>
    <row r="732">
      <c r="B732" s="43"/>
      <c r="C732" s="43"/>
      <c r="D732" s="43"/>
      <c r="O732" s="7"/>
      <c r="P732" s="7"/>
      <c r="X732" s="47"/>
      <c r="AC732" s="7"/>
      <c r="AD732" s="7"/>
      <c r="AE732" s="7"/>
    </row>
    <row r="733">
      <c r="B733" s="43"/>
      <c r="C733" s="43"/>
      <c r="D733" s="43"/>
      <c r="O733" s="7"/>
      <c r="P733" s="7"/>
      <c r="X733" s="47"/>
      <c r="AC733" s="7"/>
      <c r="AD733" s="7"/>
      <c r="AE733" s="7"/>
    </row>
    <row r="734">
      <c r="B734" s="43"/>
      <c r="C734" s="43"/>
      <c r="D734" s="43"/>
      <c r="O734" s="7"/>
      <c r="P734" s="7"/>
      <c r="X734" s="47"/>
      <c r="AC734" s="7"/>
      <c r="AD734" s="7"/>
      <c r="AE734" s="7"/>
    </row>
    <row r="735">
      <c r="B735" s="43"/>
      <c r="C735" s="43"/>
      <c r="D735" s="43"/>
      <c r="O735" s="7"/>
      <c r="P735" s="7"/>
      <c r="X735" s="47"/>
      <c r="AC735" s="7"/>
      <c r="AD735" s="7"/>
      <c r="AE735" s="7"/>
    </row>
    <row r="736">
      <c r="B736" s="43"/>
      <c r="C736" s="43"/>
      <c r="D736" s="43"/>
      <c r="O736" s="7"/>
      <c r="P736" s="7"/>
      <c r="X736" s="47"/>
      <c r="AC736" s="7"/>
      <c r="AD736" s="7"/>
      <c r="AE736" s="7"/>
    </row>
    <row r="737">
      <c r="B737" s="43"/>
      <c r="C737" s="43"/>
      <c r="D737" s="43"/>
      <c r="O737" s="7"/>
      <c r="P737" s="7"/>
      <c r="X737" s="47"/>
      <c r="AC737" s="7"/>
      <c r="AD737" s="7"/>
      <c r="AE737" s="7"/>
    </row>
    <row r="738">
      <c r="B738" s="43"/>
      <c r="C738" s="43"/>
      <c r="D738" s="43"/>
      <c r="O738" s="7"/>
      <c r="P738" s="7"/>
      <c r="X738" s="47"/>
      <c r="AC738" s="7"/>
      <c r="AD738" s="7"/>
      <c r="AE738" s="7"/>
    </row>
    <row r="739">
      <c r="B739" s="43"/>
      <c r="C739" s="43"/>
      <c r="D739" s="43"/>
      <c r="O739" s="7"/>
      <c r="P739" s="7"/>
      <c r="X739" s="47"/>
      <c r="AC739" s="7"/>
      <c r="AD739" s="7"/>
      <c r="AE739" s="7"/>
    </row>
    <row r="740">
      <c r="B740" s="43"/>
      <c r="C740" s="43"/>
      <c r="D740" s="43"/>
      <c r="O740" s="7"/>
      <c r="P740" s="7"/>
      <c r="X740" s="47"/>
      <c r="AC740" s="7"/>
      <c r="AD740" s="7"/>
      <c r="AE740" s="7"/>
    </row>
    <row r="741">
      <c r="B741" s="43"/>
      <c r="C741" s="43"/>
      <c r="D741" s="43"/>
      <c r="O741" s="7"/>
      <c r="P741" s="7"/>
      <c r="X741" s="47"/>
      <c r="AC741" s="7"/>
      <c r="AD741" s="7"/>
      <c r="AE741" s="7"/>
    </row>
    <row r="742">
      <c r="B742" s="43"/>
      <c r="C742" s="43"/>
      <c r="D742" s="43"/>
      <c r="O742" s="7"/>
      <c r="P742" s="7"/>
      <c r="X742" s="47"/>
      <c r="AC742" s="7"/>
      <c r="AD742" s="7"/>
      <c r="AE742" s="7"/>
    </row>
    <row r="743">
      <c r="B743" s="43"/>
      <c r="C743" s="43"/>
      <c r="D743" s="43"/>
      <c r="O743" s="7"/>
      <c r="P743" s="7"/>
      <c r="X743" s="47"/>
      <c r="AC743" s="7"/>
      <c r="AD743" s="7"/>
      <c r="AE743" s="7"/>
    </row>
    <row r="744">
      <c r="B744" s="43"/>
      <c r="C744" s="43"/>
      <c r="D744" s="43"/>
      <c r="O744" s="7"/>
      <c r="P744" s="7"/>
      <c r="X744" s="47"/>
      <c r="AC744" s="7"/>
      <c r="AD744" s="7"/>
      <c r="AE744" s="7"/>
    </row>
    <row r="745">
      <c r="B745" s="43"/>
      <c r="C745" s="43"/>
      <c r="D745" s="43"/>
      <c r="O745" s="7"/>
      <c r="P745" s="7"/>
      <c r="X745" s="47"/>
      <c r="AC745" s="7"/>
      <c r="AD745" s="7"/>
      <c r="AE745" s="7"/>
    </row>
    <row r="746">
      <c r="B746" s="43"/>
      <c r="C746" s="43"/>
      <c r="D746" s="43"/>
      <c r="O746" s="7"/>
      <c r="P746" s="7"/>
      <c r="X746" s="47"/>
      <c r="AC746" s="7"/>
      <c r="AD746" s="7"/>
      <c r="AE746" s="7"/>
    </row>
    <row r="747">
      <c r="B747" s="43"/>
      <c r="C747" s="43"/>
      <c r="D747" s="43"/>
      <c r="O747" s="7"/>
      <c r="P747" s="7"/>
      <c r="X747" s="47"/>
      <c r="AC747" s="7"/>
      <c r="AD747" s="7"/>
      <c r="AE747" s="7"/>
    </row>
    <row r="748">
      <c r="B748" s="43"/>
      <c r="C748" s="43"/>
      <c r="D748" s="43"/>
      <c r="O748" s="7"/>
      <c r="P748" s="7"/>
      <c r="X748" s="47"/>
      <c r="AC748" s="7"/>
      <c r="AD748" s="7"/>
      <c r="AE748" s="7"/>
    </row>
    <row r="749">
      <c r="B749" s="43"/>
      <c r="C749" s="43"/>
      <c r="D749" s="43"/>
      <c r="O749" s="7"/>
      <c r="P749" s="7"/>
      <c r="X749" s="47"/>
      <c r="AC749" s="7"/>
      <c r="AD749" s="7"/>
      <c r="AE749" s="7"/>
    </row>
    <row r="750">
      <c r="B750" s="43"/>
      <c r="C750" s="43"/>
      <c r="D750" s="43"/>
      <c r="O750" s="7"/>
      <c r="P750" s="7"/>
      <c r="X750" s="47"/>
      <c r="AC750" s="7"/>
      <c r="AD750" s="7"/>
      <c r="AE750" s="7"/>
    </row>
    <row r="751">
      <c r="B751" s="43"/>
      <c r="C751" s="43"/>
      <c r="D751" s="43"/>
      <c r="O751" s="7"/>
      <c r="P751" s="7"/>
      <c r="X751" s="47"/>
      <c r="AC751" s="7"/>
      <c r="AD751" s="7"/>
      <c r="AE751" s="7"/>
    </row>
    <row r="752">
      <c r="B752" s="43"/>
      <c r="C752" s="43"/>
      <c r="D752" s="43"/>
      <c r="O752" s="7"/>
      <c r="P752" s="7"/>
      <c r="X752" s="47"/>
      <c r="AC752" s="7"/>
      <c r="AD752" s="7"/>
      <c r="AE752" s="7"/>
    </row>
    <row r="753">
      <c r="B753" s="43"/>
      <c r="C753" s="43"/>
      <c r="D753" s="43"/>
      <c r="O753" s="7"/>
      <c r="P753" s="7"/>
      <c r="X753" s="47"/>
      <c r="AC753" s="7"/>
      <c r="AD753" s="7"/>
      <c r="AE753" s="7"/>
    </row>
    <row r="754">
      <c r="B754" s="43"/>
      <c r="C754" s="43"/>
      <c r="D754" s="43"/>
      <c r="O754" s="7"/>
      <c r="P754" s="7"/>
      <c r="X754" s="47"/>
      <c r="AC754" s="7"/>
      <c r="AD754" s="7"/>
      <c r="AE754" s="7"/>
    </row>
    <row r="755">
      <c r="B755" s="43"/>
      <c r="C755" s="43"/>
      <c r="D755" s="43"/>
      <c r="O755" s="7"/>
      <c r="P755" s="7"/>
      <c r="X755" s="47"/>
      <c r="AC755" s="7"/>
      <c r="AD755" s="7"/>
      <c r="AE755" s="7"/>
    </row>
    <row r="756">
      <c r="B756" s="43"/>
      <c r="C756" s="43"/>
      <c r="D756" s="43"/>
      <c r="O756" s="7"/>
      <c r="P756" s="7"/>
      <c r="X756" s="47"/>
      <c r="AC756" s="7"/>
      <c r="AD756" s="7"/>
      <c r="AE756" s="7"/>
    </row>
    <row r="757">
      <c r="B757" s="43"/>
      <c r="C757" s="43"/>
      <c r="D757" s="43"/>
      <c r="O757" s="7"/>
      <c r="P757" s="7"/>
      <c r="X757" s="47"/>
      <c r="AC757" s="7"/>
      <c r="AD757" s="7"/>
      <c r="AE757" s="7"/>
    </row>
    <row r="758">
      <c r="B758" s="43"/>
      <c r="C758" s="43"/>
      <c r="D758" s="43"/>
      <c r="O758" s="7"/>
      <c r="P758" s="7"/>
      <c r="X758" s="47"/>
      <c r="AC758" s="7"/>
      <c r="AD758" s="7"/>
      <c r="AE758" s="7"/>
    </row>
    <row r="759">
      <c r="B759" s="43"/>
      <c r="C759" s="43"/>
      <c r="D759" s="43"/>
      <c r="O759" s="7"/>
      <c r="P759" s="7"/>
      <c r="X759" s="47"/>
      <c r="AC759" s="7"/>
      <c r="AD759" s="7"/>
      <c r="AE759" s="7"/>
    </row>
    <row r="760">
      <c r="B760" s="43"/>
      <c r="C760" s="43"/>
      <c r="D760" s="43"/>
      <c r="O760" s="7"/>
      <c r="P760" s="7"/>
      <c r="X760" s="47"/>
      <c r="AC760" s="7"/>
      <c r="AD760" s="7"/>
      <c r="AE760" s="7"/>
    </row>
    <row r="761">
      <c r="B761" s="43"/>
      <c r="C761" s="43"/>
      <c r="D761" s="43"/>
      <c r="O761" s="7"/>
      <c r="P761" s="7"/>
      <c r="X761" s="47"/>
      <c r="AC761" s="7"/>
      <c r="AD761" s="7"/>
      <c r="AE761" s="7"/>
    </row>
    <row r="762">
      <c r="B762" s="43"/>
      <c r="C762" s="43"/>
      <c r="D762" s="43"/>
      <c r="O762" s="7"/>
      <c r="P762" s="7"/>
      <c r="X762" s="47"/>
      <c r="AC762" s="7"/>
      <c r="AD762" s="7"/>
      <c r="AE762" s="7"/>
    </row>
    <row r="763">
      <c r="B763" s="43"/>
      <c r="C763" s="43"/>
      <c r="D763" s="43"/>
      <c r="O763" s="7"/>
      <c r="P763" s="7"/>
      <c r="X763" s="47"/>
      <c r="AC763" s="7"/>
      <c r="AD763" s="7"/>
      <c r="AE763" s="7"/>
    </row>
    <row r="764">
      <c r="B764" s="43"/>
      <c r="C764" s="43"/>
      <c r="D764" s="43"/>
      <c r="O764" s="7"/>
      <c r="P764" s="7"/>
      <c r="X764" s="47"/>
      <c r="AC764" s="7"/>
      <c r="AD764" s="7"/>
      <c r="AE764" s="7"/>
    </row>
    <row r="765">
      <c r="B765" s="43"/>
      <c r="C765" s="43"/>
      <c r="D765" s="43"/>
      <c r="O765" s="7"/>
      <c r="P765" s="7"/>
      <c r="X765" s="47"/>
      <c r="AC765" s="7"/>
      <c r="AD765" s="7"/>
      <c r="AE765" s="7"/>
    </row>
    <row r="766">
      <c r="B766" s="43"/>
      <c r="C766" s="43"/>
      <c r="D766" s="43"/>
      <c r="O766" s="7"/>
      <c r="P766" s="7"/>
      <c r="X766" s="47"/>
      <c r="AC766" s="7"/>
      <c r="AD766" s="7"/>
      <c r="AE766" s="7"/>
    </row>
    <row r="767">
      <c r="B767" s="43"/>
      <c r="C767" s="43"/>
      <c r="D767" s="43"/>
      <c r="O767" s="7"/>
      <c r="P767" s="7"/>
      <c r="X767" s="47"/>
      <c r="AC767" s="7"/>
      <c r="AD767" s="7"/>
      <c r="AE767" s="7"/>
    </row>
    <row r="768">
      <c r="B768" s="43"/>
      <c r="C768" s="43"/>
      <c r="D768" s="43"/>
      <c r="O768" s="7"/>
      <c r="P768" s="7"/>
      <c r="X768" s="47"/>
      <c r="AC768" s="7"/>
      <c r="AD768" s="7"/>
      <c r="AE768" s="7"/>
    </row>
    <row r="769">
      <c r="B769" s="43"/>
      <c r="C769" s="43"/>
      <c r="D769" s="43"/>
      <c r="O769" s="7"/>
      <c r="P769" s="7"/>
      <c r="X769" s="47"/>
      <c r="AC769" s="7"/>
      <c r="AD769" s="7"/>
      <c r="AE769" s="7"/>
    </row>
    <row r="770">
      <c r="B770" s="43"/>
      <c r="C770" s="43"/>
      <c r="D770" s="43"/>
      <c r="O770" s="7"/>
      <c r="P770" s="7"/>
      <c r="X770" s="47"/>
      <c r="AC770" s="7"/>
      <c r="AD770" s="7"/>
      <c r="AE770" s="7"/>
    </row>
    <row r="771">
      <c r="B771" s="43"/>
      <c r="C771" s="43"/>
      <c r="D771" s="43"/>
      <c r="O771" s="7"/>
      <c r="P771" s="7"/>
      <c r="X771" s="47"/>
      <c r="AC771" s="7"/>
      <c r="AD771" s="7"/>
      <c r="AE771" s="7"/>
    </row>
    <row r="772">
      <c r="B772" s="43"/>
      <c r="C772" s="43"/>
      <c r="D772" s="43"/>
      <c r="O772" s="7"/>
      <c r="P772" s="7"/>
      <c r="X772" s="47"/>
      <c r="AC772" s="7"/>
      <c r="AD772" s="7"/>
      <c r="AE772" s="7"/>
    </row>
    <row r="773">
      <c r="B773" s="43"/>
      <c r="C773" s="43"/>
      <c r="D773" s="43"/>
      <c r="O773" s="7"/>
      <c r="P773" s="7"/>
      <c r="X773" s="47"/>
      <c r="AC773" s="7"/>
      <c r="AD773" s="7"/>
      <c r="AE773" s="7"/>
    </row>
    <row r="774">
      <c r="B774" s="43"/>
      <c r="C774" s="43"/>
      <c r="D774" s="43"/>
      <c r="O774" s="7"/>
      <c r="P774" s="7"/>
      <c r="X774" s="47"/>
      <c r="AC774" s="7"/>
      <c r="AD774" s="7"/>
      <c r="AE774" s="7"/>
    </row>
    <row r="775">
      <c r="B775" s="43"/>
      <c r="C775" s="43"/>
      <c r="D775" s="43"/>
      <c r="O775" s="7"/>
      <c r="P775" s="7"/>
      <c r="X775" s="47"/>
      <c r="AC775" s="7"/>
      <c r="AD775" s="7"/>
      <c r="AE775" s="7"/>
    </row>
    <row r="776">
      <c r="B776" s="43"/>
      <c r="C776" s="43"/>
      <c r="D776" s="43"/>
      <c r="O776" s="7"/>
      <c r="P776" s="7"/>
      <c r="X776" s="47"/>
      <c r="AC776" s="7"/>
      <c r="AD776" s="7"/>
      <c r="AE776" s="7"/>
    </row>
    <row r="777">
      <c r="B777" s="43"/>
      <c r="C777" s="43"/>
      <c r="D777" s="43"/>
      <c r="O777" s="7"/>
      <c r="P777" s="7"/>
      <c r="X777" s="47"/>
      <c r="AC777" s="7"/>
      <c r="AD777" s="7"/>
      <c r="AE777" s="7"/>
    </row>
    <row r="778">
      <c r="B778" s="43"/>
      <c r="C778" s="43"/>
      <c r="D778" s="43"/>
      <c r="O778" s="7"/>
      <c r="P778" s="7"/>
      <c r="X778" s="47"/>
      <c r="AC778" s="7"/>
      <c r="AD778" s="7"/>
      <c r="AE778" s="7"/>
    </row>
    <row r="779">
      <c r="B779" s="43"/>
      <c r="C779" s="43"/>
      <c r="D779" s="43"/>
      <c r="O779" s="7"/>
      <c r="P779" s="7"/>
      <c r="X779" s="47"/>
      <c r="AC779" s="7"/>
      <c r="AD779" s="7"/>
      <c r="AE779" s="7"/>
    </row>
    <row r="780">
      <c r="B780" s="43"/>
      <c r="C780" s="43"/>
      <c r="D780" s="43"/>
      <c r="O780" s="7"/>
      <c r="P780" s="7"/>
      <c r="X780" s="47"/>
      <c r="AC780" s="7"/>
      <c r="AD780" s="7"/>
      <c r="AE780" s="7"/>
    </row>
    <row r="781">
      <c r="B781" s="43"/>
      <c r="C781" s="43"/>
      <c r="D781" s="43"/>
      <c r="O781" s="7"/>
      <c r="P781" s="7"/>
      <c r="X781" s="47"/>
      <c r="AC781" s="7"/>
      <c r="AD781" s="7"/>
      <c r="AE781" s="7"/>
    </row>
    <row r="782">
      <c r="B782" s="43"/>
      <c r="C782" s="43"/>
      <c r="D782" s="43"/>
      <c r="O782" s="7"/>
      <c r="P782" s="7"/>
      <c r="X782" s="47"/>
      <c r="AC782" s="7"/>
      <c r="AD782" s="7"/>
      <c r="AE782" s="7"/>
    </row>
    <row r="783">
      <c r="B783" s="43"/>
      <c r="C783" s="43"/>
      <c r="D783" s="43"/>
      <c r="O783" s="7"/>
      <c r="P783" s="7"/>
      <c r="X783" s="47"/>
      <c r="AC783" s="7"/>
      <c r="AD783" s="7"/>
      <c r="AE783" s="7"/>
    </row>
    <row r="784">
      <c r="B784" s="43"/>
      <c r="C784" s="43"/>
      <c r="D784" s="43"/>
      <c r="O784" s="7"/>
      <c r="P784" s="7"/>
      <c r="X784" s="47"/>
      <c r="AC784" s="7"/>
      <c r="AD784" s="7"/>
      <c r="AE784" s="7"/>
    </row>
    <row r="785">
      <c r="B785" s="43"/>
      <c r="C785" s="43"/>
      <c r="D785" s="43"/>
      <c r="O785" s="7"/>
      <c r="P785" s="7"/>
      <c r="X785" s="47"/>
      <c r="AC785" s="7"/>
      <c r="AD785" s="7"/>
      <c r="AE785" s="7"/>
    </row>
    <row r="786">
      <c r="B786" s="43"/>
      <c r="C786" s="43"/>
      <c r="D786" s="43"/>
      <c r="O786" s="7"/>
      <c r="P786" s="7"/>
      <c r="X786" s="47"/>
      <c r="AC786" s="7"/>
      <c r="AD786" s="7"/>
      <c r="AE786" s="7"/>
    </row>
    <row r="787">
      <c r="B787" s="43"/>
      <c r="C787" s="43"/>
      <c r="D787" s="43"/>
      <c r="O787" s="7"/>
      <c r="P787" s="7"/>
      <c r="X787" s="47"/>
      <c r="AC787" s="7"/>
      <c r="AD787" s="7"/>
      <c r="AE787" s="7"/>
    </row>
    <row r="788">
      <c r="B788" s="43"/>
      <c r="C788" s="43"/>
      <c r="D788" s="43"/>
      <c r="O788" s="7"/>
      <c r="P788" s="7"/>
      <c r="X788" s="47"/>
      <c r="AC788" s="7"/>
      <c r="AD788" s="7"/>
      <c r="AE788" s="7"/>
    </row>
    <row r="789">
      <c r="B789" s="43"/>
      <c r="C789" s="43"/>
      <c r="D789" s="43"/>
      <c r="O789" s="7"/>
      <c r="P789" s="7"/>
      <c r="X789" s="47"/>
      <c r="AC789" s="7"/>
      <c r="AD789" s="7"/>
      <c r="AE789" s="7"/>
    </row>
    <row r="790">
      <c r="B790" s="43"/>
      <c r="C790" s="43"/>
      <c r="D790" s="43"/>
      <c r="O790" s="7"/>
      <c r="P790" s="7"/>
      <c r="X790" s="47"/>
      <c r="AC790" s="7"/>
      <c r="AD790" s="7"/>
      <c r="AE790" s="7"/>
    </row>
    <row r="791">
      <c r="B791" s="43"/>
      <c r="C791" s="43"/>
      <c r="D791" s="43"/>
      <c r="O791" s="7"/>
      <c r="P791" s="7"/>
      <c r="X791" s="47"/>
      <c r="AC791" s="7"/>
      <c r="AD791" s="7"/>
      <c r="AE791" s="7"/>
    </row>
    <row r="792">
      <c r="B792" s="43"/>
      <c r="C792" s="43"/>
      <c r="D792" s="43"/>
      <c r="O792" s="7"/>
      <c r="P792" s="7"/>
      <c r="X792" s="47"/>
      <c r="AC792" s="7"/>
      <c r="AD792" s="7"/>
      <c r="AE792" s="7"/>
    </row>
    <row r="793">
      <c r="B793" s="43"/>
      <c r="C793" s="43"/>
      <c r="D793" s="43"/>
      <c r="O793" s="7"/>
      <c r="P793" s="7"/>
      <c r="X793" s="47"/>
      <c r="AC793" s="7"/>
      <c r="AD793" s="7"/>
      <c r="AE793" s="7"/>
    </row>
    <row r="794">
      <c r="B794" s="43"/>
      <c r="C794" s="43"/>
      <c r="D794" s="43"/>
      <c r="O794" s="7"/>
      <c r="P794" s="7"/>
      <c r="X794" s="47"/>
      <c r="AC794" s="7"/>
      <c r="AD794" s="7"/>
      <c r="AE794" s="7"/>
    </row>
    <row r="795">
      <c r="B795" s="43"/>
      <c r="C795" s="43"/>
      <c r="D795" s="43"/>
      <c r="O795" s="7"/>
      <c r="P795" s="7"/>
      <c r="X795" s="47"/>
      <c r="AC795" s="7"/>
      <c r="AD795" s="7"/>
      <c r="AE795" s="7"/>
    </row>
    <row r="796">
      <c r="B796" s="43"/>
      <c r="C796" s="43"/>
      <c r="D796" s="43"/>
      <c r="O796" s="7"/>
      <c r="P796" s="7"/>
      <c r="X796" s="47"/>
      <c r="AC796" s="7"/>
      <c r="AD796" s="7"/>
      <c r="AE796" s="7"/>
    </row>
    <row r="797">
      <c r="B797" s="43"/>
      <c r="C797" s="43"/>
      <c r="D797" s="43"/>
      <c r="O797" s="7"/>
      <c r="P797" s="7"/>
      <c r="X797" s="47"/>
      <c r="AC797" s="7"/>
      <c r="AD797" s="7"/>
      <c r="AE797" s="7"/>
    </row>
    <row r="798">
      <c r="B798" s="43"/>
      <c r="C798" s="43"/>
      <c r="D798" s="43"/>
      <c r="O798" s="7"/>
      <c r="P798" s="7"/>
      <c r="X798" s="47"/>
      <c r="AC798" s="7"/>
      <c r="AD798" s="7"/>
      <c r="AE798" s="7"/>
    </row>
    <row r="799">
      <c r="B799" s="43"/>
      <c r="C799" s="43"/>
      <c r="D799" s="43"/>
      <c r="O799" s="7"/>
      <c r="P799" s="7"/>
      <c r="X799" s="47"/>
      <c r="AC799" s="7"/>
      <c r="AD799" s="7"/>
      <c r="AE799" s="7"/>
    </row>
    <row r="800">
      <c r="B800" s="43"/>
      <c r="C800" s="43"/>
      <c r="D800" s="43"/>
      <c r="O800" s="7"/>
      <c r="P800" s="7"/>
      <c r="X800" s="47"/>
      <c r="AC800" s="7"/>
      <c r="AD800" s="7"/>
      <c r="AE800" s="7"/>
    </row>
    <row r="801">
      <c r="B801" s="43"/>
      <c r="C801" s="43"/>
      <c r="D801" s="43"/>
      <c r="O801" s="7"/>
      <c r="P801" s="7"/>
      <c r="X801" s="47"/>
      <c r="AC801" s="7"/>
      <c r="AD801" s="7"/>
      <c r="AE801" s="7"/>
    </row>
    <row r="802">
      <c r="B802" s="43"/>
      <c r="C802" s="43"/>
      <c r="D802" s="43"/>
      <c r="O802" s="7"/>
      <c r="P802" s="7"/>
      <c r="X802" s="47"/>
      <c r="AC802" s="7"/>
      <c r="AD802" s="7"/>
      <c r="AE802" s="7"/>
    </row>
    <row r="803">
      <c r="B803" s="43"/>
      <c r="C803" s="43"/>
      <c r="D803" s="43"/>
      <c r="O803" s="7"/>
      <c r="P803" s="7"/>
      <c r="X803" s="47"/>
      <c r="AC803" s="7"/>
      <c r="AD803" s="7"/>
      <c r="AE803" s="7"/>
    </row>
    <row r="804">
      <c r="B804" s="43"/>
      <c r="C804" s="43"/>
      <c r="D804" s="43"/>
      <c r="O804" s="7"/>
      <c r="P804" s="7"/>
      <c r="X804" s="47"/>
      <c r="AC804" s="7"/>
      <c r="AD804" s="7"/>
      <c r="AE804" s="7"/>
    </row>
    <row r="805">
      <c r="B805" s="43"/>
      <c r="C805" s="43"/>
      <c r="D805" s="43"/>
      <c r="O805" s="7"/>
      <c r="P805" s="7"/>
      <c r="X805" s="47"/>
      <c r="AC805" s="7"/>
      <c r="AD805" s="7"/>
      <c r="AE805" s="7"/>
    </row>
    <row r="806">
      <c r="B806" s="43"/>
      <c r="C806" s="43"/>
      <c r="D806" s="43"/>
      <c r="O806" s="7"/>
      <c r="P806" s="7"/>
      <c r="X806" s="47"/>
      <c r="AC806" s="7"/>
      <c r="AD806" s="7"/>
      <c r="AE806" s="7"/>
    </row>
    <row r="807">
      <c r="B807" s="43"/>
      <c r="C807" s="43"/>
      <c r="D807" s="43"/>
      <c r="O807" s="7"/>
      <c r="P807" s="7"/>
      <c r="X807" s="47"/>
      <c r="AC807" s="7"/>
      <c r="AD807" s="7"/>
      <c r="AE807" s="7"/>
    </row>
    <row r="808">
      <c r="B808" s="43"/>
      <c r="C808" s="43"/>
      <c r="D808" s="43"/>
      <c r="O808" s="7"/>
      <c r="P808" s="7"/>
      <c r="X808" s="47"/>
      <c r="AC808" s="7"/>
      <c r="AD808" s="7"/>
      <c r="AE808" s="7"/>
    </row>
    <row r="809">
      <c r="B809" s="43"/>
      <c r="C809" s="43"/>
      <c r="D809" s="43"/>
      <c r="O809" s="7"/>
      <c r="P809" s="7"/>
      <c r="X809" s="47"/>
      <c r="AC809" s="7"/>
      <c r="AD809" s="7"/>
      <c r="AE809" s="7"/>
    </row>
    <row r="810">
      <c r="B810" s="43"/>
      <c r="C810" s="43"/>
      <c r="D810" s="43"/>
      <c r="O810" s="7"/>
      <c r="P810" s="7"/>
      <c r="X810" s="47"/>
      <c r="AC810" s="7"/>
      <c r="AD810" s="7"/>
      <c r="AE810" s="7"/>
    </row>
    <row r="811">
      <c r="B811" s="43"/>
      <c r="C811" s="43"/>
      <c r="D811" s="43"/>
      <c r="O811" s="7"/>
      <c r="P811" s="7"/>
      <c r="X811" s="47"/>
      <c r="AC811" s="7"/>
      <c r="AD811" s="7"/>
      <c r="AE811" s="7"/>
    </row>
    <row r="812">
      <c r="B812" s="43"/>
      <c r="C812" s="43"/>
      <c r="D812" s="43"/>
      <c r="O812" s="7"/>
      <c r="P812" s="7"/>
      <c r="X812" s="47"/>
      <c r="AC812" s="7"/>
      <c r="AD812" s="7"/>
      <c r="AE812" s="7"/>
    </row>
    <row r="813">
      <c r="B813" s="43"/>
      <c r="C813" s="43"/>
      <c r="D813" s="43"/>
      <c r="O813" s="7"/>
      <c r="P813" s="7"/>
      <c r="X813" s="47"/>
      <c r="AC813" s="7"/>
      <c r="AD813" s="7"/>
      <c r="AE813" s="7"/>
    </row>
    <row r="814">
      <c r="B814" s="43"/>
      <c r="C814" s="43"/>
      <c r="D814" s="43"/>
      <c r="O814" s="7"/>
      <c r="P814" s="7"/>
      <c r="X814" s="47"/>
      <c r="AC814" s="7"/>
      <c r="AD814" s="7"/>
      <c r="AE814" s="7"/>
    </row>
    <row r="815">
      <c r="B815" s="43"/>
      <c r="C815" s="43"/>
      <c r="D815" s="43"/>
      <c r="O815" s="7"/>
      <c r="P815" s="7"/>
      <c r="X815" s="47"/>
      <c r="AC815" s="7"/>
      <c r="AD815" s="7"/>
      <c r="AE815" s="7"/>
    </row>
    <row r="816">
      <c r="B816" s="43"/>
      <c r="C816" s="43"/>
      <c r="D816" s="43"/>
      <c r="O816" s="7"/>
      <c r="P816" s="7"/>
      <c r="X816" s="47"/>
      <c r="AC816" s="7"/>
      <c r="AD816" s="7"/>
      <c r="AE816" s="7"/>
    </row>
    <row r="817">
      <c r="B817" s="43"/>
      <c r="C817" s="43"/>
      <c r="D817" s="43"/>
      <c r="O817" s="7"/>
      <c r="P817" s="7"/>
      <c r="X817" s="47"/>
      <c r="AC817" s="7"/>
      <c r="AD817" s="7"/>
      <c r="AE817" s="7"/>
    </row>
    <row r="818">
      <c r="B818" s="43"/>
      <c r="C818" s="43"/>
      <c r="D818" s="43"/>
      <c r="O818" s="7"/>
      <c r="P818" s="7"/>
      <c r="X818" s="47"/>
      <c r="AC818" s="7"/>
      <c r="AD818" s="7"/>
      <c r="AE818" s="7"/>
    </row>
    <row r="819">
      <c r="B819" s="43"/>
      <c r="C819" s="43"/>
      <c r="D819" s="43"/>
      <c r="O819" s="7"/>
      <c r="P819" s="7"/>
      <c r="X819" s="47"/>
      <c r="AC819" s="7"/>
      <c r="AD819" s="7"/>
      <c r="AE819" s="7"/>
    </row>
    <row r="820">
      <c r="B820" s="43"/>
      <c r="C820" s="43"/>
      <c r="D820" s="43"/>
      <c r="O820" s="7"/>
      <c r="P820" s="7"/>
      <c r="X820" s="47"/>
      <c r="AC820" s="7"/>
      <c r="AD820" s="7"/>
      <c r="AE820" s="7"/>
    </row>
    <row r="821">
      <c r="B821" s="43"/>
      <c r="C821" s="43"/>
      <c r="D821" s="43"/>
      <c r="O821" s="7"/>
      <c r="P821" s="7"/>
      <c r="X821" s="47"/>
      <c r="AC821" s="7"/>
      <c r="AD821" s="7"/>
      <c r="AE821" s="7"/>
    </row>
    <row r="822">
      <c r="B822" s="43"/>
      <c r="C822" s="43"/>
      <c r="D822" s="43"/>
      <c r="O822" s="7"/>
      <c r="P822" s="7"/>
      <c r="X822" s="47"/>
      <c r="AC822" s="7"/>
      <c r="AD822" s="7"/>
      <c r="AE822" s="7"/>
    </row>
    <row r="823">
      <c r="B823" s="43"/>
      <c r="C823" s="43"/>
      <c r="D823" s="43"/>
      <c r="O823" s="7"/>
      <c r="P823" s="7"/>
      <c r="X823" s="47"/>
      <c r="AC823" s="7"/>
      <c r="AD823" s="7"/>
      <c r="AE823" s="7"/>
    </row>
    <row r="824">
      <c r="B824" s="43"/>
      <c r="C824" s="43"/>
      <c r="D824" s="43"/>
      <c r="O824" s="7"/>
      <c r="P824" s="7"/>
      <c r="X824" s="47"/>
      <c r="AC824" s="7"/>
      <c r="AD824" s="7"/>
      <c r="AE824" s="7"/>
    </row>
    <row r="825">
      <c r="B825" s="43"/>
      <c r="C825" s="43"/>
      <c r="D825" s="43"/>
      <c r="O825" s="7"/>
      <c r="P825" s="7"/>
      <c r="X825" s="47"/>
      <c r="AC825" s="7"/>
      <c r="AD825" s="7"/>
      <c r="AE825" s="7"/>
    </row>
    <row r="826">
      <c r="B826" s="43"/>
      <c r="C826" s="43"/>
      <c r="D826" s="43"/>
      <c r="O826" s="7"/>
      <c r="P826" s="7"/>
      <c r="X826" s="47"/>
      <c r="AC826" s="7"/>
      <c r="AD826" s="7"/>
      <c r="AE826" s="7"/>
    </row>
    <row r="827">
      <c r="B827" s="43"/>
      <c r="C827" s="43"/>
      <c r="D827" s="43"/>
      <c r="O827" s="7"/>
      <c r="P827" s="7"/>
      <c r="X827" s="47"/>
      <c r="AC827" s="7"/>
      <c r="AD827" s="7"/>
      <c r="AE827" s="7"/>
    </row>
    <row r="828">
      <c r="B828" s="43"/>
      <c r="C828" s="43"/>
      <c r="D828" s="43"/>
      <c r="O828" s="7"/>
      <c r="P828" s="7"/>
      <c r="X828" s="47"/>
      <c r="AC828" s="7"/>
      <c r="AD828" s="7"/>
      <c r="AE828" s="7"/>
    </row>
    <row r="829">
      <c r="B829" s="43"/>
      <c r="C829" s="43"/>
      <c r="D829" s="43"/>
      <c r="O829" s="7"/>
      <c r="P829" s="7"/>
      <c r="X829" s="47"/>
      <c r="AC829" s="7"/>
      <c r="AD829" s="7"/>
      <c r="AE829" s="7"/>
    </row>
    <row r="830">
      <c r="B830" s="43"/>
      <c r="C830" s="43"/>
      <c r="D830" s="43"/>
      <c r="O830" s="7"/>
      <c r="P830" s="7"/>
      <c r="X830" s="47"/>
      <c r="AC830" s="7"/>
      <c r="AD830" s="7"/>
      <c r="AE830" s="7"/>
    </row>
    <row r="831">
      <c r="B831" s="43"/>
      <c r="C831" s="43"/>
      <c r="D831" s="43"/>
      <c r="O831" s="7"/>
      <c r="P831" s="7"/>
      <c r="X831" s="47"/>
      <c r="AC831" s="7"/>
      <c r="AD831" s="7"/>
      <c r="AE831" s="7"/>
    </row>
    <row r="832">
      <c r="B832" s="43"/>
      <c r="C832" s="43"/>
      <c r="D832" s="43"/>
      <c r="O832" s="7"/>
      <c r="P832" s="7"/>
      <c r="X832" s="47"/>
      <c r="AC832" s="7"/>
      <c r="AD832" s="7"/>
      <c r="AE832" s="7"/>
    </row>
    <row r="833">
      <c r="B833" s="43"/>
      <c r="C833" s="43"/>
      <c r="D833" s="43"/>
      <c r="O833" s="7"/>
      <c r="P833" s="7"/>
      <c r="X833" s="47"/>
      <c r="AC833" s="7"/>
      <c r="AD833" s="7"/>
      <c r="AE833" s="7"/>
    </row>
    <row r="834">
      <c r="B834" s="43"/>
      <c r="C834" s="43"/>
      <c r="D834" s="43"/>
      <c r="O834" s="7"/>
      <c r="P834" s="7"/>
      <c r="X834" s="47"/>
      <c r="AC834" s="7"/>
      <c r="AD834" s="7"/>
      <c r="AE834" s="7"/>
    </row>
    <row r="835">
      <c r="B835" s="43"/>
      <c r="C835" s="43"/>
      <c r="D835" s="43"/>
      <c r="O835" s="7"/>
      <c r="P835" s="7"/>
      <c r="X835" s="47"/>
      <c r="AC835" s="7"/>
      <c r="AD835" s="7"/>
      <c r="AE835" s="7"/>
    </row>
    <row r="836">
      <c r="B836" s="43"/>
      <c r="C836" s="43"/>
      <c r="D836" s="43"/>
      <c r="O836" s="7"/>
      <c r="P836" s="7"/>
      <c r="X836" s="47"/>
      <c r="AC836" s="7"/>
      <c r="AD836" s="7"/>
      <c r="AE836" s="7"/>
    </row>
    <row r="837">
      <c r="B837" s="43"/>
      <c r="C837" s="43"/>
      <c r="D837" s="43"/>
      <c r="O837" s="7"/>
      <c r="P837" s="7"/>
      <c r="X837" s="47"/>
      <c r="AC837" s="7"/>
      <c r="AD837" s="7"/>
      <c r="AE837" s="7"/>
    </row>
    <row r="838">
      <c r="B838" s="43"/>
      <c r="C838" s="43"/>
      <c r="D838" s="43"/>
      <c r="O838" s="7"/>
      <c r="P838" s="7"/>
      <c r="X838" s="47"/>
      <c r="AC838" s="7"/>
      <c r="AD838" s="7"/>
      <c r="AE838" s="7"/>
    </row>
    <row r="839">
      <c r="B839" s="43"/>
      <c r="C839" s="43"/>
      <c r="D839" s="43"/>
      <c r="O839" s="7"/>
      <c r="P839" s="7"/>
      <c r="X839" s="47"/>
      <c r="AC839" s="7"/>
      <c r="AD839" s="7"/>
      <c r="AE839" s="7"/>
    </row>
    <row r="840">
      <c r="B840" s="43"/>
      <c r="C840" s="43"/>
      <c r="D840" s="43"/>
      <c r="O840" s="7"/>
      <c r="P840" s="7"/>
      <c r="X840" s="47"/>
      <c r="AC840" s="7"/>
      <c r="AD840" s="7"/>
      <c r="AE840" s="7"/>
    </row>
    <row r="841">
      <c r="B841" s="43"/>
      <c r="C841" s="43"/>
      <c r="D841" s="43"/>
      <c r="O841" s="7"/>
      <c r="P841" s="7"/>
      <c r="X841" s="47"/>
      <c r="AC841" s="7"/>
      <c r="AD841" s="7"/>
      <c r="AE841" s="7"/>
    </row>
    <row r="842">
      <c r="B842" s="43"/>
      <c r="C842" s="43"/>
      <c r="D842" s="43"/>
      <c r="O842" s="7"/>
      <c r="P842" s="7"/>
      <c r="X842" s="47"/>
      <c r="AC842" s="7"/>
      <c r="AD842" s="7"/>
      <c r="AE842" s="7"/>
    </row>
    <row r="843">
      <c r="B843" s="43"/>
      <c r="C843" s="43"/>
      <c r="D843" s="43"/>
      <c r="O843" s="7"/>
      <c r="P843" s="7"/>
      <c r="X843" s="47"/>
      <c r="AC843" s="7"/>
      <c r="AD843" s="7"/>
      <c r="AE843" s="7"/>
    </row>
    <row r="844">
      <c r="B844" s="43"/>
      <c r="C844" s="43"/>
      <c r="D844" s="43"/>
      <c r="O844" s="7"/>
      <c r="P844" s="7"/>
      <c r="X844" s="47"/>
      <c r="AC844" s="7"/>
      <c r="AD844" s="7"/>
      <c r="AE844" s="7"/>
    </row>
    <row r="845">
      <c r="B845" s="43"/>
      <c r="C845" s="43"/>
      <c r="D845" s="43"/>
      <c r="O845" s="7"/>
      <c r="P845" s="7"/>
      <c r="X845" s="47"/>
      <c r="AC845" s="7"/>
      <c r="AD845" s="7"/>
      <c r="AE845" s="7"/>
    </row>
    <row r="846">
      <c r="B846" s="43"/>
      <c r="C846" s="43"/>
      <c r="D846" s="43"/>
      <c r="O846" s="7"/>
      <c r="P846" s="7"/>
      <c r="X846" s="47"/>
      <c r="AC846" s="7"/>
      <c r="AD846" s="7"/>
      <c r="AE846" s="7"/>
    </row>
    <row r="847">
      <c r="B847" s="43"/>
      <c r="C847" s="43"/>
      <c r="D847" s="43"/>
      <c r="O847" s="7"/>
      <c r="P847" s="7"/>
      <c r="X847" s="47"/>
      <c r="AC847" s="7"/>
      <c r="AD847" s="7"/>
      <c r="AE847" s="7"/>
    </row>
    <row r="848">
      <c r="B848" s="43"/>
      <c r="C848" s="43"/>
      <c r="D848" s="43"/>
      <c r="O848" s="7"/>
      <c r="P848" s="7"/>
      <c r="X848" s="47"/>
      <c r="AC848" s="7"/>
      <c r="AD848" s="7"/>
      <c r="AE848" s="7"/>
    </row>
    <row r="849">
      <c r="B849" s="43"/>
      <c r="C849" s="43"/>
      <c r="D849" s="43"/>
      <c r="O849" s="7"/>
      <c r="P849" s="7"/>
      <c r="X849" s="47"/>
      <c r="AC849" s="7"/>
      <c r="AD849" s="7"/>
      <c r="AE849" s="7"/>
    </row>
    <row r="850">
      <c r="B850" s="43"/>
      <c r="C850" s="43"/>
      <c r="D850" s="43"/>
      <c r="O850" s="7"/>
      <c r="P850" s="7"/>
      <c r="X850" s="47"/>
      <c r="AC850" s="7"/>
      <c r="AD850" s="7"/>
      <c r="AE850" s="7"/>
    </row>
    <row r="851">
      <c r="B851" s="43"/>
      <c r="C851" s="43"/>
      <c r="D851" s="43"/>
      <c r="O851" s="7"/>
      <c r="P851" s="7"/>
      <c r="X851" s="47"/>
      <c r="AC851" s="7"/>
      <c r="AD851" s="7"/>
      <c r="AE851" s="7"/>
    </row>
    <row r="852">
      <c r="B852" s="43"/>
      <c r="C852" s="43"/>
      <c r="D852" s="43"/>
      <c r="O852" s="7"/>
      <c r="P852" s="7"/>
      <c r="X852" s="47"/>
      <c r="AC852" s="7"/>
      <c r="AD852" s="7"/>
      <c r="AE852" s="7"/>
    </row>
    <row r="853">
      <c r="B853" s="43"/>
      <c r="C853" s="43"/>
      <c r="D853" s="43"/>
      <c r="O853" s="7"/>
      <c r="P853" s="7"/>
      <c r="X853" s="47"/>
      <c r="AC853" s="7"/>
      <c r="AD853" s="7"/>
      <c r="AE853" s="7"/>
    </row>
    <row r="854">
      <c r="B854" s="43"/>
      <c r="C854" s="43"/>
      <c r="D854" s="43"/>
      <c r="O854" s="7"/>
      <c r="P854" s="7"/>
      <c r="X854" s="47"/>
      <c r="AC854" s="7"/>
      <c r="AD854" s="7"/>
      <c r="AE854" s="7"/>
    </row>
    <row r="855">
      <c r="B855" s="43"/>
      <c r="C855" s="43"/>
      <c r="D855" s="43"/>
      <c r="O855" s="7"/>
      <c r="P855" s="7"/>
      <c r="X855" s="47"/>
      <c r="AC855" s="7"/>
      <c r="AD855" s="7"/>
      <c r="AE855" s="7"/>
    </row>
    <row r="856">
      <c r="B856" s="43"/>
      <c r="C856" s="43"/>
      <c r="D856" s="43"/>
      <c r="O856" s="7"/>
      <c r="P856" s="7"/>
      <c r="X856" s="47"/>
      <c r="AC856" s="7"/>
      <c r="AD856" s="7"/>
      <c r="AE856" s="7"/>
    </row>
    <row r="857">
      <c r="B857" s="43"/>
      <c r="C857" s="43"/>
      <c r="D857" s="43"/>
      <c r="O857" s="7"/>
      <c r="P857" s="7"/>
      <c r="X857" s="47"/>
      <c r="AC857" s="7"/>
      <c r="AD857" s="7"/>
      <c r="AE857" s="7"/>
    </row>
    <row r="858">
      <c r="B858" s="43"/>
      <c r="C858" s="43"/>
      <c r="D858" s="43"/>
      <c r="O858" s="7"/>
      <c r="P858" s="7"/>
      <c r="X858" s="47"/>
      <c r="AC858" s="7"/>
      <c r="AD858" s="7"/>
      <c r="AE858" s="7"/>
    </row>
    <row r="859">
      <c r="B859" s="43"/>
      <c r="C859" s="43"/>
      <c r="D859" s="43"/>
      <c r="O859" s="7"/>
      <c r="P859" s="7"/>
      <c r="X859" s="47"/>
      <c r="AC859" s="7"/>
      <c r="AD859" s="7"/>
      <c r="AE859" s="7"/>
    </row>
    <row r="860">
      <c r="B860" s="43"/>
      <c r="C860" s="43"/>
      <c r="D860" s="43"/>
      <c r="O860" s="7"/>
      <c r="P860" s="7"/>
      <c r="X860" s="47"/>
      <c r="AC860" s="7"/>
      <c r="AD860" s="7"/>
      <c r="AE860" s="7"/>
    </row>
    <row r="861">
      <c r="B861" s="43"/>
      <c r="C861" s="43"/>
      <c r="D861" s="43"/>
      <c r="O861" s="7"/>
      <c r="P861" s="7"/>
      <c r="X861" s="47"/>
      <c r="AC861" s="7"/>
      <c r="AD861" s="7"/>
      <c r="AE861" s="7"/>
    </row>
    <row r="862">
      <c r="B862" s="43"/>
      <c r="C862" s="43"/>
      <c r="D862" s="43"/>
      <c r="O862" s="7"/>
      <c r="P862" s="7"/>
      <c r="X862" s="47"/>
      <c r="AC862" s="7"/>
      <c r="AD862" s="7"/>
      <c r="AE862" s="7"/>
    </row>
    <row r="863">
      <c r="B863" s="43"/>
      <c r="C863" s="43"/>
      <c r="D863" s="43"/>
      <c r="O863" s="7"/>
      <c r="P863" s="7"/>
      <c r="X863" s="47"/>
      <c r="AC863" s="7"/>
      <c r="AD863" s="7"/>
      <c r="AE863" s="7"/>
    </row>
    <row r="864">
      <c r="B864" s="43"/>
      <c r="C864" s="43"/>
      <c r="D864" s="43"/>
      <c r="O864" s="7"/>
      <c r="P864" s="7"/>
      <c r="X864" s="47"/>
      <c r="AC864" s="7"/>
      <c r="AD864" s="7"/>
      <c r="AE864" s="7"/>
    </row>
    <row r="865">
      <c r="B865" s="43"/>
      <c r="C865" s="43"/>
      <c r="D865" s="43"/>
      <c r="O865" s="7"/>
      <c r="P865" s="7"/>
      <c r="X865" s="47"/>
      <c r="AC865" s="7"/>
      <c r="AD865" s="7"/>
      <c r="AE865" s="7"/>
    </row>
    <row r="866">
      <c r="B866" s="43"/>
      <c r="C866" s="43"/>
      <c r="D866" s="43"/>
      <c r="O866" s="7"/>
      <c r="P866" s="7"/>
      <c r="X866" s="47"/>
      <c r="AC866" s="7"/>
      <c r="AD866" s="7"/>
      <c r="AE866" s="7"/>
    </row>
    <row r="867">
      <c r="B867" s="43"/>
      <c r="C867" s="43"/>
      <c r="D867" s="43"/>
      <c r="O867" s="7"/>
      <c r="P867" s="7"/>
      <c r="X867" s="47"/>
      <c r="AC867" s="7"/>
      <c r="AD867" s="7"/>
      <c r="AE867" s="7"/>
    </row>
    <row r="868">
      <c r="B868" s="43"/>
      <c r="C868" s="43"/>
      <c r="D868" s="43"/>
      <c r="O868" s="7"/>
      <c r="P868" s="7"/>
      <c r="X868" s="47"/>
      <c r="AC868" s="7"/>
      <c r="AD868" s="7"/>
      <c r="AE868" s="7"/>
    </row>
    <row r="869">
      <c r="B869" s="43"/>
      <c r="C869" s="43"/>
      <c r="D869" s="43"/>
      <c r="O869" s="7"/>
      <c r="P869" s="7"/>
      <c r="X869" s="47"/>
      <c r="AC869" s="7"/>
      <c r="AD869" s="7"/>
      <c r="AE869" s="7"/>
    </row>
    <row r="870">
      <c r="B870" s="43"/>
      <c r="C870" s="43"/>
      <c r="D870" s="43"/>
      <c r="O870" s="7"/>
      <c r="P870" s="7"/>
      <c r="X870" s="47"/>
      <c r="AC870" s="7"/>
      <c r="AD870" s="7"/>
      <c r="AE870" s="7"/>
    </row>
    <row r="871">
      <c r="B871" s="43"/>
      <c r="C871" s="43"/>
      <c r="D871" s="43"/>
      <c r="O871" s="7"/>
      <c r="P871" s="7"/>
      <c r="X871" s="47"/>
      <c r="AC871" s="7"/>
      <c r="AD871" s="7"/>
      <c r="AE871" s="7"/>
    </row>
    <row r="872">
      <c r="B872" s="43"/>
      <c r="C872" s="43"/>
      <c r="D872" s="43"/>
      <c r="O872" s="7"/>
      <c r="P872" s="7"/>
      <c r="X872" s="47"/>
      <c r="AC872" s="7"/>
      <c r="AD872" s="7"/>
      <c r="AE872" s="7"/>
    </row>
    <row r="873">
      <c r="B873" s="43"/>
      <c r="C873" s="43"/>
      <c r="D873" s="43"/>
      <c r="O873" s="7"/>
      <c r="P873" s="7"/>
      <c r="X873" s="47"/>
      <c r="AC873" s="7"/>
      <c r="AD873" s="7"/>
      <c r="AE873" s="7"/>
    </row>
    <row r="874">
      <c r="B874" s="43"/>
      <c r="C874" s="43"/>
      <c r="D874" s="43"/>
      <c r="O874" s="7"/>
      <c r="P874" s="7"/>
      <c r="X874" s="47"/>
      <c r="AC874" s="7"/>
      <c r="AD874" s="7"/>
      <c r="AE874" s="7"/>
    </row>
    <row r="875">
      <c r="B875" s="43"/>
      <c r="C875" s="43"/>
      <c r="D875" s="43"/>
      <c r="O875" s="7"/>
      <c r="P875" s="7"/>
      <c r="X875" s="47"/>
      <c r="AC875" s="7"/>
      <c r="AD875" s="7"/>
      <c r="AE875" s="7"/>
    </row>
    <row r="876">
      <c r="B876" s="43"/>
      <c r="C876" s="43"/>
      <c r="D876" s="43"/>
      <c r="O876" s="7"/>
      <c r="P876" s="7"/>
      <c r="X876" s="47"/>
      <c r="AC876" s="7"/>
      <c r="AD876" s="7"/>
      <c r="AE876" s="7"/>
    </row>
    <row r="877">
      <c r="B877" s="43"/>
      <c r="C877" s="43"/>
      <c r="D877" s="43"/>
      <c r="O877" s="7"/>
      <c r="P877" s="7"/>
      <c r="X877" s="47"/>
      <c r="AC877" s="7"/>
      <c r="AD877" s="7"/>
      <c r="AE877" s="7"/>
    </row>
    <row r="878">
      <c r="B878" s="43"/>
      <c r="C878" s="43"/>
      <c r="D878" s="43"/>
      <c r="O878" s="7"/>
      <c r="P878" s="7"/>
      <c r="X878" s="47"/>
      <c r="AC878" s="7"/>
      <c r="AD878" s="7"/>
      <c r="AE878" s="7"/>
    </row>
    <row r="879">
      <c r="B879" s="43"/>
      <c r="C879" s="43"/>
      <c r="D879" s="43"/>
      <c r="O879" s="7"/>
      <c r="P879" s="7"/>
      <c r="X879" s="47"/>
      <c r="AC879" s="7"/>
      <c r="AD879" s="7"/>
      <c r="AE879" s="7"/>
    </row>
    <row r="880">
      <c r="B880" s="43"/>
      <c r="C880" s="43"/>
      <c r="D880" s="43"/>
      <c r="O880" s="7"/>
      <c r="P880" s="7"/>
      <c r="X880" s="47"/>
      <c r="AC880" s="7"/>
      <c r="AD880" s="7"/>
      <c r="AE880" s="7"/>
    </row>
    <row r="881">
      <c r="B881" s="43"/>
      <c r="C881" s="43"/>
      <c r="D881" s="43"/>
      <c r="O881" s="7"/>
      <c r="P881" s="7"/>
      <c r="X881" s="47"/>
      <c r="AC881" s="7"/>
      <c r="AD881" s="7"/>
      <c r="AE881" s="7"/>
    </row>
    <row r="882">
      <c r="B882" s="43"/>
      <c r="C882" s="43"/>
      <c r="D882" s="43"/>
      <c r="O882" s="7"/>
      <c r="P882" s="7"/>
      <c r="X882" s="47"/>
      <c r="AC882" s="7"/>
      <c r="AD882" s="7"/>
      <c r="AE882" s="7"/>
    </row>
    <row r="883">
      <c r="B883" s="43"/>
      <c r="C883" s="43"/>
      <c r="D883" s="43"/>
      <c r="O883" s="7"/>
      <c r="P883" s="7"/>
      <c r="X883" s="47"/>
      <c r="AC883" s="7"/>
      <c r="AD883" s="7"/>
      <c r="AE883" s="7"/>
    </row>
    <row r="884">
      <c r="B884" s="43"/>
      <c r="C884" s="43"/>
      <c r="D884" s="43"/>
      <c r="O884" s="7"/>
      <c r="P884" s="7"/>
      <c r="X884" s="47"/>
      <c r="AC884" s="7"/>
      <c r="AD884" s="7"/>
      <c r="AE884" s="7"/>
    </row>
    <row r="885">
      <c r="B885" s="43"/>
      <c r="C885" s="43"/>
      <c r="D885" s="43"/>
      <c r="O885" s="7"/>
      <c r="P885" s="7"/>
      <c r="X885" s="47"/>
      <c r="AC885" s="7"/>
      <c r="AD885" s="7"/>
      <c r="AE885" s="7"/>
    </row>
    <row r="886">
      <c r="B886" s="43"/>
      <c r="C886" s="43"/>
      <c r="D886" s="43"/>
      <c r="O886" s="7"/>
      <c r="P886" s="7"/>
      <c r="X886" s="47"/>
      <c r="AC886" s="7"/>
      <c r="AD886" s="7"/>
      <c r="AE886" s="7"/>
    </row>
    <row r="887">
      <c r="B887" s="43"/>
      <c r="C887" s="43"/>
      <c r="D887" s="43"/>
      <c r="O887" s="7"/>
      <c r="P887" s="7"/>
      <c r="X887" s="47"/>
      <c r="AC887" s="7"/>
      <c r="AD887" s="7"/>
      <c r="AE887" s="7"/>
    </row>
    <row r="888">
      <c r="B888" s="43"/>
      <c r="C888" s="43"/>
      <c r="D888" s="43"/>
      <c r="O888" s="7"/>
      <c r="P888" s="7"/>
      <c r="X888" s="47"/>
      <c r="AC888" s="7"/>
      <c r="AD888" s="7"/>
      <c r="AE888" s="7"/>
    </row>
    <row r="889">
      <c r="B889" s="43"/>
      <c r="C889" s="43"/>
      <c r="D889" s="43"/>
      <c r="O889" s="7"/>
      <c r="P889" s="7"/>
      <c r="X889" s="47"/>
      <c r="AC889" s="7"/>
      <c r="AD889" s="7"/>
      <c r="AE889" s="7"/>
    </row>
    <row r="890">
      <c r="B890" s="43"/>
      <c r="C890" s="43"/>
      <c r="D890" s="43"/>
      <c r="O890" s="7"/>
      <c r="P890" s="7"/>
      <c r="X890" s="47"/>
      <c r="AC890" s="7"/>
      <c r="AD890" s="7"/>
      <c r="AE890" s="7"/>
    </row>
    <row r="891">
      <c r="B891" s="43"/>
      <c r="C891" s="43"/>
      <c r="D891" s="43"/>
      <c r="O891" s="7"/>
      <c r="P891" s="7"/>
      <c r="X891" s="47"/>
      <c r="AC891" s="7"/>
      <c r="AD891" s="7"/>
      <c r="AE891" s="7"/>
    </row>
    <row r="892">
      <c r="B892" s="43"/>
      <c r="C892" s="43"/>
      <c r="D892" s="43"/>
      <c r="O892" s="7"/>
      <c r="P892" s="7"/>
      <c r="X892" s="47"/>
      <c r="AC892" s="7"/>
      <c r="AD892" s="7"/>
      <c r="AE892" s="7"/>
    </row>
    <row r="893">
      <c r="B893" s="43"/>
      <c r="C893" s="43"/>
      <c r="D893" s="43"/>
      <c r="O893" s="7"/>
      <c r="P893" s="7"/>
      <c r="X893" s="47"/>
      <c r="AC893" s="7"/>
      <c r="AD893" s="7"/>
      <c r="AE893" s="7"/>
    </row>
    <row r="894">
      <c r="B894" s="43"/>
      <c r="C894" s="43"/>
      <c r="D894" s="43"/>
      <c r="O894" s="7"/>
      <c r="P894" s="7"/>
      <c r="X894" s="47"/>
      <c r="AC894" s="7"/>
      <c r="AD894" s="7"/>
      <c r="AE894" s="7"/>
    </row>
    <row r="895">
      <c r="B895" s="43"/>
      <c r="C895" s="43"/>
      <c r="D895" s="43"/>
      <c r="O895" s="7"/>
      <c r="P895" s="7"/>
      <c r="X895" s="47"/>
      <c r="AC895" s="7"/>
      <c r="AD895" s="7"/>
      <c r="AE895" s="7"/>
    </row>
    <row r="896">
      <c r="B896" s="43"/>
      <c r="C896" s="43"/>
      <c r="D896" s="43"/>
      <c r="O896" s="7"/>
      <c r="P896" s="7"/>
      <c r="X896" s="47"/>
      <c r="AC896" s="7"/>
      <c r="AD896" s="7"/>
      <c r="AE896" s="7"/>
    </row>
    <row r="897">
      <c r="B897" s="43"/>
      <c r="C897" s="43"/>
      <c r="D897" s="43"/>
      <c r="O897" s="7"/>
      <c r="P897" s="7"/>
      <c r="X897" s="47"/>
      <c r="AC897" s="7"/>
      <c r="AD897" s="7"/>
      <c r="AE897" s="7"/>
    </row>
    <row r="898">
      <c r="B898" s="43"/>
      <c r="C898" s="43"/>
      <c r="D898" s="43"/>
      <c r="O898" s="7"/>
      <c r="P898" s="7"/>
      <c r="X898" s="47"/>
      <c r="AC898" s="7"/>
      <c r="AD898" s="7"/>
      <c r="AE898" s="7"/>
    </row>
    <row r="899">
      <c r="B899" s="43"/>
      <c r="C899" s="43"/>
      <c r="D899" s="43"/>
      <c r="O899" s="7"/>
      <c r="P899" s="7"/>
      <c r="X899" s="47"/>
      <c r="AC899" s="7"/>
      <c r="AD899" s="7"/>
      <c r="AE899" s="7"/>
    </row>
    <row r="900">
      <c r="B900" s="43"/>
      <c r="C900" s="43"/>
      <c r="D900" s="43"/>
      <c r="O900" s="7"/>
      <c r="P900" s="7"/>
      <c r="X900" s="47"/>
      <c r="AC900" s="7"/>
      <c r="AD900" s="7"/>
      <c r="AE900" s="7"/>
    </row>
    <row r="901">
      <c r="B901" s="43"/>
      <c r="C901" s="43"/>
      <c r="D901" s="43"/>
      <c r="O901" s="7"/>
      <c r="P901" s="7"/>
      <c r="X901" s="47"/>
      <c r="AC901" s="7"/>
      <c r="AD901" s="7"/>
      <c r="AE901" s="7"/>
    </row>
    <row r="902">
      <c r="B902" s="43"/>
      <c r="C902" s="43"/>
      <c r="D902" s="43"/>
      <c r="O902" s="7"/>
      <c r="P902" s="7"/>
      <c r="X902" s="47"/>
      <c r="AC902" s="7"/>
      <c r="AD902" s="7"/>
      <c r="AE902" s="7"/>
    </row>
    <row r="903">
      <c r="B903" s="43"/>
      <c r="C903" s="43"/>
      <c r="D903" s="43"/>
      <c r="O903" s="7"/>
      <c r="P903" s="7"/>
      <c r="X903" s="47"/>
      <c r="AC903" s="7"/>
      <c r="AD903" s="7"/>
      <c r="AE903" s="7"/>
    </row>
    <row r="904">
      <c r="B904" s="43"/>
      <c r="C904" s="43"/>
      <c r="D904" s="43"/>
      <c r="O904" s="7"/>
      <c r="P904" s="7"/>
      <c r="X904" s="47"/>
      <c r="AC904" s="7"/>
      <c r="AD904" s="7"/>
      <c r="AE904" s="7"/>
    </row>
    <row r="905">
      <c r="B905" s="43"/>
      <c r="C905" s="43"/>
      <c r="D905" s="43"/>
      <c r="O905" s="7"/>
      <c r="P905" s="7"/>
      <c r="X905" s="47"/>
      <c r="AC905" s="7"/>
      <c r="AD905" s="7"/>
      <c r="AE905" s="7"/>
    </row>
    <row r="906">
      <c r="B906" s="43"/>
      <c r="C906" s="43"/>
      <c r="D906" s="43"/>
      <c r="O906" s="7"/>
      <c r="P906" s="7"/>
      <c r="X906" s="47"/>
      <c r="AC906" s="7"/>
      <c r="AD906" s="7"/>
      <c r="AE906" s="7"/>
    </row>
    <row r="907">
      <c r="B907" s="43"/>
      <c r="C907" s="43"/>
      <c r="D907" s="43"/>
      <c r="O907" s="7"/>
      <c r="P907" s="7"/>
      <c r="X907" s="47"/>
      <c r="AC907" s="7"/>
      <c r="AD907" s="7"/>
      <c r="AE907" s="7"/>
    </row>
    <row r="908">
      <c r="B908" s="43"/>
      <c r="C908" s="43"/>
      <c r="D908" s="43"/>
      <c r="O908" s="7"/>
      <c r="P908" s="7"/>
      <c r="X908" s="47"/>
      <c r="AC908" s="7"/>
      <c r="AD908" s="7"/>
      <c r="AE908" s="7"/>
    </row>
    <row r="909">
      <c r="B909" s="43"/>
      <c r="C909" s="43"/>
      <c r="D909" s="43"/>
      <c r="O909" s="7"/>
      <c r="P909" s="7"/>
      <c r="X909" s="47"/>
      <c r="AC909" s="7"/>
      <c r="AD909" s="7"/>
      <c r="AE909" s="7"/>
    </row>
    <row r="910">
      <c r="B910" s="43"/>
      <c r="C910" s="43"/>
      <c r="D910" s="43"/>
      <c r="O910" s="7"/>
      <c r="P910" s="7"/>
      <c r="X910" s="47"/>
      <c r="AC910" s="7"/>
      <c r="AD910" s="7"/>
      <c r="AE910" s="7"/>
    </row>
    <row r="911">
      <c r="B911" s="43"/>
      <c r="C911" s="43"/>
      <c r="D911" s="43"/>
      <c r="O911" s="7"/>
      <c r="P911" s="7"/>
      <c r="X911" s="47"/>
      <c r="AC911" s="7"/>
      <c r="AD911" s="7"/>
      <c r="AE911" s="7"/>
    </row>
    <row r="912">
      <c r="B912" s="43"/>
      <c r="C912" s="43"/>
      <c r="D912" s="43"/>
      <c r="O912" s="7"/>
      <c r="P912" s="7"/>
      <c r="X912" s="47"/>
      <c r="AC912" s="7"/>
      <c r="AD912" s="7"/>
      <c r="AE912" s="7"/>
    </row>
    <row r="913">
      <c r="B913" s="43"/>
      <c r="C913" s="43"/>
      <c r="D913" s="43"/>
      <c r="O913" s="7"/>
      <c r="P913" s="7"/>
      <c r="X913" s="47"/>
      <c r="AC913" s="7"/>
      <c r="AD913" s="7"/>
      <c r="AE913" s="7"/>
    </row>
    <row r="914">
      <c r="B914" s="43"/>
      <c r="C914" s="43"/>
      <c r="D914" s="43"/>
      <c r="O914" s="7"/>
      <c r="P914" s="7"/>
      <c r="X914" s="47"/>
      <c r="AC914" s="7"/>
      <c r="AD914" s="7"/>
      <c r="AE914" s="7"/>
    </row>
    <row r="915">
      <c r="B915" s="43"/>
      <c r="C915" s="43"/>
      <c r="D915" s="43"/>
      <c r="O915" s="7"/>
      <c r="P915" s="7"/>
      <c r="X915" s="47"/>
      <c r="AC915" s="7"/>
      <c r="AD915" s="7"/>
      <c r="AE915" s="7"/>
    </row>
    <row r="916">
      <c r="B916" s="43"/>
      <c r="C916" s="43"/>
      <c r="D916" s="43"/>
      <c r="O916" s="7"/>
      <c r="P916" s="7"/>
      <c r="X916" s="47"/>
      <c r="AC916" s="7"/>
      <c r="AD916" s="7"/>
      <c r="AE916" s="7"/>
    </row>
    <row r="917">
      <c r="B917" s="43"/>
      <c r="C917" s="43"/>
      <c r="D917" s="43"/>
      <c r="O917" s="7"/>
      <c r="P917" s="7"/>
      <c r="X917" s="47"/>
      <c r="AC917" s="7"/>
      <c r="AD917" s="7"/>
      <c r="AE917" s="7"/>
    </row>
    <row r="918">
      <c r="B918" s="43"/>
      <c r="C918" s="43"/>
      <c r="D918" s="43"/>
      <c r="O918" s="7"/>
      <c r="P918" s="7"/>
      <c r="X918" s="47"/>
      <c r="AC918" s="7"/>
      <c r="AD918" s="7"/>
      <c r="AE918" s="7"/>
    </row>
    <row r="919">
      <c r="B919" s="43"/>
      <c r="C919" s="43"/>
      <c r="D919" s="43"/>
      <c r="O919" s="7"/>
      <c r="P919" s="7"/>
      <c r="X919" s="47"/>
      <c r="AC919" s="7"/>
      <c r="AD919" s="7"/>
      <c r="AE919" s="7"/>
    </row>
    <row r="920">
      <c r="B920" s="43"/>
      <c r="C920" s="43"/>
      <c r="D920" s="43"/>
      <c r="O920" s="7"/>
      <c r="P920" s="7"/>
      <c r="X920" s="47"/>
      <c r="AC920" s="7"/>
      <c r="AD920" s="7"/>
      <c r="AE920" s="7"/>
    </row>
    <row r="921">
      <c r="B921" s="43"/>
      <c r="C921" s="43"/>
      <c r="D921" s="43"/>
      <c r="O921" s="7"/>
      <c r="P921" s="7"/>
      <c r="X921" s="47"/>
      <c r="AC921" s="7"/>
      <c r="AD921" s="7"/>
      <c r="AE921" s="7"/>
    </row>
    <row r="922">
      <c r="B922" s="43"/>
      <c r="C922" s="43"/>
      <c r="D922" s="43"/>
      <c r="O922" s="7"/>
      <c r="P922" s="7"/>
      <c r="X922" s="47"/>
      <c r="AC922" s="7"/>
      <c r="AD922" s="7"/>
      <c r="AE922" s="7"/>
    </row>
    <row r="923">
      <c r="B923" s="43"/>
      <c r="C923" s="43"/>
      <c r="D923" s="43"/>
      <c r="O923" s="7"/>
      <c r="P923" s="7"/>
      <c r="X923" s="47"/>
      <c r="AC923" s="7"/>
      <c r="AD923" s="7"/>
      <c r="AE923" s="7"/>
    </row>
    <row r="924">
      <c r="B924" s="43"/>
      <c r="C924" s="43"/>
      <c r="D924" s="43"/>
      <c r="O924" s="7"/>
      <c r="P924" s="7"/>
      <c r="X924" s="47"/>
      <c r="AC924" s="7"/>
      <c r="AD924" s="7"/>
      <c r="AE924" s="7"/>
    </row>
    <row r="925">
      <c r="B925" s="43"/>
      <c r="C925" s="43"/>
      <c r="D925" s="43"/>
      <c r="O925" s="7"/>
      <c r="P925" s="7"/>
      <c r="X925" s="47"/>
      <c r="AC925" s="7"/>
      <c r="AD925" s="7"/>
      <c r="AE925" s="7"/>
    </row>
    <row r="926">
      <c r="B926" s="43"/>
      <c r="C926" s="43"/>
      <c r="D926" s="43"/>
      <c r="O926" s="7"/>
      <c r="P926" s="7"/>
      <c r="X926" s="47"/>
      <c r="AC926" s="7"/>
      <c r="AD926" s="7"/>
      <c r="AE926" s="7"/>
    </row>
    <row r="927">
      <c r="B927" s="43"/>
      <c r="C927" s="43"/>
      <c r="D927" s="43"/>
      <c r="O927" s="7"/>
      <c r="P927" s="7"/>
      <c r="X927" s="47"/>
      <c r="AC927" s="7"/>
      <c r="AD927" s="7"/>
      <c r="AE927" s="7"/>
    </row>
    <row r="928">
      <c r="B928" s="43"/>
      <c r="C928" s="43"/>
      <c r="D928" s="43"/>
      <c r="O928" s="7"/>
      <c r="P928" s="7"/>
      <c r="X928" s="47"/>
      <c r="AC928" s="7"/>
      <c r="AD928" s="7"/>
      <c r="AE928" s="7"/>
    </row>
    <row r="929">
      <c r="B929" s="43"/>
      <c r="C929" s="43"/>
      <c r="D929" s="43"/>
      <c r="O929" s="7"/>
      <c r="P929" s="7"/>
      <c r="X929" s="47"/>
      <c r="AC929" s="7"/>
      <c r="AD929" s="7"/>
      <c r="AE929" s="7"/>
    </row>
    <row r="930">
      <c r="B930" s="43"/>
      <c r="C930" s="43"/>
      <c r="D930" s="43"/>
      <c r="O930" s="7"/>
      <c r="P930" s="7"/>
      <c r="X930" s="47"/>
      <c r="AC930" s="7"/>
      <c r="AD930" s="7"/>
      <c r="AE930" s="7"/>
    </row>
    <row r="931">
      <c r="B931" s="43"/>
      <c r="C931" s="43"/>
      <c r="D931" s="43"/>
      <c r="O931" s="7"/>
      <c r="P931" s="7"/>
      <c r="X931" s="47"/>
      <c r="AC931" s="7"/>
      <c r="AD931" s="7"/>
      <c r="AE931" s="7"/>
    </row>
    <row r="932">
      <c r="B932" s="43"/>
      <c r="C932" s="43"/>
      <c r="D932" s="43"/>
      <c r="O932" s="7"/>
      <c r="P932" s="7"/>
      <c r="X932" s="47"/>
      <c r="AC932" s="7"/>
      <c r="AD932" s="7"/>
      <c r="AE932" s="7"/>
    </row>
    <row r="933">
      <c r="B933" s="43"/>
      <c r="C933" s="43"/>
      <c r="D933" s="43"/>
      <c r="O933" s="7"/>
      <c r="P933" s="7"/>
      <c r="X933" s="47"/>
      <c r="AC933" s="7"/>
      <c r="AD933" s="7"/>
      <c r="AE933" s="7"/>
    </row>
    <row r="934">
      <c r="B934" s="43"/>
      <c r="C934" s="43"/>
      <c r="D934" s="43"/>
      <c r="O934" s="7"/>
      <c r="P934" s="7"/>
      <c r="X934" s="47"/>
      <c r="AC934" s="7"/>
      <c r="AD934" s="7"/>
      <c r="AE934" s="7"/>
    </row>
    <row r="935">
      <c r="B935" s="43"/>
      <c r="C935" s="43"/>
      <c r="D935" s="43"/>
      <c r="O935" s="7"/>
      <c r="P935" s="7"/>
      <c r="X935" s="47"/>
      <c r="AC935" s="7"/>
      <c r="AD935" s="7"/>
      <c r="AE935" s="7"/>
    </row>
    <row r="936">
      <c r="B936" s="43"/>
      <c r="C936" s="43"/>
      <c r="D936" s="43"/>
      <c r="O936" s="7"/>
      <c r="P936" s="7"/>
      <c r="X936" s="47"/>
      <c r="AC936" s="7"/>
      <c r="AD936" s="7"/>
      <c r="AE936" s="7"/>
    </row>
    <row r="937">
      <c r="B937" s="43"/>
      <c r="C937" s="43"/>
      <c r="D937" s="43"/>
      <c r="O937" s="7"/>
      <c r="P937" s="7"/>
      <c r="X937" s="47"/>
      <c r="AC937" s="7"/>
      <c r="AD937" s="7"/>
      <c r="AE937" s="7"/>
    </row>
    <row r="938">
      <c r="B938" s="43"/>
      <c r="C938" s="43"/>
      <c r="D938" s="43"/>
      <c r="O938" s="7"/>
      <c r="P938" s="7"/>
      <c r="X938" s="47"/>
      <c r="AC938" s="7"/>
      <c r="AD938" s="7"/>
      <c r="AE938" s="7"/>
    </row>
    <row r="939">
      <c r="B939" s="43"/>
      <c r="C939" s="43"/>
      <c r="D939" s="43"/>
      <c r="O939" s="7"/>
      <c r="P939" s="7"/>
      <c r="X939" s="47"/>
      <c r="AC939" s="7"/>
      <c r="AD939" s="7"/>
      <c r="AE939" s="7"/>
    </row>
    <row r="940">
      <c r="B940" s="43"/>
      <c r="C940" s="43"/>
      <c r="D940" s="43"/>
      <c r="O940" s="7"/>
      <c r="P940" s="7"/>
      <c r="X940" s="47"/>
      <c r="AC940" s="7"/>
      <c r="AD940" s="7"/>
      <c r="AE940" s="7"/>
    </row>
    <row r="941">
      <c r="B941" s="43"/>
      <c r="C941" s="43"/>
      <c r="D941" s="43"/>
      <c r="O941" s="7"/>
      <c r="P941" s="7"/>
      <c r="X941" s="47"/>
      <c r="AC941" s="7"/>
      <c r="AD941" s="7"/>
      <c r="AE941" s="7"/>
    </row>
    <row r="942">
      <c r="B942" s="43"/>
      <c r="C942" s="43"/>
      <c r="D942" s="43"/>
      <c r="O942" s="7"/>
      <c r="P942" s="7"/>
      <c r="X942" s="47"/>
      <c r="AC942" s="7"/>
      <c r="AD942" s="7"/>
      <c r="AE942" s="7"/>
    </row>
    <row r="943">
      <c r="B943" s="43"/>
      <c r="C943" s="43"/>
      <c r="D943" s="43"/>
      <c r="O943" s="7"/>
      <c r="P943" s="7"/>
      <c r="X943" s="47"/>
      <c r="AC943" s="7"/>
      <c r="AD943" s="7"/>
      <c r="AE943" s="7"/>
    </row>
    <row r="944">
      <c r="B944" s="43"/>
      <c r="C944" s="43"/>
      <c r="D944" s="43"/>
      <c r="O944" s="7"/>
      <c r="P944" s="7"/>
      <c r="X944" s="47"/>
      <c r="AC944" s="7"/>
      <c r="AD944" s="7"/>
      <c r="AE944" s="7"/>
    </row>
    <row r="945">
      <c r="B945" s="43"/>
      <c r="C945" s="43"/>
      <c r="D945" s="43"/>
      <c r="O945" s="7"/>
      <c r="P945" s="7"/>
      <c r="X945" s="47"/>
      <c r="AC945" s="7"/>
      <c r="AD945" s="7"/>
      <c r="AE945" s="7"/>
    </row>
    <row r="946">
      <c r="B946" s="43"/>
      <c r="C946" s="43"/>
      <c r="D946" s="43"/>
      <c r="O946" s="7"/>
      <c r="P946" s="7"/>
      <c r="X946" s="47"/>
      <c r="AC946" s="7"/>
      <c r="AD946" s="7"/>
      <c r="AE946" s="7"/>
    </row>
    <row r="947">
      <c r="B947" s="43"/>
      <c r="C947" s="43"/>
      <c r="D947" s="43"/>
      <c r="O947" s="7"/>
      <c r="P947" s="7"/>
      <c r="X947" s="47"/>
      <c r="AC947" s="7"/>
      <c r="AD947" s="7"/>
      <c r="AE947" s="7"/>
    </row>
    <row r="948">
      <c r="B948" s="43"/>
      <c r="C948" s="43"/>
      <c r="D948" s="43"/>
      <c r="O948" s="7"/>
      <c r="P948" s="7"/>
      <c r="X948" s="47"/>
      <c r="AC948" s="7"/>
      <c r="AD948" s="7"/>
      <c r="AE948" s="7"/>
    </row>
    <row r="949">
      <c r="B949" s="43"/>
      <c r="C949" s="43"/>
      <c r="D949" s="43"/>
      <c r="O949" s="7"/>
      <c r="P949" s="7"/>
      <c r="X949" s="47"/>
      <c r="AC949" s="7"/>
      <c r="AD949" s="7"/>
      <c r="AE949" s="7"/>
    </row>
    <row r="950">
      <c r="B950" s="43"/>
      <c r="C950" s="43"/>
      <c r="D950" s="43"/>
      <c r="O950" s="7"/>
      <c r="P950" s="7"/>
      <c r="X950" s="47"/>
      <c r="AC950" s="7"/>
      <c r="AD950" s="7"/>
      <c r="AE950" s="7"/>
    </row>
    <row r="951">
      <c r="B951" s="43"/>
      <c r="C951" s="43"/>
      <c r="D951" s="43"/>
      <c r="O951" s="7"/>
      <c r="P951" s="7"/>
      <c r="X951" s="47"/>
      <c r="AC951" s="7"/>
      <c r="AD951" s="7"/>
      <c r="AE951" s="7"/>
    </row>
    <row r="952">
      <c r="B952" s="43"/>
      <c r="C952" s="43"/>
      <c r="D952" s="43"/>
      <c r="O952" s="7"/>
      <c r="P952" s="7"/>
      <c r="X952" s="47"/>
      <c r="AC952" s="7"/>
      <c r="AD952" s="7"/>
      <c r="AE952" s="7"/>
    </row>
    <row r="953">
      <c r="B953" s="43"/>
      <c r="C953" s="43"/>
      <c r="D953" s="43"/>
      <c r="O953" s="7"/>
      <c r="P953" s="7"/>
      <c r="X953" s="47"/>
      <c r="AC953" s="7"/>
      <c r="AD953" s="7"/>
      <c r="AE953" s="7"/>
    </row>
    <row r="954">
      <c r="B954" s="43"/>
      <c r="C954" s="43"/>
      <c r="D954" s="43"/>
      <c r="O954" s="7"/>
      <c r="P954" s="7"/>
      <c r="X954" s="47"/>
      <c r="AC954" s="7"/>
      <c r="AD954" s="7"/>
      <c r="AE954" s="7"/>
    </row>
    <row r="955">
      <c r="B955" s="43"/>
      <c r="C955" s="43"/>
      <c r="D955" s="43"/>
      <c r="O955" s="7"/>
      <c r="P955" s="7"/>
      <c r="X955" s="47"/>
      <c r="AC955" s="7"/>
      <c r="AD955" s="7"/>
      <c r="AE955" s="7"/>
    </row>
    <row r="956">
      <c r="B956" s="43"/>
      <c r="C956" s="43"/>
      <c r="D956" s="43"/>
      <c r="O956" s="7"/>
      <c r="P956" s="7"/>
      <c r="X956" s="47"/>
      <c r="AC956" s="7"/>
      <c r="AD956" s="7"/>
      <c r="AE956" s="7"/>
    </row>
    <row r="957">
      <c r="B957" s="43"/>
      <c r="C957" s="43"/>
      <c r="D957" s="43"/>
      <c r="O957" s="7"/>
      <c r="P957" s="7"/>
      <c r="X957" s="47"/>
      <c r="AC957" s="7"/>
      <c r="AD957" s="7"/>
      <c r="AE957" s="7"/>
    </row>
    <row r="958">
      <c r="B958" s="43"/>
      <c r="C958" s="43"/>
      <c r="D958" s="43"/>
      <c r="O958" s="7"/>
      <c r="P958" s="7"/>
      <c r="X958" s="47"/>
      <c r="AC958" s="7"/>
      <c r="AD958" s="7"/>
      <c r="AE958" s="7"/>
    </row>
    <row r="959">
      <c r="B959" s="43"/>
      <c r="C959" s="43"/>
      <c r="D959" s="43"/>
      <c r="O959" s="7"/>
      <c r="P959" s="7"/>
      <c r="X959" s="47"/>
      <c r="AC959" s="7"/>
      <c r="AD959" s="7"/>
      <c r="AE959" s="7"/>
    </row>
    <row r="960">
      <c r="B960" s="43"/>
      <c r="C960" s="43"/>
      <c r="D960" s="43"/>
      <c r="O960" s="7"/>
      <c r="P960" s="7"/>
      <c r="X960" s="47"/>
      <c r="AC960" s="7"/>
      <c r="AD960" s="7"/>
      <c r="AE960" s="7"/>
    </row>
    <row r="961">
      <c r="B961" s="43"/>
      <c r="C961" s="43"/>
      <c r="D961" s="43"/>
      <c r="O961" s="7"/>
      <c r="P961" s="7"/>
      <c r="X961" s="47"/>
      <c r="AC961" s="7"/>
      <c r="AD961" s="7"/>
      <c r="AE961" s="7"/>
    </row>
    <row r="962">
      <c r="B962" s="43"/>
      <c r="C962" s="43"/>
      <c r="D962" s="43"/>
      <c r="O962" s="7"/>
      <c r="P962" s="7"/>
      <c r="X962" s="47"/>
      <c r="AC962" s="7"/>
      <c r="AD962" s="7"/>
      <c r="AE962" s="7"/>
    </row>
    <row r="963">
      <c r="B963" s="43"/>
      <c r="C963" s="43"/>
      <c r="D963" s="43"/>
      <c r="O963" s="7"/>
      <c r="P963" s="7"/>
      <c r="X963" s="47"/>
      <c r="AC963" s="7"/>
      <c r="AD963" s="7"/>
      <c r="AE963" s="7"/>
    </row>
    <row r="964">
      <c r="B964" s="43"/>
      <c r="C964" s="43"/>
      <c r="D964" s="43"/>
      <c r="O964" s="7"/>
      <c r="P964" s="7"/>
      <c r="X964" s="47"/>
      <c r="AC964" s="7"/>
      <c r="AD964" s="7"/>
      <c r="AE964" s="7"/>
    </row>
    <row r="965">
      <c r="B965" s="43"/>
      <c r="C965" s="43"/>
      <c r="D965" s="43"/>
      <c r="O965" s="7"/>
      <c r="P965" s="7"/>
      <c r="X965" s="47"/>
      <c r="AC965" s="7"/>
      <c r="AD965" s="7"/>
      <c r="AE965" s="7"/>
    </row>
    <row r="966">
      <c r="B966" s="43"/>
      <c r="C966" s="43"/>
      <c r="D966" s="43"/>
      <c r="O966" s="7"/>
      <c r="P966" s="7"/>
      <c r="X966" s="47"/>
      <c r="AC966" s="7"/>
      <c r="AD966" s="7"/>
      <c r="AE966" s="7"/>
    </row>
    <row r="967">
      <c r="B967" s="43"/>
      <c r="C967" s="43"/>
      <c r="D967" s="43"/>
      <c r="O967" s="7"/>
      <c r="P967" s="7"/>
      <c r="X967" s="47"/>
      <c r="AC967" s="7"/>
      <c r="AD967" s="7"/>
      <c r="AE967" s="7"/>
    </row>
    <row r="968">
      <c r="B968" s="43"/>
      <c r="C968" s="43"/>
      <c r="D968" s="43"/>
      <c r="O968" s="7"/>
      <c r="P968" s="7"/>
      <c r="X968" s="47"/>
      <c r="AC968" s="7"/>
      <c r="AD968" s="7"/>
      <c r="AE968" s="7"/>
    </row>
    <row r="969">
      <c r="B969" s="43"/>
      <c r="C969" s="43"/>
      <c r="D969" s="43"/>
      <c r="O969" s="7"/>
      <c r="P969" s="7"/>
      <c r="X969" s="47"/>
      <c r="AC969" s="7"/>
      <c r="AD969" s="7"/>
      <c r="AE969" s="7"/>
    </row>
    <row r="970">
      <c r="B970" s="43"/>
      <c r="C970" s="43"/>
      <c r="D970" s="43"/>
      <c r="O970" s="7"/>
      <c r="P970" s="7"/>
      <c r="X970" s="47"/>
      <c r="AC970" s="7"/>
      <c r="AD970" s="7"/>
      <c r="AE970" s="7"/>
    </row>
    <row r="971">
      <c r="B971" s="43"/>
      <c r="C971" s="43"/>
      <c r="D971" s="43"/>
      <c r="O971" s="7"/>
      <c r="P971" s="7"/>
      <c r="X971" s="47"/>
      <c r="AC971" s="7"/>
      <c r="AD971" s="7"/>
      <c r="AE971" s="7"/>
    </row>
    <row r="972">
      <c r="B972" s="43"/>
      <c r="C972" s="43"/>
      <c r="D972" s="43"/>
      <c r="O972" s="7"/>
      <c r="P972" s="7"/>
      <c r="X972" s="47"/>
      <c r="AC972" s="7"/>
      <c r="AD972" s="7"/>
      <c r="AE972" s="7"/>
    </row>
    <row r="973">
      <c r="B973" s="43"/>
      <c r="C973" s="43"/>
      <c r="D973" s="43"/>
      <c r="O973" s="7"/>
      <c r="P973" s="7"/>
      <c r="X973" s="47"/>
      <c r="AC973" s="7"/>
      <c r="AD973" s="7"/>
      <c r="AE973" s="7"/>
    </row>
    <row r="974">
      <c r="B974" s="43"/>
      <c r="C974" s="43"/>
      <c r="D974" s="43"/>
      <c r="O974" s="7"/>
      <c r="P974" s="7"/>
      <c r="X974" s="47"/>
      <c r="AC974" s="7"/>
      <c r="AD974" s="7"/>
      <c r="AE974" s="7"/>
    </row>
    <row r="975">
      <c r="B975" s="43"/>
      <c r="C975" s="43"/>
      <c r="D975" s="43"/>
      <c r="O975" s="7"/>
      <c r="P975" s="7"/>
      <c r="X975" s="47"/>
      <c r="AC975" s="7"/>
      <c r="AD975" s="7"/>
      <c r="AE975" s="7"/>
    </row>
    <row r="976">
      <c r="B976" s="43"/>
      <c r="C976" s="43"/>
      <c r="D976" s="43"/>
      <c r="O976" s="7"/>
      <c r="P976" s="7"/>
      <c r="X976" s="47"/>
      <c r="AC976" s="7"/>
      <c r="AD976" s="7"/>
      <c r="AE976" s="7"/>
    </row>
    <row r="977">
      <c r="B977" s="43"/>
      <c r="C977" s="43"/>
      <c r="D977" s="43"/>
      <c r="O977" s="7"/>
      <c r="P977" s="7"/>
      <c r="X977" s="47"/>
      <c r="AC977" s="7"/>
      <c r="AD977" s="7"/>
      <c r="AE977" s="7"/>
    </row>
    <row r="978">
      <c r="B978" s="43"/>
      <c r="C978" s="43"/>
      <c r="D978" s="43"/>
      <c r="O978" s="7"/>
      <c r="P978" s="7"/>
      <c r="X978" s="47"/>
      <c r="AC978" s="7"/>
      <c r="AD978" s="7"/>
      <c r="AE978" s="7"/>
    </row>
    <row r="979">
      <c r="B979" s="43"/>
      <c r="C979" s="43"/>
      <c r="D979" s="43"/>
      <c r="O979" s="7"/>
      <c r="P979" s="7"/>
      <c r="X979" s="47"/>
      <c r="AC979" s="7"/>
      <c r="AD979" s="7"/>
      <c r="AE979" s="7"/>
    </row>
    <row r="980">
      <c r="B980" s="43"/>
      <c r="C980" s="43"/>
      <c r="D980" s="43"/>
      <c r="O980" s="7"/>
      <c r="P980" s="7"/>
      <c r="X980" s="47"/>
      <c r="AC980" s="7"/>
      <c r="AD980" s="7"/>
      <c r="AE980" s="7"/>
    </row>
    <row r="981">
      <c r="B981" s="43"/>
      <c r="C981" s="43"/>
      <c r="D981" s="43"/>
      <c r="O981" s="7"/>
      <c r="P981" s="7"/>
      <c r="X981" s="47"/>
      <c r="AC981" s="7"/>
      <c r="AD981" s="7"/>
      <c r="AE981" s="7"/>
    </row>
    <row r="982">
      <c r="B982" s="43"/>
      <c r="C982" s="43"/>
      <c r="D982" s="43"/>
      <c r="O982" s="7"/>
      <c r="P982" s="7"/>
      <c r="X982" s="47"/>
      <c r="AC982" s="7"/>
      <c r="AD982" s="7"/>
      <c r="AE982" s="7"/>
    </row>
    <row r="983">
      <c r="B983" s="43"/>
      <c r="C983" s="43"/>
      <c r="D983" s="43"/>
      <c r="O983" s="7"/>
      <c r="P983" s="7"/>
      <c r="X983" s="47"/>
      <c r="AC983" s="7"/>
      <c r="AD983" s="7"/>
      <c r="AE983" s="7"/>
    </row>
    <row r="984">
      <c r="B984" s="43"/>
      <c r="C984" s="43"/>
      <c r="D984" s="43"/>
      <c r="O984" s="7"/>
      <c r="P984" s="7"/>
      <c r="X984" s="47"/>
      <c r="AC984" s="7"/>
      <c r="AD984" s="7"/>
      <c r="AE984" s="7"/>
    </row>
    <row r="985">
      <c r="B985" s="43"/>
      <c r="C985" s="43"/>
      <c r="D985" s="43"/>
      <c r="O985" s="7"/>
      <c r="P985" s="7"/>
      <c r="X985" s="47"/>
      <c r="AC985" s="7"/>
      <c r="AD985" s="7"/>
      <c r="AE985" s="7"/>
    </row>
    <row r="986">
      <c r="B986" s="43"/>
      <c r="C986" s="43"/>
      <c r="D986" s="43"/>
      <c r="O986" s="7"/>
      <c r="P986" s="7"/>
      <c r="X986" s="47"/>
      <c r="AC986" s="7"/>
      <c r="AD986" s="7"/>
      <c r="AE986" s="7"/>
    </row>
    <row r="987">
      <c r="B987" s="43"/>
      <c r="C987" s="43"/>
      <c r="D987" s="43"/>
      <c r="O987" s="7"/>
      <c r="P987" s="7"/>
      <c r="X987" s="47"/>
      <c r="AC987" s="7"/>
      <c r="AD987" s="7"/>
      <c r="AE987" s="7"/>
    </row>
    <row r="988">
      <c r="B988" s="43"/>
      <c r="C988" s="43"/>
      <c r="D988" s="43"/>
      <c r="O988" s="7"/>
      <c r="P988" s="7"/>
      <c r="X988" s="47"/>
      <c r="AC988" s="7"/>
      <c r="AD988" s="7"/>
      <c r="AE988" s="7"/>
    </row>
    <row r="989">
      <c r="B989" s="43"/>
      <c r="C989" s="43"/>
      <c r="D989" s="43"/>
      <c r="O989" s="7"/>
      <c r="P989" s="7"/>
      <c r="X989" s="47"/>
      <c r="AC989" s="7"/>
      <c r="AD989" s="7"/>
      <c r="AE989" s="7"/>
    </row>
    <row r="990">
      <c r="B990" s="43"/>
      <c r="C990" s="43"/>
      <c r="D990" s="43"/>
      <c r="O990" s="7"/>
      <c r="P990" s="7"/>
      <c r="X990" s="47"/>
      <c r="AC990" s="7"/>
      <c r="AD990" s="7"/>
      <c r="AE990" s="7"/>
    </row>
    <row r="991">
      <c r="B991" s="43"/>
      <c r="C991" s="43"/>
      <c r="D991" s="43"/>
      <c r="O991" s="7"/>
      <c r="P991" s="7"/>
      <c r="X991" s="47"/>
      <c r="AC991" s="7"/>
      <c r="AD991" s="7"/>
      <c r="AE991" s="7"/>
    </row>
    <row r="992">
      <c r="B992" s="43"/>
      <c r="C992" s="43"/>
      <c r="D992" s="43"/>
      <c r="O992" s="7"/>
      <c r="P992" s="7"/>
      <c r="X992" s="47"/>
      <c r="AC992" s="7"/>
      <c r="AD992" s="7"/>
      <c r="AE992" s="7"/>
    </row>
    <row r="993">
      <c r="B993" s="43"/>
      <c r="C993" s="43"/>
      <c r="D993" s="43"/>
      <c r="O993" s="7"/>
      <c r="P993" s="7"/>
      <c r="X993" s="47"/>
      <c r="AC993" s="7"/>
      <c r="AD993" s="7"/>
      <c r="AE993" s="7"/>
    </row>
    <row r="994">
      <c r="B994" s="43"/>
      <c r="C994" s="43"/>
      <c r="D994" s="43"/>
      <c r="O994" s="7"/>
      <c r="P994" s="7"/>
      <c r="X994" s="47"/>
      <c r="AC994" s="7"/>
      <c r="AD994" s="7"/>
      <c r="AE994" s="7"/>
    </row>
    <row r="995">
      <c r="B995" s="43"/>
      <c r="C995" s="43"/>
      <c r="D995" s="43"/>
      <c r="O995" s="7"/>
      <c r="P995" s="7"/>
      <c r="X995" s="47"/>
      <c r="AC995" s="7"/>
      <c r="AD995" s="7"/>
      <c r="AE995" s="7"/>
    </row>
    <row r="996">
      <c r="B996" s="43"/>
      <c r="C996" s="43"/>
      <c r="D996" s="43"/>
      <c r="O996" s="7"/>
      <c r="P996" s="7"/>
      <c r="X996" s="47"/>
      <c r="AC996" s="7"/>
      <c r="AD996" s="7"/>
      <c r="AE996" s="7"/>
    </row>
    <row r="997">
      <c r="B997" s="43"/>
      <c r="C997" s="43"/>
      <c r="D997" s="43"/>
      <c r="O997" s="7"/>
      <c r="P997" s="7"/>
      <c r="X997" s="47"/>
      <c r="AC997" s="7"/>
      <c r="AD997" s="7"/>
      <c r="AE997" s="7"/>
    </row>
    <row r="998">
      <c r="B998" s="43"/>
      <c r="C998" s="43"/>
      <c r="D998" s="43"/>
      <c r="O998" s="7"/>
      <c r="P998" s="7"/>
      <c r="X998" s="47"/>
      <c r="AC998" s="7"/>
      <c r="AD998" s="7"/>
      <c r="AE998" s="7"/>
    </row>
    <row r="999">
      <c r="B999" s="43"/>
      <c r="C999" s="43"/>
      <c r="D999" s="43"/>
      <c r="O999" s="7"/>
      <c r="P999" s="7"/>
      <c r="X999" s="47"/>
      <c r="AC999" s="7"/>
      <c r="AD999" s="7"/>
      <c r="AE999" s="7"/>
    </row>
    <row r="1000">
      <c r="B1000" s="43"/>
      <c r="C1000" s="43"/>
      <c r="D1000" s="43"/>
      <c r="O1000" s="7"/>
      <c r="P1000" s="7"/>
      <c r="X1000" s="47"/>
      <c r="AC1000" s="7"/>
      <c r="AD1000" s="7"/>
      <c r="AE1000" s="7"/>
    </row>
    <row r="1001">
      <c r="B1001" s="43"/>
      <c r="C1001" s="43"/>
      <c r="D1001" s="43"/>
      <c r="O1001" s="7"/>
      <c r="P1001" s="7"/>
      <c r="X1001" s="47"/>
      <c r="AC1001" s="7"/>
      <c r="AD1001" s="7"/>
      <c r="AE1001" s="7"/>
    </row>
    <row r="1002">
      <c r="B1002" s="43"/>
      <c r="C1002" s="43"/>
      <c r="D1002" s="43"/>
      <c r="O1002" s="7"/>
      <c r="P1002" s="7"/>
      <c r="X1002" s="47"/>
      <c r="AC1002" s="7"/>
      <c r="AD1002" s="7"/>
      <c r="AE1002" s="7"/>
    </row>
    <row r="1003">
      <c r="B1003" s="43"/>
      <c r="C1003" s="43"/>
      <c r="D1003" s="43"/>
      <c r="O1003" s="7"/>
      <c r="P1003" s="7"/>
      <c r="X1003" s="47"/>
      <c r="AC1003" s="7"/>
      <c r="AD1003" s="7"/>
      <c r="AE1003" s="7"/>
    </row>
    <row r="1004">
      <c r="B1004" s="43"/>
      <c r="C1004" s="43"/>
      <c r="D1004" s="43"/>
      <c r="O1004" s="7"/>
      <c r="P1004" s="7"/>
      <c r="X1004" s="47"/>
      <c r="AC1004" s="7"/>
      <c r="AD1004" s="7"/>
      <c r="AE1004" s="7"/>
    </row>
    <row r="1005">
      <c r="B1005" s="43"/>
      <c r="C1005" s="43"/>
      <c r="D1005" s="43"/>
      <c r="O1005" s="7"/>
      <c r="P1005" s="7"/>
      <c r="X1005" s="47"/>
      <c r="AC1005" s="7"/>
      <c r="AD1005" s="7"/>
      <c r="AE1005" s="7"/>
    </row>
    <row r="1006">
      <c r="B1006" s="43"/>
      <c r="C1006" s="43"/>
      <c r="D1006" s="43"/>
      <c r="O1006" s="7"/>
      <c r="P1006" s="7"/>
      <c r="X1006" s="47"/>
      <c r="AC1006" s="7"/>
      <c r="AD1006" s="7"/>
      <c r="AE1006" s="7"/>
    </row>
    <row r="1007">
      <c r="B1007" s="43"/>
      <c r="C1007" s="43"/>
      <c r="D1007" s="43"/>
      <c r="O1007" s="7"/>
      <c r="P1007" s="7"/>
      <c r="X1007" s="47"/>
      <c r="AC1007" s="7"/>
      <c r="AD1007" s="7"/>
      <c r="AE1007" s="7"/>
    </row>
    <row r="1008">
      <c r="B1008" s="43"/>
      <c r="C1008" s="43"/>
      <c r="D1008" s="43"/>
      <c r="O1008" s="7"/>
      <c r="P1008" s="7"/>
      <c r="X1008" s="47"/>
      <c r="AC1008" s="7"/>
      <c r="AD1008" s="7"/>
      <c r="AE1008" s="7"/>
    </row>
    <row r="1009">
      <c r="B1009" s="43"/>
      <c r="C1009" s="43"/>
      <c r="D1009" s="43"/>
      <c r="O1009" s="7"/>
      <c r="P1009" s="7"/>
      <c r="X1009" s="47"/>
      <c r="AC1009" s="7"/>
      <c r="AD1009" s="7"/>
      <c r="AE1009" s="7"/>
    </row>
    <row r="1010">
      <c r="B1010" s="43"/>
      <c r="C1010" s="43"/>
      <c r="D1010" s="43"/>
      <c r="O1010" s="7"/>
      <c r="P1010" s="7"/>
      <c r="X1010" s="47"/>
      <c r="AC1010" s="7"/>
      <c r="AD1010" s="7"/>
      <c r="AE1010" s="7"/>
    </row>
    <row r="1011">
      <c r="B1011" s="43"/>
      <c r="C1011" s="43"/>
      <c r="D1011" s="43"/>
      <c r="O1011" s="7"/>
      <c r="P1011" s="7"/>
      <c r="X1011" s="47"/>
      <c r="AC1011" s="7"/>
      <c r="AD1011" s="7"/>
      <c r="AE1011" s="7"/>
    </row>
    <row r="1012">
      <c r="B1012" s="43"/>
      <c r="C1012" s="43"/>
      <c r="D1012" s="43"/>
      <c r="O1012" s="7"/>
      <c r="P1012" s="7"/>
      <c r="X1012" s="47"/>
      <c r="AC1012" s="7"/>
      <c r="AD1012" s="7"/>
      <c r="AE1012" s="7"/>
    </row>
    <row r="1013">
      <c r="B1013" s="43"/>
      <c r="C1013" s="43"/>
      <c r="D1013" s="43"/>
      <c r="O1013" s="7"/>
      <c r="P1013" s="7"/>
      <c r="X1013" s="47"/>
      <c r="AC1013" s="7"/>
      <c r="AD1013" s="7"/>
      <c r="AE1013" s="7"/>
    </row>
    <row r="1014">
      <c r="B1014" s="43"/>
      <c r="C1014" s="43"/>
      <c r="D1014" s="43"/>
      <c r="O1014" s="7"/>
      <c r="P1014" s="7"/>
      <c r="X1014" s="47"/>
      <c r="AC1014" s="7"/>
      <c r="AD1014" s="7"/>
      <c r="AE1014" s="7"/>
    </row>
    <row r="1015">
      <c r="B1015" s="43"/>
      <c r="C1015" s="43"/>
      <c r="D1015" s="43"/>
      <c r="O1015" s="7"/>
      <c r="P1015" s="7"/>
      <c r="X1015" s="47"/>
      <c r="AC1015" s="7"/>
      <c r="AD1015" s="7"/>
      <c r="AE1015" s="7"/>
    </row>
    <row r="1016">
      <c r="B1016" s="43"/>
      <c r="C1016" s="43"/>
      <c r="D1016" s="43"/>
      <c r="O1016" s="7"/>
      <c r="P1016" s="7"/>
      <c r="X1016" s="47"/>
      <c r="AC1016" s="7"/>
      <c r="AD1016" s="7"/>
      <c r="AE1016" s="7"/>
    </row>
    <row r="1017">
      <c r="B1017" s="43"/>
      <c r="C1017" s="43"/>
      <c r="D1017" s="43"/>
      <c r="O1017" s="7"/>
      <c r="P1017" s="7"/>
      <c r="X1017" s="47"/>
      <c r="AC1017" s="7"/>
      <c r="AD1017" s="7"/>
      <c r="AE1017" s="7"/>
    </row>
    <row r="1018">
      <c r="B1018" s="43"/>
      <c r="C1018" s="43"/>
      <c r="D1018" s="43"/>
      <c r="O1018" s="7"/>
      <c r="P1018" s="7"/>
      <c r="X1018" s="47"/>
      <c r="AC1018" s="7"/>
      <c r="AD1018" s="7"/>
      <c r="AE1018" s="7"/>
    </row>
    <row r="1019">
      <c r="B1019" s="43"/>
      <c r="C1019" s="43"/>
      <c r="D1019" s="43"/>
      <c r="O1019" s="7"/>
      <c r="P1019" s="7"/>
      <c r="X1019" s="47"/>
      <c r="AC1019" s="7"/>
      <c r="AD1019" s="7"/>
      <c r="AE1019" s="7"/>
    </row>
    <row r="1020">
      <c r="B1020" s="43"/>
      <c r="C1020" s="43"/>
      <c r="D1020" s="43"/>
      <c r="O1020" s="7"/>
      <c r="P1020" s="7"/>
      <c r="X1020" s="47"/>
      <c r="AC1020" s="7"/>
      <c r="AD1020" s="7"/>
      <c r="AE1020" s="7"/>
    </row>
    <row r="1021">
      <c r="B1021" s="43"/>
      <c r="C1021" s="43"/>
      <c r="D1021" s="43"/>
      <c r="O1021" s="7"/>
      <c r="P1021" s="7"/>
      <c r="X1021" s="47"/>
      <c r="AC1021" s="7"/>
      <c r="AD1021" s="7"/>
      <c r="AE1021" s="7"/>
    </row>
    <row r="1022">
      <c r="B1022" s="43"/>
      <c r="C1022" s="43"/>
      <c r="D1022" s="43"/>
      <c r="O1022" s="7"/>
      <c r="P1022" s="7"/>
      <c r="X1022" s="47"/>
      <c r="AC1022" s="7"/>
      <c r="AD1022" s="7"/>
      <c r="AE1022" s="7"/>
    </row>
    <row r="1023">
      <c r="B1023" s="43"/>
      <c r="C1023" s="43"/>
      <c r="D1023" s="43"/>
      <c r="O1023" s="7"/>
      <c r="P1023" s="7"/>
      <c r="X1023" s="47"/>
      <c r="AC1023" s="7"/>
      <c r="AD1023" s="7"/>
      <c r="AE1023" s="7"/>
    </row>
    <row r="1024">
      <c r="B1024" s="43"/>
      <c r="C1024" s="43"/>
      <c r="D1024" s="43"/>
      <c r="O1024" s="7"/>
      <c r="P1024" s="7"/>
      <c r="X1024" s="47"/>
      <c r="AC1024" s="7"/>
      <c r="AD1024" s="7"/>
      <c r="AE1024" s="7"/>
    </row>
    <row r="1025">
      <c r="B1025" s="43"/>
      <c r="C1025" s="43"/>
      <c r="D1025" s="43"/>
      <c r="O1025" s="7"/>
      <c r="P1025" s="7"/>
      <c r="X1025" s="47"/>
      <c r="AC1025" s="7"/>
      <c r="AD1025" s="7"/>
      <c r="AE1025" s="7"/>
    </row>
    <row r="1026">
      <c r="B1026" s="43"/>
      <c r="C1026" s="43"/>
      <c r="D1026" s="43"/>
      <c r="O1026" s="7"/>
      <c r="P1026" s="7"/>
      <c r="X1026" s="47"/>
      <c r="AC1026" s="7"/>
      <c r="AD1026" s="7"/>
      <c r="AE1026" s="7"/>
    </row>
    <row r="1027">
      <c r="B1027" s="43"/>
      <c r="C1027" s="43"/>
      <c r="D1027" s="43"/>
      <c r="O1027" s="7"/>
      <c r="P1027" s="7"/>
      <c r="X1027" s="47"/>
      <c r="AC1027" s="7"/>
      <c r="AD1027" s="7"/>
      <c r="AE1027" s="7"/>
    </row>
    <row r="1028">
      <c r="B1028" s="43"/>
      <c r="C1028" s="43"/>
      <c r="D1028" s="43"/>
      <c r="O1028" s="7"/>
      <c r="P1028" s="7"/>
      <c r="X1028" s="47"/>
      <c r="AC1028" s="7"/>
      <c r="AD1028" s="7"/>
      <c r="AE1028" s="7"/>
    </row>
    <row r="1029">
      <c r="B1029" s="43"/>
      <c r="C1029" s="43"/>
      <c r="D1029" s="43"/>
      <c r="O1029" s="7"/>
      <c r="P1029" s="7"/>
      <c r="X1029" s="47"/>
      <c r="AC1029" s="7"/>
      <c r="AD1029" s="7"/>
      <c r="AE1029" s="7"/>
    </row>
    <row r="1030">
      <c r="B1030" s="43"/>
      <c r="C1030" s="43"/>
      <c r="D1030" s="43"/>
      <c r="O1030" s="7"/>
      <c r="P1030" s="7"/>
      <c r="X1030" s="47"/>
      <c r="AC1030" s="7"/>
      <c r="AD1030" s="7"/>
      <c r="AE1030" s="7"/>
    </row>
    <row r="1031">
      <c r="B1031" s="43"/>
      <c r="C1031" s="43"/>
      <c r="D1031" s="43"/>
      <c r="O1031" s="7"/>
      <c r="P1031" s="7"/>
      <c r="X1031" s="47"/>
      <c r="AC1031" s="7"/>
      <c r="AD1031" s="7"/>
      <c r="AE1031" s="7"/>
    </row>
    <row r="1032">
      <c r="B1032" s="43"/>
      <c r="C1032" s="43"/>
      <c r="D1032" s="43"/>
      <c r="O1032" s="7"/>
      <c r="P1032" s="7"/>
      <c r="X1032" s="47"/>
      <c r="AC1032" s="7"/>
      <c r="AD1032" s="7"/>
      <c r="AE1032" s="7"/>
    </row>
    <row r="1033">
      <c r="B1033" s="43"/>
      <c r="C1033" s="43"/>
      <c r="D1033" s="43"/>
      <c r="O1033" s="7"/>
      <c r="P1033" s="7"/>
      <c r="X1033" s="47"/>
      <c r="AC1033" s="7"/>
      <c r="AD1033" s="7"/>
      <c r="AE1033" s="7"/>
    </row>
    <row r="1034">
      <c r="B1034" s="43"/>
      <c r="C1034" s="43"/>
      <c r="D1034" s="43"/>
      <c r="O1034" s="7"/>
      <c r="P1034" s="7"/>
      <c r="X1034" s="47"/>
      <c r="AC1034" s="7"/>
      <c r="AD1034" s="7"/>
      <c r="AE1034" s="7"/>
    </row>
    <row r="1035">
      <c r="B1035" s="43"/>
      <c r="C1035" s="43"/>
      <c r="D1035" s="43"/>
      <c r="O1035" s="7"/>
      <c r="P1035" s="7"/>
      <c r="X1035" s="47"/>
      <c r="AC1035" s="7"/>
      <c r="AD1035" s="7"/>
      <c r="AE1035" s="7"/>
    </row>
    <row r="1036">
      <c r="B1036" s="43"/>
      <c r="C1036" s="43"/>
      <c r="D1036" s="43"/>
      <c r="O1036" s="7"/>
      <c r="P1036" s="7"/>
      <c r="X1036" s="47"/>
      <c r="AC1036" s="7"/>
      <c r="AD1036" s="7"/>
      <c r="AE1036" s="7"/>
    </row>
    <row r="1037">
      <c r="B1037" s="43"/>
      <c r="C1037" s="43"/>
      <c r="D1037" s="43"/>
      <c r="O1037" s="7"/>
      <c r="P1037" s="7"/>
      <c r="X1037" s="47"/>
      <c r="AC1037" s="7"/>
      <c r="AD1037" s="7"/>
      <c r="AE1037" s="7"/>
    </row>
    <row r="1038">
      <c r="B1038" s="43"/>
      <c r="C1038" s="43"/>
      <c r="D1038" s="43"/>
      <c r="O1038" s="7"/>
      <c r="P1038" s="7"/>
      <c r="X1038" s="47"/>
      <c r="AC1038" s="7"/>
      <c r="AD1038" s="7"/>
      <c r="AE1038" s="7"/>
    </row>
    <row r="1039">
      <c r="B1039" s="43"/>
      <c r="C1039" s="43"/>
      <c r="D1039" s="43"/>
      <c r="O1039" s="7"/>
      <c r="P1039" s="7"/>
      <c r="X1039" s="47"/>
      <c r="AC1039" s="7"/>
      <c r="AD1039" s="7"/>
      <c r="AE1039" s="7"/>
    </row>
    <row r="1040">
      <c r="B1040" s="43"/>
      <c r="C1040" s="43"/>
      <c r="D1040" s="43"/>
      <c r="O1040" s="7"/>
      <c r="P1040" s="7"/>
      <c r="X1040" s="47"/>
      <c r="AC1040" s="7"/>
      <c r="AD1040" s="7"/>
      <c r="AE1040" s="7"/>
    </row>
    <row r="1041">
      <c r="B1041" s="43"/>
      <c r="C1041" s="43"/>
      <c r="D1041" s="43"/>
      <c r="O1041" s="7"/>
      <c r="P1041" s="7"/>
      <c r="X1041" s="47"/>
      <c r="AC1041" s="7"/>
      <c r="AD1041" s="7"/>
      <c r="AE1041" s="7"/>
    </row>
    <row r="1042">
      <c r="B1042" s="43"/>
      <c r="C1042" s="43"/>
      <c r="D1042" s="43"/>
      <c r="O1042" s="7"/>
      <c r="P1042" s="7"/>
      <c r="X1042" s="47"/>
      <c r="AC1042" s="7"/>
      <c r="AD1042" s="7"/>
      <c r="AE1042" s="7"/>
    </row>
    <row r="1043">
      <c r="B1043" s="43"/>
      <c r="C1043" s="43"/>
      <c r="D1043" s="43"/>
      <c r="O1043" s="7"/>
      <c r="P1043" s="7"/>
      <c r="X1043" s="47"/>
      <c r="AC1043" s="7"/>
      <c r="AD1043" s="7"/>
      <c r="AE1043" s="7"/>
    </row>
    <row r="1044">
      <c r="B1044" s="43"/>
      <c r="C1044" s="43"/>
      <c r="D1044" s="43"/>
      <c r="O1044" s="7"/>
      <c r="P1044" s="7"/>
      <c r="X1044" s="47"/>
      <c r="AC1044" s="7"/>
      <c r="AD1044" s="7"/>
      <c r="AE1044" s="7"/>
    </row>
    <row r="1045">
      <c r="B1045" s="43"/>
      <c r="C1045" s="43"/>
      <c r="D1045" s="43"/>
      <c r="O1045" s="7"/>
      <c r="P1045" s="7"/>
      <c r="X1045" s="47"/>
      <c r="AC1045" s="7"/>
      <c r="AD1045" s="7"/>
      <c r="AE1045" s="7"/>
    </row>
    <row r="1046">
      <c r="B1046" s="43"/>
      <c r="C1046" s="43"/>
      <c r="D1046" s="43"/>
      <c r="O1046" s="7"/>
      <c r="P1046" s="7"/>
      <c r="X1046" s="47"/>
      <c r="AC1046" s="7"/>
      <c r="AD1046" s="7"/>
      <c r="AE1046" s="7"/>
    </row>
    <row r="1047">
      <c r="B1047" s="43"/>
      <c r="C1047" s="43"/>
      <c r="D1047" s="43"/>
      <c r="O1047" s="7"/>
      <c r="P1047" s="7"/>
      <c r="X1047" s="47"/>
      <c r="AC1047" s="7"/>
      <c r="AD1047" s="7"/>
      <c r="AE1047" s="7"/>
    </row>
    <row r="1048">
      <c r="B1048" s="43"/>
      <c r="C1048" s="43"/>
      <c r="D1048" s="43"/>
      <c r="O1048" s="7"/>
      <c r="P1048" s="7"/>
      <c r="X1048" s="47"/>
      <c r="AC1048" s="7"/>
      <c r="AD1048" s="7"/>
      <c r="AE1048" s="7"/>
    </row>
    <row r="1049">
      <c r="B1049" s="43"/>
      <c r="C1049" s="43"/>
      <c r="D1049" s="43"/>
      <c r="O1049" s="7"/>
      <c r="P1049" s="7"/>
      <c r="X1049" s="47"/>
      <c r="AC1049" s="7"/>
      <c r="AD1049" s="7"/>
      <c r="AE1049" s="7"/>
    </row>
    <row r="1050">
      <c r="B1050" s="43"/>
      <c r="C1050" s="43"/>
      <c r="D1050" s="43"/>
      <c r="O1050" s="7"/>
      <c r="P1050" s="7"/>
      <c r="X1050" s="47"/>
      <c r="AC1050" s="7"/>
      <c r="AD1050" s="7"/>
      <c r="AE1050" s="7"/>
    </row>
    <row r="1051">
      <c r="B1051" s="43"/>
      <c r="C1051" s="43"/>
      <c r="D1051" s="43"/>
      <c r="O1051" s="7"/>
      <c r="P1051" s="7"/>
      <c r="X1051" s="47"/>
      <c r="AC1051" s="7"/>
      <c r="AD1051" s="7"/>
      <c r="AE1051" s="7"/>
    </row>
    <row r="1052">
      <c r="B1052" s="43"/>
      <c r="C1052" s="43"/>
      <c r="D1052" s="43"/>
      <c r="O1052" s="7"/>
      <c r="P1052" s="7"/>
      <c r="X1052" s="47"/>
      <c r="AC1052" s="7"/>
      <c r="AD1052" s="7"/>
      <c r="AE1052" s="7"/>
    </row>
    <row r="1053">
      <c r="B1053" s="43"/>
      <c r="C1053" s="43"/>
      <c r="D1053" s="43"/>
      <c r="O1053" s="7"/>
      <c r="P1053" s="7"/>
      <c r="X1053" s="47"/>
      <c r="AC1053" s="7"/>
      <c r="AD1053" s="7"/>
      <c r="AE1053" s="7"/>
    </row>
    <row r="1054">
      <c r="B1054" s="43"/>
      <c r="C1054" s="43"/>
      <c r="D1054" s="43"/>
      <c r="O1054" s="7"/>
      <c r="P1054" s="7"/>
      <c r="X1054" s="47"/>
      <c r="AC1054" s="7"/>
      <c r="AD1054" s="7"/>
      <c r="AE1054" s="7"/>
    </row>
    <row r="1055">
      <c r="B1055" s="43"/>
      <c r="C1055" s="43"/>
      <c r="D1055" s="43"/>
      <c r="O1055" s="7"/>
      <c r="P1055" s="7"/>
      <c r="X1055" s="47"/>
      <c r="AC1055" s="7"/>
      <c r="AD1055" s="7"/>
      <c r="AE1055" s="7"/>
    </row>
    <row r="1056">
      <c r="B1056" s="43"/>
      <c r="C1056" s="43"/>
      <c r="D1056" s="43"/>
      <c r="O1056" s="7"/>
      <c r="P1056" s="7"/>
      <c r="X1056" s="47"/>
      <c r="AC1056" s="7"/>
      <c r="AD1056" s="7"/>
      <c r="AE1056" s="7"/>
    </row>
    <row r="1057">
      <c r="B1057" s="43"/>
      <c r="C1057" s="43"/>
      <c r="D1057" s="43"/>
      <c r="O1057" s="7"/>
      <c r="P1057" s="7"/>
      <c r="X1057" s="47"/>
      <c r="AC1057" s="7"/>
      <c r="AD1057" s="7"/>
      <c r="AE1057" s="7"/>
    </row>
    <row r="1058">
      <c r="B1058" s="43"/>
      <c r="C1058" s="43"/>
      <c r="D1058" s="43"/>
      <c r="O1058" s="7"/>
      <c r="P1058" s="7"/>
      <c r="X1058" s="47"/>
      <c r="AC1058" s="7"/>
      <c r="AD1058" s="7"/>
      <c r="AE1058" s="7"/>
    </row>
    <row r="1059">
      <c r="B1059" s="43"/>
      <c r="C1059" s="43"/>
      <c r="D1059" s="43"/>
      <c r="O1059" s="7"/>
      <c r="P1059" s="7"/>
      <c r="X1059" s="47"/>
      <c r="AC1059" s="7"/>
      <c r="AD1059" s="7"/>
      <c r="AE1059" s="7"/>
    </row>
    <row r="1060">
      <c r="B1060" s="43"/>
      <c r="C1060" s="43"/>
      <c r="D1060" s="43"/>
      <c r="O1060" s="7"/>
      <c r="P1060" s="7"/>
      <c r="X1060" s="47"/>
      <c r="AC1060" s="7"/>
      <c r="AD1060" s="7"/>
      <c r="AE1060" s="7"/>
    </row>
    <row r="1061">
      <c r="B1061" s="43"/>
      <c r="C1061" s="43"/>
      <c r="D1061" s="43"/>
      <c r="O1061" s="7"/>
      <c r="P1061" s="7"/>
      <c r="X1061" s="47"/>
      <c r="AC1061" s="7"/>
      <c r="AD1061" s="7"/>
      <c r="AE1061" s="7"/>
    </row>
    <row r="1062">
      <c r="B1062" s="43"/>
      <c r="C1062" s="43"/>
      <c r="D1062" s="43"/>
      <c r="O1062" s="7"/>
      <c r="P1062" s="7"/>
      <c r="X1062" s="47"/>
      <c r="AC1062" s="7"/>
      <c r="AD1062" s="7"/>
      <c r="AE1062" s="7"/>
    </row>
    <row r="1063">
      <c r="B1063" s="43"/>
      <c r="C1063" s="43"/>
      <c r="D1063" s="43"/>
      <c r="O1063" s="7"/>
      <c r="P1063" s="7"/>
      <c r="X1063" s="47"/>
      <c r="AC1063" s="7"/>
      <c r="AD1063" s="7"/>
      <c r="AE1063" s="7"/>
    </row>
    <row r="1064">
      <c r="B1064" s="43"/>
      <c r="C1064" s="43"/>
      <c r="D1064" s="43"/>
      <c r="O1064" s="7"/>
      <c r="P1064" s="7"/>
      <c r="X1064" s="47"/>
      <c r="AC1064" s="7"/>
      <c r="AD1064" s="7"/>
      <c r="AE1064" s="7"/>
    </row>
    <row r="1065">
      <c r="B1065" s="43"/>
      <c r="C1065" s="43"/>
      <c r="D1065" s="43"/>
      <c r="O1065" s="7"/>
      <c r="P1065" s="7"/>
      <c r="X1065" s="47"/>
      <c r="AC1065" s="7"/>
      <c r="AD1065" s="7"/>
      <c r="AE1065" s="7"/>
    </row>
    <row r="1066">
      <c r="B1066" s="43"/>
      <c r="C1066" s="43"/>
      <c r="D1066" s="43"/>
      <c r="O1066" s="7"/>
      <c r="P1066" s="7"/>
      <c r="X1066" s="47"/>
      <c r="AC1066" s="7"/>
      <c r="AD1066" s="7"/>
      <c r="AE1066" s="7"/>
    </row>
    <row r="1067">
      <c r="B1067" s="43"/>
      <c r="C1067" s="43"/>
      <c r="D1067" s="43"/>
      <c r="O1067" s="7"/>
      <c r="P1067" s="7"/>
      <c r="X1067" s="47"/>
      <c r="AC1067" s="7"/>
      <c r="AD1067" s="7"/>
      <c r="AE1067" s="7"/>
    </row>
    <row r="1068">
      <c r="B1068" s="43"/>
      <c r="C1068" s="43"/>
      <c r="D1068" s="43"/>
      <c r="O1068" s="7"/>
      <c r="P1068" s="7"/>
      <c r="X1068" s="47"/>
      <c r="AC1068" s="7"/>
      <c r="AD1068" s="7"/>
      <c r="AE1068" s="7"/>
    </row>
    <row r="1069">
      <c r="B1069" s="43"/>
      <c r="C1069" s="43"/>
      <c r="D1069" s="43"/>
      <c r="O1069" s="7"/>
      <c r="P1069" s="7"/>
      <c r="X1069" s="47"/>
      <c r="AC1069" s="7"/>
      <c r="AD1069" s="7"/>
      <c r="AE1069" s="7"/>
    </row>
    <row r="1070">
      <c r="B1070" s="43"/>
      <c r="C1070" s="43"/>
      <c r="D1070" s="43"/>
      <c r="O1070" s="7"/>
      <c r="P1070" s="7"/>
      <c r="X1070" s="47"/>
      <c r="AC1070" s="7"/>
      <c r="AD1070" s="7"/>
      <c r="AE1070" s="7"/>
    </row>
    <row r="1071">
      <c r="B1071" s="43"/>
      <c r="C1071" s="43"/>
      <c r="D1071" s="43"/>
      <c r="O1071" s="7"/>
      <c r="P1071" s="7"/>
      <c r="X1071" s="47"/>
      <c r="AC1071" s="7"/>
      <c r="AD1071" s="7"/>
      <c r="AE1071" s="7"/>
    </row>
    <row r="1072">
      <c r="B1072" s="43"/>
      <c r="C1072" s="43"/>
      <c r="D1072" s="43"/>
      <c r="O1072" s="7"/>
      <c r="P1072" s="7"/>
      <c r="X1072" s="47"/>
      <c r="AC1072" s="7"/>
      <c r="AD1072" s="7"/>
      <c r="AE1072" s="7"/>
    </row>
    <row r="1073">
      <c r="B1073" s="43"/>
      <c r="C1073" s="43"/>
      <c r="D1073" s="43"/>
      <c r="O1073" s="7"/>
      <c r="P1073" s="7"/>
      <c r="X1073" s="47"/>
      <c r="AC1073" s="7"/>
      <c r="AD1073" s="7"/>
      <c r="AE1073" s="7"/>
    </row>
    <row r="1074">
      <c r="B1074" s="43"/>
      <c r="C1074" s="43"/>
      <c r="D1074" s="43"/>
      <c r="O1074" s="7"/>
      <c r="P1074" s="7"/>
      <c r="X1074" s="47"/>
      <c r="AC1074" s="7"/>
      <c r="AD1074" s="7"/>
      <c r="AE1074" s="7"/>
    </row>
    <row r="1075">
      <c r="B1075" s="43"/>
      <c r="C1075" s="43"/>
      <c r="D1075" s="43"/>
      <c r="O1075" s="7"/>
      <c r="P1075" s="7"/>
      <c r="X1075" s="47"/>
      <c r="AC1075" s="7"/>
      <c r="AD1075" s="7"/>
      <c r="AE1075" s="7"/>
    </row>
    <row r="1076">
      <c r="B1076" s="43"/>
      <c r="C1076" s="43"/>
      <c r="D1076" s="43"/>
      <c r="O1076" s="7"/>
      <c r="P1076" s="7"/>
      <c r="X1076" s="47"/>
      <c r="AC1076" s="7"/>
      <c r="AD1076" s="7"/>
      <c r="AE1076" s="7"/>
    </row>
    <row r="1077">
      <c r="B1077" s="43"/>
      <c r="C1077" s="43"/>
      <c r="D1077" s="43"/>
      <c r="O1077" s="7"/>
      <c r="P1077" s="7"/>
      <c r="X1077" s="47"/>
      <c r="AC1077" s="7"/>
      <c r="AD1077" s="7"/>
      <c r="AE1077" s="7"/>
    </row>
    <row r="1078">
      <c r="B1078" s="43"/>
      <c r="C1078" s="43"/>
      <c r="D1078" s="43"/>
      <c r="O1078" s="7"/>
      <c r="P1078" s="7"/>
      <c r="X1078" s="47"/>
      <c r="AC1078" s="7"/>
      <c r="AD1078" s="7"/>
      <c r="AE1078" s="7"/>
    </row>
    <row r="1079">
      <c r="B1079" s="43"/>
      <c r="C1079" s="43"/>
      <c r="D1079" s="43"/>
      <c r="O1079" s="7"/>
      <c r="P1079" s="7"/>
      <c r="X1079" s="47"/>
      <c r="AC1079" s="7"/>
      <c r="AD1079" s="7"/>
      <c r="AE1079" s="7"/>
    </row>
    <row r="1080">
      <c r="B1080" s="43"/>
      <c r="C1080" s="43"/>
      <c r="D1080" s="43"/>
      <c r="O1080" s="7"/>
      <c r="P1080" s="7"/>
      <c r="X1080" s="47"/>
      <c r="AC1080" s="7"/>
      <c r="AD1080" s="7"/>
      <c r="AE1080" s="7"/>
    </row>
    <row r="1081">
      <c r="B1081" s="43"/>
      <c r="C1081" s="43"/>
      <c r="D1081" s="43"/>
      <c r="O1081" s="7"/>
      <c r="P1081" s="7"/>
      <c r="X1081" s="47"/>
      <c r="AC1081" s="7"/>
      <c r="AD1081" s="7"/>
      <c r="AE1081" s="7"/>
    </row>
    <row r="1082">
      <c r="B1082" s="43"/>
      <c r="C1082" s="43"/>
      <c r="D1082" s="43"/>
      <c r="O1082" s="7"/>
      <c r="P1082" s="7"/>
      <c r="X1082" s="47"/>
      <c r="AC1082" s="7"/>
      <c r="AD1082" s="7"/>
      <c r="AE1082" s="7"/>
    </row>
    <row r="1083">
      <c r="B1083" s="43"/>
      <c r="C1083" s="43"/>
      <c r="D1083" s="43"/>
      <c r="O1083" s="7"/>
      <c r="P1083" s="7"/>
      <c r="X1083" s="47"/>
      <c r="AC1083" s="7"/>
      <c r="AD1083" s="7"/>
      <c r="AE1083" s="7"/>
    </row>
    <row r="1084">
      <c r="B1084" s="43"/>
      <c r="C1084" s="43"/>
      <c r="D1084" s="43"/>
      <c r="O1084" s="7"/>
      <c r="P1084" s="7"/>
      <c r="X1084" s="47"/>
      <c r="AC1084" s="7"/>
      <c r="AD1084" s="7"/>
      <c r="AE1084" s="7"/>
    </row>
    <row r="1085">
      <c r="B1085" s="43"/>
      <c r="C1085" s="43"/>
      <c r="D1085" s="43"/>
      <c r="O1085" s="7"/>
      <c r="P1085" s="7"/>
      <c r="X1085" s="47"/>
      <c r="AC1085" s="7"/>
      <c r="AD1085" s="7"/>
      <c r="AE1085" s="7"/>
    </row>
    <row r="1086">
      <c r="B1086" s="43"/>
      <c r="C1086" s="43"/>
      <c r="D1086" s="43"/>
      <c r="O1086" s="7"/>
      <c r="P1086" s="7"/>
      <c r="X1086" s="47"/>
      <c r="AC1086" s="7"/>
      <c r="AD1086" s="7"/>
      <c r="AE1086" s="7"/>
    </row>
    <row r="1087">
      <c r="B1087" s="43"/>
      <c r="C1087" s="43"/>
      <c r="D1087" s="43"/>
      <c r="O1087" s="7"/>
      <c r="P1087" s="7"/>
      <c r="X1087" s="47"/>
      <c r="AC1087" s="7"/>
      <c r="AD1087" s="7"/>
      <c r="AE1087" s="7"/>
    </row>
  </sheetData>
  <mergeCells count="1">
    <mergeCell ref="B1:M1"/>
  </mergeCells>
  <conditionalFormatting sqref="A3:A52 A54:A102">
    <cfRule type="cellIs" dxfId="0" priority="1" operator="equal">
      <formula>"En proceso"</formula>
    </cfRule>
  </conditionalFormatting>
  <conditionalFormatting sqref="B3:B102">
    <cfRule type="cellIs" dxfId="1" priority="2" operator="equal">
      <formula>"OK"</formula>
    </cfRule>
  </conditionalFormatting>
  <conditionalFormatting sqref="C3:C102">
    <cfRule type="cellIs" dxfId="1" priority="3" operator="equal">
      <formula>"Si"</formula>
    </cfRule>
  </conditionalFormatting>
  <conditionalFormatting sqref="F3:F102">
    <cfRule type="cellIs" dxfId="1" priority="4" operator="equal">
      <formula>"Si"</formula>
    </cfRule>
  </conditionalFormatting>
  <conditionalFormatting sqref="D3:D102">
    <cfRule type="cellIs" dxfId="1" priority="5" operator="equal">
      <formula>"Si"</formula>
    </cfRule>
  </conditionalFormatting>
  <conditionalFormatting sqref="AA3:AB1087">
    <cfRule type="cellIs" dxfId="2" priority="6" operator="equal">
      <formula>"Pendiente"</formula>
    </cfRule>
  </conditionalFormatting>
  <conditionalFormatting sqref="AA3:AB1087">
    <cfRule type="cellIs" dxfId="3" priority="7" operator="equal">
      <formula>"Terminado"</formula>
    </cfRule>
  </conditionalFormatting>
  <conditionalFormatting sqref="AB3:AC4 AB22:AC93 AB95:AC1087">
    <cfRule type="cellIs" dxfId="2" priority="8" operator="equal">
      <formula>"A Controlar"</formula>
    </cfRule>
  </conditionalFormatting>
  <conditionalFormatting sqref="AA3:AB1087">
    <cfRule type="cellIs" dxfId="4" priority="9" operator="equal">
      <formula>"Parcial"</formula>
    </cfRule>
  </conditionalFormatting>
  <conditionalFormatting sqref="AE5:AE1087">
    <cfRule type="cellIs" dxfId="1" priority="10" operator="equal">
      <formula>"OK"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1" width="4.25"/>
    <col customWidth="1" min="2" max="2" width="14.38"/>
    <col customWidth="1" min="3" max="3" width="10.25"/>
    <col customWidth="1" min="4" max="4" width="12.13"/>
    <col customWidth="1" min="5" max="5" width="9.75"/>
    <col customWidth="1" hidden="1" min="6" max="6" width="4.38"/>
    <col customWidth="1" hidden="1" min="7" max="7" width="10.5"/>
    <col customWidth="1" hidden="1" min="8" max="8" width="11.0"/>
    <col customWidth="1" hidden="1" min="9" max="9" width="12.88"/>
    <col hidden="1" min="10" max="11" width="12.63"/>
    <col customWidth="1" hidden="1" min="12" max="12" width="8.5"/>
    <col customWidth="1" min="13" max="13" width="10.25"/>
    <col customWidth="1" min="14" max="14" width="13.38"/>
    <col customWidth="1" hidden="1" min="15" max="15" width="5.5"/>
    <col customWidth="1" hidden="1" min="16" max="16" width="7.0"/>
    <col customWidth="1" min="17" max="17" width="10.38"/>
    <col customWidth="1" min="18" max="18" width="14.63"/>
    <col customWidth="1" min="19" max="19" width="19.38"/>
    <col customWidth="1" hidden="1" min="20" max="24" width="10.38"/>
    <col customWidth="1" hidden="1" min="25" max="25" width="12.5"/>
    <col customWidth="1" min="26" max="26" width="6.75"/>
    <col customWidth="1" hidden="1" min="27" max="27" width="11.0"/>
    <col customWidth="1" min="28" max="28" width="9.63"/>
    <col customWidth="1" hidden="1" min="29" max="29" width="11.13"/>
    <col customWidth="1" hidden="1" min="30" max="30" width="10.63"/>
    <col hidden="1" min="31" max="31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34</v>
      </c>
      <c r="C2" s="3"/>
      <c r="D2" s="65"/>
      <c r="E2" s="3"/>
      <c r="F2" s="66" t="str">
        <f>"Inscriptos: "&amp;COUNTA(C4:C100)</f>
        <v>Inscriptos: 16</v>
      </c>
      <c r="G2" s="3"/>
      <c r="H2" s="3"/>
      <c r="I2" s="67"/>
      <c r="J2" s="67"/>
      <c r="K2" s="67"/>
      <c r="L2" s="3"/>
      <c r="M2" s="68"/>
      <c r="N2" s="69" t="str">
        <f>"Inscriptos: "&amp;COUNTA(K4:K100)</f>
        <v>Inscriptos: 16</v>
      </c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 ht="31.5" customHeight="1">
      <c r="A3" s="59" t="s">
        <v>35</v>
      </c>
      <c r="B3" s="3" t="str">
        <f>IFERROR(__xludf.DUMMYFUNCTION("query(Titulos)"),"Dia y Hora")</f>
        <v>Dia y Hora</v>
      </c>
      <c r="C3" s="3" t="str">
        <f>IFERROR(__xludf.DUMMYFUNCTION("""COMPUTED_VALUE"""),"Nombre")</f>
        <v>Nombre</v>
      </c>
      <c r="D3" s="3" t="str">
        <f>IFERROR(__xludf.DUMMYFUNCTION("""COMPUTED_VALUE"""),"Apellido")</f>
        <v>Apellido</v>
      </c>
      <c r="E3" s="3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3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3" t="str">
        <f>IFERROR(__xludf.DUMMYFUNCTION("""COMPUTED_VALUE"""),"RECIBO")</f>
        <v>RECIBO</v>
      </c>
      <c r="AF3" s="70" t="s">
        <v>31</v>
      </c>
      <c r="AG3" s="70" t="s">
        <v>32</v>
      </c>
    </row>
    <row r="4">
      <c r="B4" s="71">
        <f>IFERROR(__xludf.DUMMYFUNCTION("filter(Datos,Clases=A3)"),45539.808260034726)</f>
        <v>45539.80826</v>
      </c>
      <c r="C4" s="72" t="str">
        <f>IFERROR(__xludf.DUMMYFUNCTION("""COMPUTED_VALUE"""),"Andres")</f>
        <v>Andres</v>
      </c>
      <c r="D4" s="72" t="str">
        <f>IFERROR(__xludf.DUMMYFUNCTION("""COMPUTED_VALUE"""),"Marcone")</f>
        <v>Marcone</v>
      </c>
      <c r="E4" s="72" t="str">
        <f>IFERROR(__xludf.DUMMYFUNCTION("""COMPUTED_VALUE"""),"CABA")</f>
        <v>CABA</v>
      </c>
      <c r="F4" s="73" t="str">
        <f>IFERROR(__xludf.DUMMYFUNCTION("""COMPUTED_VALUE"""),"ARG")</f>
        <v>ARG</v>
      </c>
      <c r="G4" s="73">
        <f>IFERROR(__xludf.DUMMYFUNCTION("""COMPUTED_VALUE"""),2.6938199E7)</f>
        <v>26938199</v>
      </c>
      <c r="H4" s="74">
        <f>IFERROR(__xludf.DUMMYFUNCTION("""COMPUTED_VALUE"""),28816.0)</f>
        <v>28816</v>
      </c>
      <c r="I4" s="75">
        <f>IFERROR(__xludf.DUMMYFUNCTION("""COMPUTED_VALUE"""),5.0974625E7)</f>
        <v>50974625</v>
      </c>
      <c r="J4" s="75">
        <f>IFERROR(__xludf.DUMMYFUNCTION("""COMPUTED_VALUE"""),2.4621595E7)</f>
        <v>24621595</v>
      </c>
      <c r="K4" s="75" t="str">
        <f>IFERROR(__xludf.DUMMYFUNCTION("""COMPUTED_VALUE"""),"marconeandres@hotmail.com")</f>
        <v>marconeandres@hotmail.com</v>
      </c>
      <c r="L4" s="75" t="str">
        <f>IFERROR(__xludf.DUMMYFUNCTION("""COMPUTED_VALUE"""),"Masculino")</f>
        <v>Masculino</v>
      </c>
      <c r="M4" s="75" t="str">
        <f>IFERROR(__xludf.DUMMYFUNCTION("""COMPUTED_VALUE"""),"YCA-CNO")</f>
        <v>YCA-CNO</v>
      </c>
      <c r="N4" s="75" t="str">
        <f>IFERROR(__xludf.DUMMYFUNCTION("""COMPUTED_VALUE"""),"Snipe")</f>
        <v>Snipe</v>
      </c>
      <c r="O4" s="75" t="str">
        <f>IFERROR(__xludf.DUMMYFUNCTION("""COMPUTED_VALUE"""),"SNIPE")</f>
        <v>SNIPE</v>
      </c>
      <c r="P4" s="75"/>
      <c r="Q4" s="75">
        <f>IFERROR(__xludf.DUMMYFUNCTION("""COMPUTED_VALUE"""),31421.0)</f>
        <v>31421</v>
      </c>
      <c r="R4" s="75"/>
      <c r="S4" s="75" t="str">
        <f>IFERROR(__xludf.DUMMYFUNCTION("""COMPUTED_VALUE"""),"Lucas Luzzi")</f>
        <v>Lucas Luzzi</v>
      </c>
      <c r="T4" s="75"/>
      <c r="U4" s="75"/>
      <c r="V4" s="75"/>
      <c r="W4" s="75"/>
      <c r="X4" s="75"/>
      <c r="Y4" s="75"/>
      <c r="Z4" s="73" t="str">
        <f>IFERROR(__xludf.DUMMYFUNCTION("""COMPUTED_VALUE"""),"No")</f>
        <v>No</v>
      </c>
      <c r="AA4" s="75" t="str">
        <f>IFERROR(__xludf.DUMMYFUNCTION("""COMPUTED_VALUE"""),"Acepto")</f>
        <v>Acepto</v>
      </c>
      <c r="AB4" s="73" t="str">
        <f>IFERROR(__xludf.DUMMYFUNCTION("""COMPUTED_VALUE"""),"Terminado")</f>
        <v>Terminado</v>
      </c>
      <c r="AC4" s="73">
        <f>IFERROR(__xludf.DUMMYFUNCTION("""COMPUTED_VALUE"""),60000.0)</f>
        <v>60000</v>
      </c>
      <c r="AD4" s="45">
        <f>IFERROR(__xludf.DUMMYFUNCTION("""COMPUTED_VALUE"""),205445.0)</f>
        <v>205445</v>
      </c>
      <c r="AE4" s="45" t="str">
        <f>IFERROR(__xludf.DUMMYFUNCTION("""COMPUTED_VALUE"""),"TRF 04-09")</f>
        <v>TRF 04-09</v>
      </c>
      <c r="AF4" s="73" t="str">
        <f>IFERROR(__xludf.DUMMYFUNCTION("""COMPUTED_VALUE"""),"No Corresp")</f>
        <v>No Corresp</v>
      </c>
      <c r="AG4" s="73"/>
    </row>
    <row r="5">
      <c r="B5" s="71">
        <f>IFERROR(__xludf.DUMMYFUNCTION("""COMPUTED_VALUE"""),45535.51102115741)</f>
        <v>45535.51102</v>
      </c>
      <c r="C5" s="72" t="str">
        <f>IFERROR(__xludf.DUMMYFUNCTION("""COMPUTED_VALUE"""),"Julio")</f>
        <v>Julio</v>
      </c>
      <c r="D5" s="72" t="str">
        <f>IFERROR(__xludf.DUMMYFUNCTION("""COMPUTED_VALUE"""),"Alsogaray")</f>
        <v>Alsogaray</v>
      </c>
      <c r="E5" s="72" t="str">
        <f>IFERROR(__xludf.DUMMYFUNCTION("""COMPUTED_VALUE"""),"San pedro")</f>
        <v>San pedro</v>
      </c>
      <c r="F5" s="73" t="str">
        <f>IFERROR(__xludf.DUMMYFUNCTION("""COMPUTED_VALUE"""),"ARG")</f>
        <v>ARG</v>
      </c>
      <c r="G5" s="73">
        <f>IFERROR(__xludf.DUMMYFUNCTION("""COMPUTED_VALUE"""),4.4365865E7)</f>
        <v>44365865</v>
      </c>
      <c r="H5" s="74">
        <f>IFERROR(__xludf.DUMMYFUNCTION("""COMPUTED_VALUE"""),29322.0)</f>
        <v>29322</v>
      </c>
      <c r="I5" s="75">
        <f>IFERROR(__xludf.DUMMYFUNCTION("""COMPUTED_VALUE"""),3.329547476E9)</f>
        <v>3329547476</v>
      </c>
      <c r="J5" s="75">
        <f>IFERROR(__xludf.DUMMYFUNCTION("""COMPUTED_VALUE"""),3.329547476E9)</f>
        <v>3329547476</v>
      </c>
      <c r="K5" s="75" t="str">
        <f>IFERROR(__xludf.DUMMYFUNCTION("""COMPUTED_VALUE"""),"malenasciarra@gmail.com")</f>
        <v>malenasciarra@gmail.com</v>
      </c>
      <c r="L5" s="75" t="str">
        <f>IFERROR(__xludf.DUMMYFUNCTION("""COMPUTED_VALUE"""),"Femenino")</f>
        <v>Femenino</v>
      </c>
      <c r="M5" s="75" t="str">
        <f>IFERROR(__xludf.DUMMYFUNCTION("""COMPUTED_VALUE"""),"CNSP")</f>
        <v>CNSP</v>
      </c>
      <c r="N5" s="75" t="str">
        <f>IFERROR(__xludf.DUMMYFUNCTION("""COMPUTED_VALUE"""),"Mixto")</f>
        <v>Mixto</v>
      </c>
      <c r="O5" s="75" t="str">
        <f>IFERROR(__xludf.DUMMYFUNCTION("""COMPUTED_VALUE"""),"SNIPE")</f>
        <v>SNIPE</v>
      </c>
      <c r="P5" s="75"/>
      <c r="Q5" s="75">
        <f>IFERROR(__xludf.DUMMYFUNCTION("""COMPUTED_VALUE"""),31792.0)</f>
        <v>31792</v>
      </c>
      <c r="R5" s="75" t="str">
        <f>IFERROR(__xludf.DUMMYFUNCTION("""COMPUTED_VALUE"""),"Pesadilla")</f>
        <v>Pesadilla</v>
      </c>
      <c r="S5" s="75" t="str">
        <f>IFERROR(__xludf.DUMMYFUNCTION("""COMPUTED_VALUE"""),"Malena Sciarra")</f>
        <v>Malena Sciarra</v>
      </c>
      <c r="T5" s="75"/>
      <c r="U5" s="75"/>
      <c r="V5" s="75"/>
      <c r="W5" s="75"/>
      <c r="X5" s="75"/>
      <c r="Y5" s="75" t="str">
        <f>IFERROR(__xludf.DUMMYFUNCTION("""COMPUTED_VALUE"""),".")</f>
        <v>.</v>
      </c>
      <c r="Z5" s="73" t="str">
        <f>IFERROR(__xludf.DUMMYFUNCTION("""COMPUTED_VALUE"""),"Si")</f>
        <v>Si</v>
      </c>
      <c r="AA5" s="75" t="str">
        <f>IFERROR(__xludf.DUMMYFUNCTION("""COMPUTED_VALUE"""),"Acepto")</f>
        <v>Acepto</v>
      </c>
      <c r="AB5" s="73" t="str">
        <f>IFERROR(__xludf.DUMMYFUNCTION("""COMPUTED_VALUE"""),"Terminado")</f>
        <v>Terminado</v>
      </c>
      <c r="AC5" s="73">
        <f>IFERROR(__xludf.DUMMYFUNCTION("""COMPUTED_VALUE"""),51000.0)</f>
        <v>51000</v>
      </c>
      <c r="AD5" s="45">
        <f>IFERROR(__xludf.DUMMYFUNCTION("""COMPUTED_VALUE"""),205160.0)</f>
        <v>205160</v>
      </c>
      <c r="AE5" s="45" t="str">
        <f>IFERROR(__xludf.DUMMYFUNCTION("""COMPUTED_VALUE"""),"Tarj 31-08")</f>
        <v>Tarj 31-08</v>
      </c>
      <c r="AF5" s="73" t="str">
        <f>IFERROR(__xludf.DUMMYFUNCTION("""COMPUTED_VALUE"""),"No Corresp")</f>
        <v>No Corresp</v>
      </c>
      <c r="AG5" s="73"/>
    </row>
    <row r="6">
      <c r="B6" s="71">
        <f>IFERROR(__xludf.DUMMYFUNCTION("""COMPUTED_VALUE"""),45526.51865115741)</f>
        <v>45526.51865</v>
      </c>
      <c r="C6" s="72" t="str">
        <f>IFERROR(__xludf.DUMMYFUNCTION("""COMPUTED_VALUE"""),"franco")</f>
        <v>franco</v>
      </c>
      <c r="D6" s="72" t="str">
        <f>IFERROR(__xludf.DUMMYFUNCTION("""COMPUTED_VALUE"""),"braccini")</f>
        <v>braccini</v>
      </c>
      <c r="E6" s="72" t="str">
        <f>IFERROR(__xludf.DUMMYFUNCTION("""COMPUTED_VALUE"""),"bahia blanca")</f>
        <v>bahia blanca</v>
      </c>
      <c r="F6" s="73" t="str">
        <f>IFERROR(__xludf.DUMMYFUNCTION("""COMPUTED_VALUE"""),"ARG")</f>
        <v>ARG</v>
      </c>
      <c r="G6" s="73">
        <f>IFERROR(__xludf.DUMMYFUNCTION("""COMPUTED_VALUE"""),3.9877404E7)</f>
        <v>39877404</v>
      </c>
      <c r="H6" s="74">
        <f>IFERROR(__xludf.DUMMYFUNCTION("""COMPUTED_VALUE"""),35321.0)</f>
        <v>35321</v>
      </c>
      <c r="I6" s="75">
        <f>IFERROR(__xludf.DUMMYFUNCTION("""COMPUTED_VALUE"""),2.914708823E9)</f>
        <v>2914708823</v>
      </c>
      <c r="J6" s="75"/>
      <c r="K6" s="75" t="str">
        <f>IFERROR(__xludf.DUMMYFUNCTION("""COMPUTED_VALUE"""),"franco-braccini@hotmail.com")</f>
        <v>franco-braccini@hotmail.com</v>
      </c>
      <c r="L6" s="75" t="str">
        <f>IFERROR(__xludf.DUMMYFUNCTION("""COMPUTED_VALUE"""),"Masculino")</f>
        <v>Masculino</v>
      </c>
      <c r="M6" s="75" t="str">
        <f>IFERROR(__xludf.DUMMYFUNCTION("""COMPUTED_VALUE"""),"YCPB - YCA")</f>
        <v>YCPB - YCA</v>
      </c>
      <c r="N6" s="75"/>
      <c r="O6" s="75" t="str">
        <f>IFERROR(__xludf.DUMMYFUNCTION("""COMPUTED_VALUE"""),"SNIPE")</f>
        <v>SNIPE</v>
      </c>
      <c r="P6" s="75"/>
      <c r="Q6" s="75">
        <f>IFERROR(__xludf.DUMMYFUNCTION("""COMPUTED_VALUE"""),31395.0)</f>
        <v>31395</v>
      </c>
      <c r="R6" s="75" t="str">
        <f>IFERROR(__xludf.DUMMYFUNCTION("""COMPUTED_VALUE"""),"Rigging BBa")</f>
        <v>Rigging BBa</v>
      </c>
      <c r="S6" s="75" t="str">
        <f>IFERROR(__xludf.DUMMYFUNCTION("""COMPUTED_VALUE"""),"Alejandro Pilotti")</f>
        <v>Alejandro Pilotti</v>
      </c>
      <c r="T6" s="75"/>
      <c r="U6" s="75"/>
      <c r="V6" s="75"/>
      <c r="W6" s="75"/>
      <c r="X6" s="75"/>
      <c r="Y6" s="75"/>
      <c r="Z6" s="73" t="str">
        <f>IFERROR(__xludf.DUMMYFUNCTION("""COMPUTED_VALUE"""),"Si")</f>
        <v>Si</v>
      </c>
      <c r="AA6" s="75" t="str">
        <f>IFERROR(__xludf.DUMMYFUNCTION("""COMPUTED_VALUE"""),"Acepto")</f>
        <v>Acepto</v>
      </c>
      <c r="AB6" s="73" t="str">
        <f>IFERROR(__xludf.DUMMYFUNCTION("""COMPUTED_VALUE"""),"Terminado")</f>
        <v>Terminado</v>
      </c>
      <c r="AC6" s="73">
        <f>IFERROR(__xludf.DUMMYFUNCTION("""COMPUTED_VALUE"""),59500.0)</f>
        <v>59500</v>
      </c>
      <c r="AD6" s="45">
        <f>IFERROR(__xludf.DUMMYFUNCTION("""COMPUTED_VALUE"""),205039.0)</f>
        <v>205039</v>
      </c>
      <c r="AE6" s="45" t="str">
        <f>IFERROR(__xludf.DUMMYFUNCTION("""COMPUTED_VALUE"""),"TRF 22-08")</f>
        <v>TRF 22-08</v>
      </c>
      <c r="AF6" s="73" t="str">
        <f>IFERROR(__xludf.DUMMYFUNCTION("""COMPUTED_VALUE"""),"No Corresp")</f>
        <v>No Corresp</v>
      </c>
      <c r="AG6" s="73"/>
    </row>
    <row r="7">
      <c r="B7" s="71">
        <f>IFERROR(__xludf.DUMMYFUNCTION("""COMPUTED_VALUE"""),45531.74747243055)</f>
        <v>45531.74747</v>
      </c>
      <c r="C7" s="72" t="str">
        <f>IFERROR(__xludf.DUMMYFUNCTION("""COMPUTED_VALUE"""),"Carlos ")</f>
        <v>Carlos </v>
      </c>
      <c r="D7" s="72" t="str">
        <f>IFERROR(__xludf.DUMMYFUNCTION("""COMPUTED_VALUE"""),"Castrillo")</f>
        <v>Castrillo</v>
      </c>
      <c r="E7" s="72" t="str">
        <f>IFERROR(__xludf.DUMMYFUNCTION("""COMPUTED_VALUE"""),"Caba")</f>
        <v>Caba</v>
      </c>
      <c r="F7" s="73" t="str">
        <f>IFERROR(__xludf.DUMMYFUNCTION("""COMPUTED_VALUE"""),"ARG")</f>
        <v>ARG</v>
      </c>
      <c r="G7" s="73">
        <f>IFERROR(__xludf.DUMMYFUNCTION("""COMPUTED_VALUE"""),1.6977775E7)</f>
        <v>16977775</v>
      </c>
      <c r="H7" s="74">
        <f>IFERROR(__xludf.DUMMYFUNCTION("""COMPUTED_VALUE"""),23377.0)</f>
        <v>23377</v>
      </c>
      <c r="I7" s="75">
        <f>IFERROR(__xludf.DUMMYFUNCTION("""COMPUTED_VALUE"""),1.141859147E9)</f>
        <v>1141859147</v>
      </c>
      <c r="J7" s="75">
        <f>IFERROR(__xludf.DUMMYFUNCTION("""COMPUTED_VALUE"""),1.145288592E9)</f>
        <v>1145288592</v>
      </c>
      <c r="K7" s="75" t="str">
        <f>IFERROR(__xludf.DUMMYFUNCTION("""COMPUTED_VALUE"""),"Carlos.castrillo@castrillo.com.ar")</f>
        <v>Carlos.castrillo@castrillo.com.ar</v>
      </c>
      <c r="L7" s="75" t="str">
        <f>IFERROR(__xludf.DUMMYFUNCTION("""COMPUTED_VALUE"""),"Masculino")</f>
        <v>Masculino</v>
      </c>
      <c r="M7" s="75" t="str">
        <f>IFERROR(__xludf.DUMMYFUNCTION("""COMPUTED_VALUE"""),"YCA CUBA")</f>
        <v>YCA CUBA</v>
      </c>
      <c r="N7" s="75"/>
      <c r="O7" s="75" t="str">
        <f>IFERROR(__xludf.DUMMYFUNCTION("""COMPUTED_VALUE"""),"SNIPE")</f>
        <v>SNIPE</v>
      </c>
      <c r="P7" s="75"/>
      <c r="Q7" s="75">
        <f>IFERROR(__xludf.DUMMYFUNCTION("""COMPUTED_VALUE"""),31402.0)</f>
        <v>31402</v>
      </c>
      <c r="R7" s="75" t="str">
        <f>IFERROR(__xludf.DUMMYFUNCTION("""COMPUTED_VALUE"""),"Guadalupe")</f>
        <v>Guadalupe</v>
      </c>
      <c r="S7" s="75" t="str">
        <f>IFERROR(__xludf.DUMMYFUNCTION("""COMPUTED_VALUE"""),"Martin Gruenberg")</f>
        <v>Martin Gruenberg</v>
      </c>
      <c r="T7" s="75"/>
      <c r="U7" s="75"/>
      <c r="V7" s="75"/>
      <c r="W7" s="75"/>
      <c r="X7" s="75"/>
      <c r="Y7" s="75"/>
      <c r="Z7" s="73" t="str">
        <f>IFERROR(__xludf.DUMMYFUNCTION("""COMPUTED_VALUE"""),"Si")</f>
        <v>Si</v>
      </c>
      <c r="AA7" s="75" t="str">
        <f>IFERROR(__xludf.DUMMYFUNCTION("""COMPUTED_VALUE"""),"Acepto")</f>
        <v>Acepto</v>
      </c>
      <c r="AB7" s="73" t="str">
        <f>IFERROR(__xludf.DUMMYFUNCTION("""COMPUTED_VALUE"""),"Terminado")</f>
        <v>Terminado</v>
      </c>
      <c r="AC7" s="73">
        <f>IFERROR(__xludf.DUMMYFUNCTION("""COMPUTED_VALUE"""),60000.0)</f>
        <v>60000</v>
      </c>
      <c r="AD7" s="45">
        <f>IFERROR(__xludf.DUMMYFUNCTION("""COMPUTED_VALUE"""),205059.0)</f>
        <v>205059</v>
      </c>
      <c r="AE7" s="45" t="str">
        <f>IFERROR(__xludf.DUMMYFUNCTION("""COMPUTED_VALUE"""),"TRF 27-08")</f>
        <v>TRF 27-08</v>
      </c>
      <c r="AF7" s="73" t="str">
        <f>IFERROR(__xludf.DUMMYFUNCTION("""COMPUTED_VALUE"""),"No Corresp")</f>
        <v>No Corresp</v>
      </c>
      <c r="AG7" s="73"/>
    </row>
    <row r="8">
      <c r="B8" s="71">
        <f>IFERROR(__xludf.DUMMYFUNCTION("""COMPUTED_VALUE"""),45533.38527478009)</f>
        <v>45533.38527</v>
      </c>
      <c r="C8" s="72" t="str">
        <f>IFERROR(__xludf.DUMMYFUNCTION("""COMPUTED_VALUE"""),"Nicolás ")</f>
        <v>Nicolás </v>
      </c>
      <c r="D8" s="72" t="str">
        <f>IFERROR(__xludf.DUMMYFUNCTION("""COMPUTED_VALUE"""),"Garcia")</f>
        <v>Garcia</v>
      </c>
      <c r="E8" s="72" t="str">
        <f>IFERROR(__xludf.DUMMYFUNCTION("""COMPUTED_VALUE"""),"Bahia Blanca")</f>
        <v>Bahia Blanca</v>
      </c>
      <c r="F8" s="73" t="str">
        <f>IFERROR(__xludf.DUMMYFUNCTION("""COMPUTED_VALUE"""),"ARG")</f>
        <v>ARG</v>
      </c>
      <c r="G8" s="73">
        <f>IFERROR(__xludf.DUMMYFUNCTION("""COMPUTED_VALUE"""),2.6958355E7)</f>
        <v>26958355</v>
      </c>
      <c r="H8" s="74">
        <f>IFERROR(__xludf.DUMMYFUNCTION("""COMPUTED_VALUE"""),28769.0)</f>
        <v>28769</v>
      </c>
      <c r="I8" s="75">
        <f>IFERROR(__xludf.DUMMYFUNCTION("""COMPUTED_VALUE"""),2.6958355E7)</f>
        <v>26958355</v>
      </c>
      <c r="J8" s="75" t="str">
        <f>IFERROR(__xludf.DUMMYFUNCTION("""COMPUTED_VALUE"""),"+54 9 291 414 3068")</f>
        <v>+54 9 291 414 3068</v>
      </c>
      <c r="K8" s="75" t="str">
        <f>IFERROR(__xludf.DUMMYFUNCTION("""COMPUTED_VALUE"""),"ngarcia@eco-petrol.com.ar")</f>
        <v>ngarcia@eco-petrol.com.ar</v>
      </c>
      <c r="L8" s="75" t="str">
        <f>IFERROR(__xludf.DUMMYFUNCTION("""COMPUTED_VALUE"""),"Masculino")</f>
        <v>Masculino</v>
      </c>
      <c r="M8" s="75" t="str">
        <f>IFERROR(__xludf.DUMMYFUNCTION("""COMPUTED_VALUE"""),"YCO")</f>
        <v>YCO</v>
      </c>
      <c r="N8" s="75" t="str">
        <f>IFERROR(__xludf.DUMMYFUNCTION("""COMPUTED_VALUE"""),"Mixto")</f>
        <v>Mixto</v>
      </c>
      <c r="O8" s="75" t="str">
        <f>IFERROR(__xludf.DUMMYFUNCTION("""COMPUTED_VALUE"""),"SNIPE")</f>
        <v>SNIPE</v>
      </c>
      <c r="P8" s="75"/>
      <c r="Q8" s="75">
        <f>IFERROR(__xludf.DUMMYFUNCTION("""COMPUTED_VALUE"""),31808.0)</f>
        <v>31808</v>
      </c>
      <c r="R8" s="75"/>
      <c r="S8" s="75" t="str">
        <f>IFERROR(__xludf.DUMMYFUNCTION("""COMPUTED_VALUE"""),"Mariela Salerno")</f>
        <v>Mariela Salerno</v>
      </c>
      <c r="T8" s="75"/>
      <c r="U8" s="75"/>
      <c r="V8" s="75"/>
      <c r="W8" s="75"/>
      <c r="X8" s="75"/>
      <c r="Y8" s="75"/>
      <c r="Z8" s="73" t="str">
        <f>IFERROR(__xludf.DUMMYFUNCTION("""COMPUTED_VALUE"""),"Si")</f>
        <v>Si</v>
      </c>
      <c r="AA8" s="75" t="str">
        <f>IFERROR(__xludf.DUMMYFUNCTION("""COMPUTED_VALUE"""),"Acepto")</f>
        <v>Acepto</v>
      </c>
      <c r="AB8" s="73" t="str">
        <f>IFERROR(__xludf.DUMMYFUNCTION("""COMPUTED_VALUE"""),"Terminado")</f>
        <v>Terminado</v>
      </c>
      <c r="AC8" s="73">
        <f>IFERROR(__xludf.DUMMYFUNCTION("""COMPUTED_VALUE"""),60000.0)</f>
        <v>60000</v>
      </c>
      <c r="AD8" s="45">
        <f>IFERROR(__xludf.DUMMYFUNCTION("""COMPUTED_VALUE"""),205120.0)</f>
        <v>205120</v>
      </c>
      <c r="AE8" s="45" t="str">
        <f>IFERROR(__xludf.DUMMYFUNCTION("""COMPUTED_VALUE"""),"Tarj.31-08")</f>
        <v>Tarj.31-08</v>
      </c>
      <c r="AF8" s="73" t="str">
        <f>IFERROR(__xludf.DUMMYFUNCTION("""COMPUTED_VALUE"""),"No Corresp")</f>
        <v>No Corresp</v>
      </c>
      <c r="AG8" s="73" t="str">
        <f>IFERROR(__xludf.DUMMYFUNCTION("""COMPUTED_VALUE"""),"Si")</f>
        <v>Si</v>
      </c>
    </row>
    <row r="9">
      <c r="B9" s="71">
        <f>IFERROR(__xludf.DUMMYFUNCTION("""COMPUTED_VALUE"""),45534.72881792824)</f>
        <v>45534.72882</v>
      </c>
      <c r="C9" s="72" t="str">
        <f>IFERROR(__xludf.DUMMYFUNCTION("""COMPUTED_VALUE"""),"Luciano")</f>
        <v>Luciano</v>
      </c>
      <c r="D9" s="72" t="str">
        <f>IFERROR(__xludf.DUMMYFUNCTION("""COMPUTED_VALUE"""),"Pesci")</f>
        <v>Pesci</v>
      </c>
      <c r="E9" s="72" t="str">
        <f>IFERROR(__xludf.DUMMYFUNCTION("""COMPUTED_VALUE"""),"Cordoba")</f>
        <v>Cordoba</v>
      </c>
      <c r="F9" s="73" t="str">
        <f>IFERROR(__xludf.DUMMYFUNCTION("""COMPUTED_VALUE"""),"ARG")</f>
        <v>ARG</v>
      </c>
      <c r="G9" s="73">
        <f>IFERROR(__xludf.DUMMYFUNCTION("""COMPUTED_VALUE"""),3.6234715E7)</f>
        <v>36234715</v>
      </c>
      <c r="H9" s="74">
        <f>IFERROR(__xludf.DUMMYFUNCTION("""COMPUTED_VALUE"""),33694.0)</f>
        <v>33694</v>
      </c>
      <c r="I9" s="75">
        <f>IFERROR(__xludf.DUMMYFUNCTION("""COMPUTED_VALUE"""),3.541621149E9)</f>
        <v>3541621149</v>
      </c>
      <c r="J9" s="75">
        <f>IFERROR(__xludf.DUMMYFUNCTION("""COMPUTED_VALUE"""),1.140431213E9)</f>
        <v>1140431213</v>
      </c>
      <c r="K9" s="75" t="str">
        <f>IFERROR(__xludf.DUMMYFUNCTION("""COMPUTED_VALUE"""),"Pesci.luciano@gmail.com")</f>
        <v>Pesci.luciano@gmail.com</v>
      </c>
      <c r="L9" s="75" t="str">
        <f>IFERROR(__xludf.DUMMYFUNCTION("""COMPUTED_VALUE"""),"Masculino")</f>
        <v>Masculino</v>
      </c>
      <c r="M9" s="75" t="str">
        <f>IFERROR(__xludf.DUMMYFUNCTION("""COMPUTED_VALUE"""),"Cnc")</f>
        <v>Cnc</v>
      </c>
      <c r="N9" s="75" t="str">
        <f>IFERROR(__xludf.DUMMYFUNCTION("""COMPUTED_VALUE"""),"Mixto")</f>
        <v>Mixto</v>
      </c>
      <c r="O9" s="75" t="str">
        <f>IFERROR(__xludf.DUMMYFUNCTION("""COMPUTED_VALUE"""),"SNIPE")</f>
        <v>SNIPE</v>
      </c>
      <c r="P9" s="75"/>
      <c r="Q9" s="75">
        <f>IFERROR(__xludf.DUMMYFUNCTION("""COMPUTED_VALUE"""),30599.0)</f>
        <v>30599</v>
      </c>
      <c r="R9" s="75"/>
      <c r="S9" s="75" t="str">
        <f>IFERROR(__xludf.DUMMYFUNCTION("""COMPUTED_VALUE"""),"Florencia Galimberti")</f>
        <v>Florencia Galimberti</v>
      </c>
      <c r="T9" s="75"/>
      <c r="U9" s="75"/>
      <c r="V9" s="75"/>
      <c r="W9" s="75"/>
      <c r="X9" s="75"/>
      <c r="Y9" s="75" t="str">
        <f>IFERROR(__xludf.DUMMYFUNCTION("""COMPUTED_VALUE"""),"Omint")</f>
        <v>Omint</v>
      </c>
      <c r="Z9" s="73" t="str">
        <f>IFERROR(__xludf.DUMMYFUNCTION("""COMPUTED_VALUE"""),"Si")</f>
        <v>Si</v>
      </c>
      <c r="AA9" s="75" t="str">
        <f>IFERROR(__xludf.DUMMYFUNCTION("""COMPUTED_VALUE"""),"Acepto")</f>
        <v>Acepto</v>
      </c>
      <c r="AB9" s="73" t="str">
        <f>IFERROR(__xludf.DUMMYFUNCTION("""COMPUTED_VALUE"""),"Terminado")</f>
        <v>Terminado</v>
      </c>
      <c r="AC9" s="73">
        <f>IFERROR(__xludf.DUMMYFUNCTION("""COMPUTED_VALUE"""),51000.0)</f>
        <v>51000</v>
      </c>
      <c r="AD9" s="45">
        <f>IFERROR(__xludf.DUMMYFUNCTION("""COMPUTED_VALUE"""),205364.0)</f>
        <v>205364</v>
      </c>
      <c r="AE9" s="45" t="str">
        <f>IFERROR(__xludf.DUMMYFUNCTION("""COMPUTED_VALUE"""),"TRF 31-08")</f>
        <v>TRF 31-08</v>
      </c>
      <c r="AF9" s="73" t="str">
        <f>IFERROR(__xludf.DUMMYFUNCTION("""COMPUTED_VALUE"""),"No Corresp")</f>
        <v>No Corresp</v>
      </c>
      <c r="AG9" s="73"/>
    </row>
    <row r="10">
      <c r="B10" s="71">
        <f>IFERROR(__xludf.DUMMYFUNCTION("""COMPUTED_VALUE"""),45535.47457320602)</f>
        <v>45535.47457</v>
      </c>
      <c r="C10" s="72" t="str">
        <f>IFERROR(__xludf.DUMMYFUNCTION("""COMPUTED_VALUE"""),"Ignacio ")</f>
        <v>Ignacio </v>
      </c>
      <c r="D10" s="72" t="str">
        <f>IFERROR(__xludf.DUMMYFUNCTION("""COMPUTED_VALUE"""),"Rodriguez")</f>
        <v>Rodriguez</v>
      </c>
      <c r="E10" s="72" t="str">
        <f>IFERROR(__xludf.DUMMYFUNCTION("""COMPUTED_VALUE"""),"Montevideo")</f>
        <v>Montevideo</v>
      </c>
      <c r="F10" s="73" t="str">
        <f>IFERROR(__xludf.DUMMYFUNCTION("""COMPUTED_VALUE"""),"URU")</f>
        <v>URU</v>
      </c>
      <c r="G10" s="73">
        <f>IFERROR(__xludf.DUMMYFUNCTION("""COMPUTED_VALUE"""),4.9507645E7)</f>
        <v>49507645</v>
      </c>
      <c r="H10" s="74">
        <f>IFERROR(__xludf.DUMMYFUNCTION("""COMPUTED_VALUE"""),35476.0)</f>
        <v>35476</v>
      </c>
      <c r="I10" s="75" t="str">
        <f>IFERROR(__xludf.DUMMYFUNCTION("""COMPUTED_VALUE"""),"0059899127317")</f>
        <v>0059899127317</v>
      </c>
      <c r="J10" s="75" t="str">
        <f>IFERROR(__xludf.DUMMYFUNCTION("""COMPUTED_VALUE"""),"0059899668494")</f>
        <v>0059899668494</v>
      </c>
      <c r="K10" s="75" t="str">
        <f>IFERROR(__xludf.DUMMYFUNCTION("""COMPUTED_VALUE"""),"daniel@guayaqui.com.uy")</f>
        <v>daniel@guayaqui.com.uy</v>
      </c>
      <c r="L10" s="75" t="str">
        <f>IFERROR(__xludf.DUMMYFUNCTION("""COMPUTED_VALUE"""),"Masculino")</f>
        <v>Masculino</v>
      </c>
      <c r="M10" s="75" t="str">
        <f>IFERROR(__xludf.DUMMYFUNCTION("""COMPUTED_VALUE"""),"YCU")</f>
        <v>YCU</v>
      </c>
      <c r="N10" s="75" t="str">
        <f>IFERROR(__xludf.DUMMYFUNCTION("""COMPUTED_VALUE"""),"snipe mixto")</f>
        <v>snipe mixto</v>
      </c>
      <c r="O10" s="75" t="str">
        <f>IFERROR(__xludf.DUMMYFUNCTION("""COMPUTED_VALUE"""),"SNIPE")</f>
        <v>SNIPE</v>
      </c>
      <c r="P10" s="75"/>
      <c r="Q10" s="75" t="str">
        <f>IFERROR(__xludf.DUMMYFUNCTION("""COMPUTED_VALUE"""),"URU 29785")</f>
        <v>URU 29785</v>
      </c>
      <c r="R10" s="75"/>
      <c r="S10" s="75" t="str">
        <f>IFERROR(__xludf.DUMMYFUNCTION("""COMPUTED_VALUE"""),"Carolina Rodriguez")</f>
        <v>Carolina Rodriguez</v>
      </c>
      <c r="T10" s="75"/>
      <c r="U10" s="75"/>
      <c r="V10" s="75"/>
      <c r="W10" s="75"/>
      <c r="X10" s="75"/>
      <c r="Y10" s="75" t="str">
        <f>IFERROR(__xludf.DUMMYFUNCTION("""COMPUTED_VALUE"""),"Medicina Personalizada Uruguay 49507645/49508417 ")</f>
        <v>Medicina Personalizada Uruguay 49507645/49508417 </v>
      </c>
      <c r="Z10" s="73" t="str">
        <f>IFERROR(__xludf.DUMMYFUNCTION("""COMPUTED_VALUE"""),"Si")</f>
        <v>Si</v>
      </c>
      <c r="AA10" s="75" t="str">
        <f>IFERROR(__xludf.DUMMYFUNCTION("""COMPUTED_VALUE"""),"Acepto")</f>
        <v>Acepto</v>
      </c>
      <c r="AB10" s="73" t="str">
        <f>IFERROR(__xludf.DUMMYFUNCTION("""COMPUTED_VALUE"""),"Pendiente")</f>
        <v>Pendiente</v>
      </c>
      <c r="AC10" s="73"/>
      <c r="AD10" s="45"/>
      <c r="AE10" s="45"/>
      <c r="AF10" s="73" t="str">
        <f>IFERROR(__xludf.DUMMYFUNCTION("""COMPUTED_VALUE"""),"No Corresp")</f>
        <v>No Corresp</v>
      </c>
      <c r="AG10" s="73"/>
    </row>
    <row r="11">
      <c r="B11" s="71">
        <f>IFERROR(__xludf.DUMMYFUNCTION("""COMPUTED_VALUE"""),45534.74651648148)</f>
        <v>45534.74652</v>
      </c>
      <c r="C11" s="72" t="str">
        <f>IFERROR(__xludf.DUMMYFUNCTION("""COMPUTED_VALUE"""),"Gabriel ")</f>
        <v>Gabriel </v>
      </c>
      <c r="D11" s="72" t="str">
        <f>IFERROR(__xludf.DUMMYFUNCTION("""COMPUTED_VALUE"""),"Schebor ")</f>
        <v>Schebor </v>
      </c>
      <c r="E11" s="72" t="str">
        <f>IFERROR(__xludf.DUMMYFUNCTION("""COMPUTED_VALUE"""),"Beccar, san Isidro ")</f>
        <v>Beccar, san Isidro </v>
      </c>
      <c r="F11" s="73" t="str">
        <f>IFERROR(__xludf.DUMMYFUNCTION("""COMPUTED_VALUE"""),"ARG")</f>
        <v>ARG</v>
      </c>
      <c r="G11" s="73">
        <f>IFERROR(__xludf.DUMMYFUNCTION("""COMPUTED_VALUE"""),1.7543579E7)</f>
        <v>17543579</v>
      </c>
      <c r="H11" s="74">
        <f>IFERROR(__xludf.DUMMYFUNCTION("""COMPUTED_VALUE"""),23995.0)</f>
        <v>23995</v>
      </c>
      <c r="I11" s="75">
        <f>IFERROR(__xludf.DUMMYFUNCTION("""COMPUTED_VALUE"""),1.150615721E9)</f>
        <v>1150615721</v>
      </c>
      <c r="J11" s="75">
        <f>IFERROR(__xludf.DUMMYFUNCTION("""COMPUTED_VALUE"""),1.163606183E9)</f>
        <v>1163606183</v>
      </c>
      <c r="K11" s="75" t="str">
        <f>IFERROR(__xludf.DUMMYFUNCTION("""COMPUTED_VALUE"""),"Gabrielschebor@gmail.com")</f>
        <v>Gabrielschebor@gmail.com</v>
      </c>
      <c r="L11" s="75" t="str">
        <f>IFERROR(__xludf.DUMMYFUNCTION("""COMPUTED_VALUE"""),"Masculino")</f>
        <v>Masculino</v>
      </c>
      <c r="M11" s="75" t="str">
        <f>IFERROR(__xludf.DUMMYFUNCTION("""COMPUTED_VALUE"""),"Azopardo ")</f>
        <v>Azopardo </v>
      </c>
      <c r="N11" s="75" t="str">
        <f>IFERROR(__xludf.DUMMYFUNCTION("""COMPUTED_VALUE"""),"Senior mixto")</f>
        <v>Senior mixto</v>
      </c>
      <c r="O11" s="75" t="str">
        <f>IFERROR(__xludf.DUMMYFUNCTION("""COMPUTED_VALUE"""),"SNIPE")</f>
        <v>SNIPE</v>
      </c>
      <c r="P11" s="75"/>
      <c r="Q11" s="75">
        <f>IFERROR(__xludf.DUMMYFUNCTION("""COMPUTED_VALUE"""),30635.0)</f>
        <v>30635</v>
      </c>
      <c r="R11" s="75" t="str">
        <f>IFERROR(__xludf.DUMMYFUNCTION("""COMPUTED_VALUE"""),"Pour ung plaisir ")</f>
        <v>Pour ung plaisir </v>
      </c>
      <c r="S11" s="75" t="str">
        <f>IFERROR(__xludf.DUMMYFUNCTION("""COMPUTED_VALUE"""),"Josefina Casella")</f>
        <v>Josefina Casella</v>
      </c>
      <c r="T11" s="75"/>
      <c r="U11" s="75"/>
      <c r="V11" s="75"/>
      <c r="W11" s="75"/>
      <c r="X11" s="75"/>
      <c r="Y11" s="75" t="str">
        <f>IFERROR(__xludf.DUMMYFUNCTION("""COMPUTED_VALUE"""),"IOMA 117543579200")</f>
        <v>IOMA 117543579200</v>
      </c>
      <c r="Z11" s="73" t="str">
        <f>IFERROR(__xludf.DUMMYFUNCTION("""COMPUTED_VALUE"""),"No")</f>
        <v>No</v>
      </c>
      <c r="AA11" s="75" t="str">
        <f>IFERROR(__xludf.DUMMYFUNCTION("""COMPUTED_VALUE"""),"Acepto")</f>
        <v>Acepto</v>
      </c>
      <c r="AB11" s="73" t="str">
        <f>IFERROR(__xludf.DUMMYFUNCTION("""COMPUTED_VALUE"""),"Terminado")</f>
        <v>Terminado</v>
      </c>
      <c r="AC11" s="73">
        <f>IFERROR(__xludf.DUMMYFUNCTION("""COMPUTED_VALUE"""),60000.0)</f>
        <v>60000</v>
      </c>
      <c r="AD11" s="45">
        <f>IFERROR(__xludf.DUMMYFUNCTION("""COMPUTED_VALUE"""),205127.0)</f>
        <v>205127</v>
      </c>
      <c r="AE11" s="45" t="str">
        <f>IFERROR(__xludf.DUMMYFUNCTION("""COMPUTED_VALUE"""),"TRF 30-08")</f>
        <v>TRF 30-08</v>
      </c>
      <c r="AF11" s="73" t="str">
        <f>IFERROR(__xludf.DUMMYFUNCTION("""COMPUTED_VALUE"""),"No Corresp")</f>
        <v>No Corresp</v>
      </c>
      <c r="AG11" s="73"/>
    </row>
    <row r="12">
      <c r="B12" s="76">
        <f>IFERROR(__xludf.DUMMYFUNCTION("""COMPUTED_VALUE"""),45536.765659282406)</f>
        <v>45536.76566</v>
      </c>
      <c r="C12" s="72" t="str">
        <f>IFERROR(__xludf.DUMMYFUNCTION("""COMPUTED_VALUE"""),"Alejandro")</f>
        <v>Alejandro</v>
      </c>
      <c r="D12" s="72" t="str">
        <f>IFERROR(__xludf.DUMMYFUNCTION("""COMPUTED_VALUE"""),"Triggiano")</f>
        <v>Triggiano</v>
      </c>
      <c r="E12" s="72" t="str">
        <f>IFERROR(__xludf.DUMMYFUNCTION("""COMPUTED_VALUE"""),"Salta")</f>
        <v>Salta</v>
      </c>
      <c r="F12" s="72" t="str">
        <f>IFERROR(__xludf.DUMMYFUNCTION("""COMPUTED_VALUE"""),"ARG")</f>
        <v>ARG</v>
      </c>
      <c r="G12" s="73">
        <f>IFERROR(__xludf.DUMMYFUNCTION("""COMPUTED_VALUE"""),2.3079394E7)</f>
        <v>23079394</v>
      </c>
      <c r="H12" s="74">
        <f>IFERROR(__xludf.DUMMYFUNCTION("""COMPUTED_VALUE"""),26704.0)</f>
        <v>26704</v>
      </c>
      <c r="I12" s="75">
        <f>IFERROR(__xludf.DUMMYFUNCTION("""COMPUTED_VALUE"""),3.8752209E9)</f>
        <v>3875220900</v>
      </c>
      <c r="J12" s="75">
        <f>IFERROR(__xludf.DUMMYFUNCTION("""COMPUTED_VALUE"""),3.874121431E9)</f>
        <v>3874121431</v>
      </c>
      <c r="K12" s="75" t="str">
        <f>IFERROR(__xludf.DUMMYFUNCTION("""COMPUTED_VALUE"""),"aletriggiano@icloud.com")</f>
        <v>aletriggiano@icloud.com</v>
      </c>
      <c r="L12" s="75" t="str">
        <f>IFERROR(__xludf.DUMMYFUNCTION("""COMPUTED_VALUE"""),"Masculino")</f>
        <v>Masculino</v>
      </c>
      <c r="M12" s="75" t="str">
        <f>IFERROR(__xludf.DUMMYFUNCTION("""COMPUTED_VALUE"""),"CRG")</f>
        <v>CRG</v>
      </c>
      <c r="N12" s="75" t="str">
        <f>IFERROR(__xludf.DUMMYFUNCTION("""COMPUTED_VALUE"""),"Master (ILCA)")</f>
        <v>Master (ILCA)</v>
      </c>
      <c r="O12" s="75" t="str">
        <f>IFERROR(__xludf.DUMMYFUNCTION("""COMPUTED_VALUE"""),"SNIPE")</f>
        <v>SNIPE</v>
      </c>
      <c r="P12" s="75"/>
      <c r="Q12" s="75">
        <f>IFERROR(__xludf.DUMMYFUNCTION("""COMPUTED_VALUE"""),31710.0)</f>
        <v>31710</v>
      </c>
      <c r="R12" s="75" t="str">
        <f>IFERROR(__xludf.DUMMYFUNCTION("""COMPUTED_VALUE"""),"Scirocco")</f>
        <v>Scirocco</v>
      </c>
      <c r="S12" s="75" t="str">
        <f>IFERROR(__xludf.DUMMYFUNCTION("""COMPUTED_VALUE"""),"Safar Exeni Mariana")</f>
        <v>Safar Exeni Mariana</v>
      </c>
      <c r="T12" s="75"/>
      <c r="U12" s="75"/>
      <c r="V12" s="75"/>
      <c r="W12" s="75"/>
      <c r="X12" s="75"/>
      <c r="Y12" s="75"/>
      <c r="Z12" s="73" t="str">
        <f>IFERROR(__xludf.DUMMYFUNCTION("""COMPUTED_VALUE"""),"Si")</f>
        <v>Si</v>
      </c>
      <c r="AA12" s="75" t="str">
        <f>IFERROR(__xludf.DUMMYFUNCTION("""COMPUTED_VALUE"""),"Acepto")</f>
        <v>Acepto</v>
      </c>
      <c r="AB12" s="73" t="str">
        <f>IFERROR(__xludf.DUMMYFUNCTION("""COMPUTED_VALUE"""),"Terminado")</f>
        <v>Terminado</v>
      </c>
      <c r="AC12" s="73">
        <f>IFERROR(__xludf.DUMMYFUNCTION("""COMPUTED_VALUE"""),60000.0)</f>
        <v>60000</v>
      </c>
      <c r="AD12" s="45">
        <f>IFERROR(__xludf.DUMMYFUNCTION("""COMPUTED_VALUE"""),205387.0)</f>
        <v>205387</v>
      </c>
      <c r="AE12" s="45" t="str">
        <f>IFERROR(__xludf.DUMMYFUNCTION("""COMPUTED_VALUE"""),"TRF 02-09")</f>
        <v>TRF 02-09</v>
      </c>
      <c r="AF12" s="73" t="str">
        <f>IFERROR(__xludf.DUMMYFUNCTION("""COMPUTED_VALUE"""),"No Corresp")</f>
        <v>No Corresp</v>
      </c>
      <c r="AG12" s="73"/>
    </row>
    <row r="13">
      <c r="B13" s="71">
        <f>IFERROR(__xludf.DUMMYFUNCTION("""COMPUTED_VALUE"""),45541.88373035879)</f>
        <v>45541.88373</v>
      </c>
      <c r="C13" s="72" t="str">
        <f>IFERROR(__xludf.DUMMYFUNCTION("""COMPUTED_VALUE"""),"Augusto")</f>
        <v>Augusto</v>
      </c>
      <c r="D13" s="72" t="str">
        <f>IFERROR(__xludf.DUMMYFUNCTION("""COMPUTED_VALUE"""),"Amato")</f>
        <v>Amato</v>
      </c>
      <c r="E13" s="72" t="str">
        <f>IFERROR(__xludf.DUMMYFUNCTION("""COMPUTED_VALUE"""),"Olivos")</f>
        <v>Olivos</v>
      </c>
      <c r="F13" s="73" t="str">
        <f>IFERROR(__xludf.DUMMYFUNCTION("""COMPUTED_VALUE"""),"ARG")</f>
        <v>ARG</v>
      </c>
      <c r="G13" s="73">
        <f>IFERROR(__xludf.DUMMYFUNCTION("""COMPUTED_VALUE"""),2.2847701E7)</f>
        <v>22847701</v>
      </c>
      <c r="H13" s="74">
        <f>IFERROR(__xludf.DUMMYFUNCTION("""COMPUTED_VALUE"""),26492.0)</f>
        <v>26492</v>
      </c>
      <c r="I13" s="75">
        <f>IFERROR(__xludf.DUMMYFUNCTION("""COMPUTED_VALUE"""),1.135726575E9)</f>
        <v>1135726575</v>
      </c>
      <c r="J13" s="75"/>
      <c r="K13" s="75" t="str">
        <f>IFERROR(__xludf.DUMMYFUNCTION("""COMPUTED_VALUE"""),"augusto_amato@hotmail.com")</f>
        <v>augusto_amato@hotmail.com</v>
      </c>
      <c r="L13" s="75" t="str">
        <f>IFERROR(__xludf.DUMMYFUNCTION("""COMPUTED_VALUE"""),"Masculino")</f>
        <v>Masculino</v>
      </c>
      <c r="M13" s="75" t="str">
        <f>IFERROR(__xludf.DUMMYFUNCTION("""COMPUTED_VALUE"""),"CNO")</f>
        <v>CNO</v>
      </c>
      <c r="N13" s="75"/>
      <c r="O13" s="75" t="str">
        <f>IFERROR(__xludf.DUMMYFUNCTION("""COMPUTED_VALUE"""),"SNIPE")</f>
        <v>SNIPE</v>
      </c>
      <c r="P13" s="75"/>
      <c r="Q13" s="75" t="str">
        <f>IFERROR(__xludf.DUMMYFUNCTION("""COMPUTED_VALUE"""),"ARG 31752")</f>
        <v>ARG 31752</v>
      </c>
      <c r="R13" s="75" t="str">
        <f>IFERROR(__xludf.DUMMYFUNCTION("""COMPUTED_VALUE"""),"Lightning McQueen")</f>
        <v>Lightning McQueen</v>
      </c>
      <c r="S13" s="75" t="str">
        <f>IFERROR(__xludf.DUMMYFUNCTION("""COMPUTED_VALUE"""),"Constanza Alvarez")</f>
        <v>Constanza Alvarez</v>
      </c>
      <c r="T13" s="75"/>
      <c r="U13" s="75"/>
      <c r="V13" s="75"/>
      <c r="W13" s="75"/>
      <c r="X13" s="75"/>
      <c r="Y13" s="75" t="str">
        <f>IFERROR(__xludf.DUMMYFUNCTION("""COMPUTED_VALUE"""),"Obra Social del Poder Judicial ")</f>
        <v>Obra Social del Poder Judicial </v>
      </c>
      <c r="Z13" s="73" t="str">
        <f>IFERROR(__xludf.DUMMYFUNCTION("""COMPUTED_VALUE"""),"No")</f>
        <v>No</v>
      </c>
      <c r="AA13" s="75" t="str">
        <f>IFERROR(__xludf.DUMMYFUNCTION("""COMPUTED_VALUE"""),"Acepto")</f>
        <v>Acepto</v>
      </c>
      <c r="AB13" s="73" t="str">
        <f>IFERROR(__xludf.DUMMYFUNCTION("""COMPUTED_VALUE"""),"Terminado")</f>
        <v>Terminado</v>
      </c>
      <c r="AC13" s="73">
        <f>IFERROR(__xludf.DUMMYFUNCTION("""COMPUTED_VALUE"""),60000.0)</f>
        <v>60000</v>
      </c>
      <c r="AD13" s="45">
        <f>IFERROR(__xludf.DUMMYFUNCTION("""COMPUTED_VALUE"""),205561.0)</f>
        <v>205561</v>
      </c>
      <c r="AE13" s="45" t="str">
        <f>IFERROR(__xludf.DUMMYFUNCTION("""COMPUTED_VALUE"""),"TRF 06-09")</f>
        <v>TRF 06-09</v>
      </c>
      <c r="AF13" s="73" t="str">
        <f>IFERROR(__xludf.DUMMYFUNCTION("""COMPUTED_VALUE"""),"No Corresp")</f>
        <v>No Corresp</v>
      </c>
      <c r="AG13" s="73"/>
    </row>
    <row r="14">
      <c r="B14" s="71">
        <f>IFERROR(__xludf.DUMMYFUNCTION("""COMPUTED_VALUE"""),45542.5371641088)</f>
        <v>45542.53716</v>
      </c>
      <c r="C14" s="72" t="str">
        <f>IFERROR(__xludf.DUMMYFUNCTION("""COMPUTED_VALUE"""),"Simón ")</f>
        <v>Simón </v>
      </c>
      <c r="D14" s="72" t="str">
        <f>IFERROR(__xludf.DUMMYFUNCTION("""COMPUTED_VALUE"""),"Acosta")</f>
        <v>Acosta</v>
      </c>
      <c r="E14" s="72" t="str">
        <f>IFERROR(__xludf.DUMMYFUNCTION("""COMPUTED_VALUE"""),"Buenos Aires")</f>
        <v>Buenos Aires</v>
      </c>
      <c r="F14" s="73" t="str">
        <f>IFERROR(__xludf.DUMMYFUNCTION("""COMPUTED_VALUE"""),"ARG")</f>
        <v>ARG</v>
      </c>
      <c r="G14" s="73">
        <f>IFERROR(__xludf.DUMMYFUNCTION("""COMPUTED_VALUE"""),4.8461733E7)</f>
        <v>48461733</v>
      </c>
      <c r="H14" s="74">
        <f>IFERROR(__xludf.DUMMYFUNCTION("""COMPUTED_VALUE"""),39500.0)</f>
        <v>39500</v>
      </c>
      <c r="I14" s="75">
        <f>IFERROR(__xludf.DUMMYFUNCTION("""COMPUTED_VALUE"""),1.154055655E9)</f>
        <v>1154055655</v>
      </c>
      <c r="J14" s="75"/>
      <c r="K14" s="75" t="str">
        <f>IFERROR(__xludf.DUMMYFUNCTION("""COMPUTED_VALUE"""),"simonacosta3231@gmail.com")</f>
        <v>simonacosta3231@gmail.com</v>
      </c>
      <c r="L14" s="75" t="str">
        <f>IFERROR(__xludf.DUMMYFUNCTION("""COMPUTED_VALUE"""),"Masculino")</f>
        <v>Masculino</v>
      </c>
      <c r="M14" s="75" t="str">
        <f>IFERROR(__xludf.DUMMYFUNCTION("""COMPUTED_VALUE"""),"YCO")</f>
        <v>YCO</v>
      </c>
      <c r="N14" s="75"/>
      <c r="O14" s="75" t="str">
        <f>IFERROR(__xludf.DUMMYFUNCTION("""COMPUTED_VALUE"""),"SNIPE")</f>
        <v>SNIPE</v>
      </c>
      <c r="P14" s="75"/>
      <c r="Q14" s="75">
        <f>IFERROR(__xludf.DUMMYFUNCTION("""COMPUTED_VALUE"""),2982.0)</f>
        <v>2982</v>
      </c>
      <c r="R14" s="75"/>
      <c r="S14" s="75" t="str">
        <f>IFERROR(__xludf.DUMMYFUNCTION("""COMPUTED_VALUE"""),"Simón Acosta")</f>
        <v>Simón Acosta</v>
      </c>
      <c r="T14" s="75" t="str">
        <f>IFERROR(__xludf.DUMMYFUNCTION("""COMPUTED_VALUE"""),"Juan Cruz García Quiroga")</f>
        <v>Juan Cruz García Quiroga</v>
      </c>
      <c r="U14" s="75"/>
      <c r="V14" s="75"/>
      <c r="W14" s="75"/>
      <c r="X14" s="75"/>
      <c r="Y14" s="75" t="str">
        <f>IFERROR(__xludf.DUMMYFUNCTION("""COMPUTED_VALUE"""),"MEDICUS")</f>
        <v>MEDICUS</v>
      </c>
      <c r="Z14" s="73" t="str">
        <f>IFERROR(__xludf.DUMMYFUNCTION("""COMPUTED_VALUE"""),"Si")</f>
        <v>Si</v>
      </c>
      <c r="AA14" s="75" t="str">
        <f>IFERROR(__xludf.DUMMYFUNCTION("""COMPUTED_VALUE"""),"Acepto")</f>
        <v>Acepto</v>
      </c>
      <c r="AB14" s="73" t="str">
        <f>IFERROR(__xludf.DUMMYFUNCTION("""COMPUTED_VALUE"""),"Terminado")</f>
        <v>Terminado</v>
      </c>
      <c r="AC14" s="73">
        <f>IFERROR(__xludf.DUMMYFUNCTION("""COMPUTED_VALUE"""),60000.0)</f>
        <v>60000</v>
      </c>
      <c r="AD14" s="45"/>
      <c r="AE14" s="45" t="str">
        <f>IFERROR(__xludf.DUMMYFUNCTION("""COMPUTED_VALUE"""),"AF")</f>
        <v>AF</v>
      </c>
      <c r="AF14" s="73" t="str">
        <f>IFERROR(__xludf.DUMMYFUNCTION("""COMPUTED_VALUE"""),"OK")</f>
        <v>OK</v>
      </c>
      <c r="AG14" s="73"/>
    </row>
    <row r="15">
      <c r="B15" s="71">
        <f>IFERROR(__xludf.DUMMYFUNCTION("""COMPUTED_VALUE"""),45545.397056284724)</f>
        <v>45545.39706</v>
      </c>
      <c r="C15" s="72" t="str">
        <f>IFERROR(__xludf.DUMMYFUNCTION("""COMPUTED_VALUE"""),"Federico")</f>
        <v>Federico</v>
      </c>
      <c r="D15" s="72" t="str">
        <f>IFERROR(__xludf.DUMMYFUNCTION("""COMPUTED_VALUE"""),"Buiatti Fagalde")</f>
        <v>Buiatti Fagalde</v>
      </c>
      <c r="E15" s="72" t="str">
        <f>IFERROR(__xludf.DUMMYFUNCTION("""COMPUTED_VALUE"""),"Rosario")</f>
        <v>Rosario</v>
      </c>
      <c r="F15" s="73" t="str">
        <f>IFERROR(__xludf.DUMMYFUNCTION("""COMPUTED_VALUE"""),"ARG")</f>
        <v>ARG</v>
      </c>
      <c r="G15" s="73">
        <f>IFERROR(__xludf.DUMMYFUNCTION("""COMPUTED_VALUE"""),3.3562001E7)</f>
        <v>33562001</v>
      </c>
      <c r="H15" s="74">
        <f>IFERROR(__xludf.DUMMYFUNCTION("""COMPUTED_VALUE"""),32113.0)</f>
        <v>32113</v>
      </c>
      <c r="I15" s="75">
        <f>IFERROR(__xludf.DUMMYFUNCTION("""COMPUTED_VALUE"""),3.416930095E9)</f>
        <v>3416930095</v>
      </c>
      <c r="J15" s="75">
        <f>IFERROR(__xludf.DUMMYFUNCTION("""COMPUTED_VALUE"""),3.416116318E9)</f>
        <v>3416116318</v>
      </c>
      <c r="K15" s="75" t="str">
        <f>IFERROR(__xludf.DUMMYFUNCTION("""COMPUTED_VALUE"""),"buiattiflorencia@gmail.com")</f>
        <v>buiattiflorencia@gmail.com</v>
      </c>
      <c r="L15" s="75" t="str">
        <f>IFERROR(__xludf.DUMMYFUNCTION("""COMPUTED_VALUE"""),"Masculino")</f>
        <v>Masculino</v>
      </c>
      <c r="M15" s="75" t="str">
        <f>IFERROR(__xludf.DUMMYFUNCTION("""COMPUTED_VALUE"""),"YCR")</f>
        <v>YCR</v>
      </c>
      <c r="N15" s="75" t="str">
        <f>IFERROR(__xludf.DUMMYFUNCTION("""COMPUTED_VALUE"""),"Mixto")</f>
        <v>Mixto</v>
      </c>
      <c r="O15" s="75" t="str">
        <f>IFERROR(__xludf.DUMMYFUNCTION("""COMPUTED_VALUE"""),"SNIPE")</f>
        <v>SNIPE</v>
      </c>
      <c r="P15" s="75"/>
      <c r="Q15" s="75">
        <f>IFERROR(__xludf.DUMMYFUNCTION("""COMPUTED_VALUE"""),31160.0)</f>
        <v>31160</v>
      </c>
      <c r="R15" s="75"/>
      <c r="S15" s="75" t="str">
        <f>IFERROR(__xludf.DUMMYFUNCTION("""COMPUTED_VALUE"""),"Florencia Buiatti Fagalde")</f>
        <v>Florencia Buiatti Fagalde</v>
      </c>
      <c r="T15" s="75"/>
      <c r="U15" s="75"/>
      <c r="V15" s="75"/>
      <c r="W15" s="75"/>
      <c r="X15" s="75"/>
      <c r="Y15" s="75" t="str">
        <f>IFERROR(__xludf.DUMMYFUNCTION("""COMPUTED_VALUE"""),"Caja ingenieros")</f>
        <v>Caja ingenieros</v>
      </c>
      <c r="Z15" s="73" t="str">
        <f>IFERROR(__xludf.DUMMYFUNCTION("""COMPUTED_VALUE"""),"Si")</f>
        <v>Si</v>
      </c>
      <c r="AA15" s="75" t="str">
        <f>IFERROR(__xludf.DUMMYFUNCTION("""COMPUTED_VALUE"""),"Acepto")</f>
        <v>Acepto</v>
      </c>
      <c r="AB15" s="73" t="str">
        <f>IFERROR(__xludf.DUMMYFUNCTION("""COMPUTED_VALUE"""),"Terminado")</f>
        <v>Terminado</v>
      </c>
      <c r="AC15" s="73">
        <f>IFERROR(__xludf.DUMMYFUNCTION("""COMPUTED_VALUE"""),51000.0)</f>
        <v>51000</v>
      </c>
      <c r="AD15" s="45">
        <f>IFERROR(__xludf.DUMMYFUNCTION("""COMPUTED_VALUE"""),205682.0)</f>
        <v>205682</v>
      </c>
      <c r="AE15" s="45" t="str">
        <f>IFERROR(__xludf.DUMMYFUNCTION("""COMPUTED_VALUE"""),"TRF 11-09")</f>
        <v>TRF 11-09</v>
      </c>
      <c r="AF15" s="73" t="str">
        <f>IFERROR(__xludf.DUMMYFUNCTION("""COMPUTED_VALUE"""),"No Corresp")</f>
        <v>No Corresp</v>
      </c>
      <c r="AG15" s="73"/>
    </row>
    <row r="16">
      <c r="B16" s="71">
        <f>IFERROR(__xludf.DUMMYFUNCTION("""COMPUTED_VALUE"""),45545.48303491898)</f>
        <v>45545.48303</v>
      </c>
      <c r="C16" s="72" t="str">
        <f>IFERROR(__xludf.DUMMYFUNCTION("""COMPUTED_VALUE"""),"Gaston")</f>
        <v>Gaston</v>
      </c>
      <c r="D16" s="72" t="str">
        <f>IFERROR(__xludf.DUMMYFUNCTION("""COMPUTED_VALUE"""),"Nogues")</f>
        <v>Nogues</v>
      </c>
      <c r="E16" s="72" t="str">
        <f>IFERROR(__xludf.DUMMYFUNCTION("""COMPUTED_VALUE"""),"DEL VISO")</f>
        <v>DEL VISO</v>
      </c>
      <c r="F16" s="73" t="str">
        <f>IFERROR(__xludf.DUMMYFUNCTION("""COMPUTED_VALUE"""),"ARG")</f>
        <v>ARG</v>
      </c>
      <c r="G16" s="73">
        <f>IFERROR(__xludf.DUMMYFUNCTION("""COMPUTED_VALUE"""),2.2080721E7)</f>
        <v>22080721</v>
      </c>
      <c r="H16" s="74">
        <f>IFERROR(__xludf.DUMMYFUNCTION("""COMPUTED_VALUE"""),26007.0)</f>
        <v>26007</v>
      </c>
      <c r="I16" s="75">
        <f>IFERROR(__xludf.DUMMYFUNCTION("""COMPUTED_VALUE"""),1.137828753E9)</f>
        <v>1137828753</v>
      </c>
      <c r="J16" s="75"/>
      <c r="K16" s="75" t="str">
        <f>IFERROR(__xludf.DUMMYFUNCTION("""COMPUTED_VALUE"""),"belen.baiking@gmail.com")</f>
        <v>belen.baiking@gmail.com</v>
      </c>
      <c r="L16" s="75" t="str">
        <f>IFERROR(__xludf.DUMMYFUNCTION("""COMPUTED_VALUE"""),"Masculino")</f>
        <v>Masculino</v>
      </c>
      <c r="M16" s="75" t="str">
        <f>IFERROR(__xludf.DUMMYFUNCTION("""COMPUTED_VALUE"""),"CNO")</f>
        <v>CNO</v>
      </c>
      <c r="N16" s="75"/>
      <c r="O16" s="75" t="str">
        <f>IFERROR(__xludf.DUMMYFUNCTION("""COMPUTED_VALUE"""),"SNIPE")</f>
        <v>SNIPE</v>
      </c>
      <c r="P16" s="75"/>
      <c r="Q16" s="75">
        <f>IFERROR(__xludf.DUMMYFUNCTION("""COMPUTED_VALUE"""),31547.0)</f>
        <v>31547</v>
      </c>
      <c r="R16" s="75"/>
      <c r="S16" s="75" t="str">
        <f>IFERROR(__xludf.DUMMYFUNCTION("""COMPUTED_VALUE"""),"Belen Larguia")</f>
        <v>Belen Larguia</v>
      </c>
      <c r="T16" s="75"/>
      <c r="U16" s="75"/>
      <c r="V16" s="75"/>
      <c r="W16" s="75"/>
      <c r="X16" s="75"/>
      <c r="Y16" s="75"/>
      <c r="Z16" s="73" t="str">
        <f>IFERROR(__xludf.DUMMYFUNCTION("""COMPUTED_VALUE"""),"No")</f>
        <v>No</v>
      </c>
      <c r="AA16" s="75" t="str">
        <f>IFERROR(__xludf.DUMMYFUNCTION("""COMPUTED_VALUE"""),"Acepto")</f>
        <v>Acepto</v>
      </c>
      <c r="AB16" s="73" t="str">
        <f>IFERROR(__xludf.DUMMYFUNCTION("""COMPUTED_VALUE"""),"Pendiente")</f>
        <v>Pendiente</v>
      </c>
      <c r="AC16" s="73"/>
      <c r="AD16" s="45"/>
      <c r="AE16" s="45"/>
      <c r="AF16" s="73" t="str">
        <f>IFERROR(__xludf.DUMMYFUNCTION("""COMPUTED_VALUE"""),"No Corresp")</f>
        <v>No Corresp</v>
      </c>
      <c r="AG16" s="73"/>
    </row>
    <row r="17">
      <c r="B17" s="71">
        <f>IFERROR(__xludf.DUMMYFUNCTION("""COMPUTED_VALUE"""),45545.84367540509)</f>
        <v>45545.84368</v>
      </c>
      <c r="C17" s="72" t="str">
        <f>IFERROR(__xludf.DUMMYFUNCTION("""COMPUTED_VALUE"""),"Luis")</f>
        <v>Luis</v>
      </c>
      <c r="D17" s="72" t="str">
        <f>IFERROR(__xludf.DUMMYFUNCTION("""COMPUTED_VALUE"""),"Soubie")</f>
        <v>Soubie</v>
      </c>
      <c r="E17" s="75" t="str">
        <f>IFERROR(__xludf.DUMMYFUNCTION("""COMPUTED_VALUE"""),"Mendoza")</f>
        <v>Mendoza</v>
      </c>
      <c r="F17" s="75" t="str">
        <f>IFERROR(__xludf.DUMMYFUNCTION("""COMPUTED_VALUE"""),"ARG")</f>
        <v>ARG</v>
      </c>
      <c r="G17" s="75">
        <f>IFERROR(__xludf.DUMMYFUNCTION("""COMPUTED_VALUE"""),2.1834331E7)</f>
        <v>21834331</v>
      </c>
      <c r="H17" s="74">
        <f>IFERROR(__xludf.DUMMYFUNCTION("""COMPUTED_VALUE"""),25878.0)</f>
        <v>25878</v>
      </c>
      <c r="I17" s="75">
        <f>IFERROR(__xludf.DUMMYFUNCTION("""COMPUTED_VALUE"""),1.159880088E9)</f>
        <v>1159880088</v>
      </c>
      <c r="J17" s="75">
        <f>IFERROR(__xludf.DUMMYFUNCTION("""COMPUTED_VALUE"""),1.159887328E9)</f>
        <v>1159887328</v>
      </c>
      <c r="K17" s="75" t="str">
        <f>IFERROR(__xludf.DUMMYFUNCTION("""COMPUTED_VALUE"""),"luis@soubie.com")</f>
        <v>luis@soubie.com</v>
      </c>
      <c r="L17" s="75" t="str">
        <f>IFERROR(__xludf.DUMMYFUNCTION("""COMPUTED_VALUE"""),"Masculino")</f>
        <v>Masculino</v>
      </c>
      <c r="M17" s="75" t="str">
        <f>IFERROR(__xludf.DUMMYFUNCTION("""COMPUTED_VALUE"""),"YCO/CNZ")</f>
        <v>YCO/CNZ</v>
      </c>
      <c r="N17" s="75" t="str">
        <f>IFERROR(__xludf.DUMMYFUNCTION("""COMPUTED_VALUE"""),"Snipe")</f>
        <v>Snipe</v>
      </c>
      <c r="O17" s="75" t="str">
        <f>IFERROR(__xludf.DUMMYFUNCTION("""COMPUTED_VALUE"""),"SNIPE")</f>
        <v>SNIPE</v>
      </c>
      <c r="P17" s="75"/>
      <c r="Q17" s="75">
        <f>IFERROR(__xludf.DUMMYFUNCTION("""COMPUTED_VALUE"""),31701.0)</f>
        <v>31701</v>
      </c>
      <c r="R17" s="75" t="str">
        <f>IFERROR(__xludf.DUMMYFUNCTION("""COMPUTED_VALUE"""),"Tita")</f>
        <v>Tita</v>
      </c>
      <c r="S17" s="75" t="str">
        <f>IFERROR(__xludf.DUMMYFUNCTION("""COMPUTED_VALUE"""),"Diego Lipszyc")</f>
        <v>Diego Lipszyc</v>
      </c>
      <c r="T17" s="75"/>
      <c r="U17" s="75"/>
      <c r="V17" s="75"/>
      <c r="W17" s="75"/>
      <c r="X17" s="75"/>
      <c r="Y17" s="75" t="str">
        <f>IFERROR(__xludf.DUMMYFUNCTION("""COMPUTED_VALUE"""),"Swiss medical")</f>
        <v>Swiss medical</v>
      </c>
      <c r="Z17" s="73" t="str">
        <f>IFERROR(__xludf.DUMMYFUNCTION("""COMPUTED_VALUE"""),"Si")</f>
        <v>Si</v>
      </c>
      <c r="AA17" s="73" t="str">
        <f>IFERROR(__xludf.DUMMYFUNCTION("""COMPUTED_VALUE"""),"Acepto")</f>
        <v>Acepto</v>
      </c>
      <c r="AB17" s="73" t="str">
        <f>IFERROR(__xludf.DUMMYFUNCTION("""COMPUTED_VALUE"""),"Pendiente")</f>
        <v>Pendiente</v>
      </c>
      <c r="AC17" s="73"/>
      <c r="AD17" s="7"/>
      <c r="AE17" s="7"/>
      <c r="AF17" s="73" t="str">
        <f>IFERROR(__xludf.DUMMYFUNCTION("""COMPUTED_VALUE"""),"No Corresp")</f>
        <v>No Corresp</v>
      </c>
      <c r="AG17" s="73"/>
    </row>
    <row r="18">
      <c r="B18" s="71">
        <f>IFERROR(__xludf.DUMMYFUNCTION("""COMPUTED_VALUE"""),45546.417744108796)</f>
        <v>45546.41774</v>
      </c>
      <c r="C18" s="72" t="str">
        <f>IFERROR(__xludf.DUMMYFUNCTION("""COMPUTED_VALUE"""),"Bernardo")</f>
        <v>Bernardo</v>
      </c>
      <c r="D18" s="72" t="str">
        <f>IFERROR(__xludf.DUMMYFUNCTION("""COMPUTED_VALUE"""),"Squarcia")</f>
        <v>Squarcia</v>
      </c>
      <c r="E18" s="75" t="str">
        <f>IFERROR(__xludf.DUMMYFUNCTION("""COMPUTED_VALUE"""),"Bahia Blanca")</f>
        <v>Bahia Blanca</v>
      </c>
      <c r="F18" s="75" t="str">
        <f>IFERROR(__xludf.DUMMYFUNCTION("""COMPUTED_VALUE"""),"ARG")</f>
        <v>ARG</v>
      </c>
      <c r="G18" s="75">
        <f>IFERROR(__xludf.DUMMYFUNCTION("""COMPUTED_VALUE"""),3.0423379E7)</f>
        <v>30423379</v>
      </c>
      <c r="H18" s="74">
        <f>IFERROR(__xludf.DUMMYFUNCTION("""COMPUTED_VALUE"""),30573.0)</f>
        <v>30573</v>
      </c>
      <c r="I18" s="75">
        <f>IFERROR(__xludf.DUMMYFUNCTION("""COMPUTED_VALUE"""),3.624943611E9)</f>
        <v>3624943611</v>
      </c>
      <c r="J18" s="75"/>
      <c r="K18" s="75" t="str">
        <f>IFERROR(__xludf.DUMMYFUNCTION("""COMPUTED_VALUE"""),"bernardosquarcia@gmail.com")</f>
        <v>bernardosquarcia@gmail.com</v>
      </c>
      <c r="L18" s="75" t="str">
        <f>IFERROR(__xludf.DUMMYFUNCTION("""COMPUTED_VALUE"""),"Masculino")</f>
        <v>Masculino</v>
      </c>
      <c r="M18" s="75" t="str">
        <f>IFERROR(__xludf.DUMMYFUNCTION("""COMPUTED_VALUE"""),"Club Nautico Bahia Blanca")</f>
        <v>Club Nautico Bahia Blanca</v>
      </c>
      <c r="N18" s="75"/>
      <c r="O18" s="75" t="str">
        <f>IFERROR(__xludf.DUMMYFUNCTION("""COMPUTED_VALUE"""),"SNIPE")</f>
        <v>SNIPE</v>
      </c>
      <c r="P18" s="75"/>
      <c r="Q18" s="75">
        <f>IFERROR(__xludf.DUMMYFUNCTION("""COMPUTED_VALUE"""),31474.0)</f>
        <v>31474</v>
      </c>
      <c r="R18" s="75" t="str">
        <f>IFERROR(__xludf.DUMMYFUNCTION("""COMPUTED_VALUE"""),"Cachafaz IV")</f>
        <v>Cachafaz IV</v>
      </c>
      <c r="S18" s="75" t="str">
        <f>IFERROR(__xludf.DUMMYFUNCTION("""COMPUTED_VALUE"""),"Fausto Russo")</f>
        <v>Fausto Russo</v>
      </c>
      <c r="T18" s="75"/>
      <c r="U18" s="75"/>
      <c r="V18" s="75"/>
      <c r="W18" s="75"/>
      <c r="X18" s="75"/>
      <c r="Y18" s="75"/>
      <c r="Z18" s="73" t="str">
        <f>IFERROR(__xludf.DUMMYFUNCTION("""COMPUTED_VALUE"""),"Si")</f>
        <v>Si</v>
      </c>
      <c r="AA18" s="73" t="str">
        <f>IFERROR(__xludf.DUMMYFUNCTION("""COMPUTED_VALUE"""),"Acepto")</f>
        <v>Acepto</v>
      </c>
      <c r="AB18" s="73" t="str">
        <f>IFERROR(__xludf.DUMMYFUNCTION("""COMPUTED_VALUE"""),"Pendiente")</f>
        <v>Pendiente</v>
      </c>
      <c r="AC18" s="73"/>
      <c r="AD18" s="45"/>
      <c r="AE18" s="45"/>
      <c r="AF18" s="73" t="str">
        <f>IFERROR(__xludf.DUMMYFUNCTION("""COMPUTED_VALUE"""),"No Corresp")</f>
        <v>No Corresp</v>
      </c>
      <c r="AG18" s="73"/>
    </row>
    <row r="19">
      <c r="B19" s="77">
        <f>IFERROR(__xludf.DUMMYFUNCTION("""COMPUTED_VALUE"""),45546.784238935186)</f>
        <v>45546.78424</v>
      </c>
      <c r="C19" s="75" t="str">
        <f>IFERROR(__xludf.DUMMYFUNCTION("""COMPUTED_VALUE"""),"María Paula")</f>
        <v>María Paula</v>
      </c>
      <c r="D19" s="75" t="str">
        <f>IFERROR(__xludf.DUMMYFUNCTION("""COMPUTED_VALUE"""),"Molinari")</f>
        <v>Molinari</v>
      </c>
      <c r="E19" s="75" t="str">
        <f>IFERROR(__xludf.DUMMYFUNCTION("""COMPUTED_VALUE"""),"Buenos aires")</f>
        <v>Buenos aires</v>
      </c>
      <c r="F19" s="75" t="str">
        <f>IFERROR(__xludf.DUMMYFUNCTION("""COMPUTED_VALUE"""),"ARG")</f>
        <v>ARG</v>
      </c>
      <c r="G19" s="75">
        <f>IFERROR(__xludf.DUMMYFUNCTION("""COMPUTED_VALUE"""),2.7050527E7)</f>
        <v>27050527</v>
      </c>
      <c r="H19" s="74">
        <f>IFERROR(__xludf.DUMMYFUNCTION("""COMPUTED_VALUE"""),28832.0)</f>
        <v>28832</v>
      </c>
      <c r="I19" s="75">
        <f>IFERROR(__xludf.DUMMYFUNCTION("""COMPUTED_VALUE"""),1.161997262E9)</f>
        <v>1161997262</v>
      </c>
      <c r="J19" s="75">
        <f>IFERROR(__xludf.DUMMYFUNCTION("""COMPUTED_VALUE"""),1.164655763E9)</f>
        <v>1164655763</v>
      </c>
      <c r="K19" s="75" t="str">
        <f>IFERROR(__xludf.DUMMYFUNCTION("""COMPUTED_VALUE"""),"2rmarrero@gmail.com")</f>
        <v>2rmarrero@gmail.com</v>
      </c>
      <c r="L19" s="75" t="str">
        <f>IFERROR(__xludf.DUMMYFUNCTION("""COMPUTED_VALUE"""),"Femenino")</f>
        <v>Femenino</v>
      </c>
      <c r="M19" s="75" t="str">
        <f>IFERROR(__xludf.DUMMYFUNCTION("""COMPUTED_VALUE"""),"CVSI")</f>
        <v>CVSI</v>
      </c>
      <c r="N19" s="75" t="str">
        <f>IFERROR(__xludf.DUMMYFUNCTION("""COMPUTED_VALUE"""),"Mixto")</f>
        <v>Mixto</v>
      </c>
      <c r="O19" s="75" t="str">
        <f>IFERROR(__xludf.DUMMYFUNCTION("""COMPUTED_VALUE"""),"SNIPE")</f>
        <v>SNIPE</v>
      </c>
      <c r="P19" s="75"/>
      <c r="Q19" s="75">
        <f>IFERROR(__xludf.DUMMYFUNCTION("""COMPUTED_VALUE"""),28645.0)</f>
        <v>28645</v>
      </c>
      <c r="R19" s="75" t="str">
        <f>IFERROR(__xludf.DUMMYFUNCTION("""COMPUTED_VALUE"""),"2 santos")</f>
        <v>2 santos</v>
      </c>
      <c r="S19" s="75" t="str">
        <f>IFERROR(__xludf.DUMMYFUNCTION("""COMPUTED_VALUE"""),"Rubén Marrero")</f>
        <v>Rubén Marrero</v>
      </c>
      <c r="T19" s="75"/>
      <c r="U19" s="75"/>
      <c r="V19" s="75"/>
      <c r="W19" s="75"/>
      <c r="X19" s="75"/>
      <c r="Y19" s="75"/>
      <c r="Z19" s="73" t="str">
        <f>IFERROR(__xludf.DUMMYFUNCTION("""COMPUTED_VALUE"""),"Si")</f>
        <v>Si</v>
      </c>
      <c r="AA19" s="75" t="str">
        <f>IFERROR(__xludf.DUMMYFUNCTION("""COMPUTED_VALUE"""),"Acepto")</f>
        <v>Acepto</v>
      </c>
      <c r="AB19" s="73" t="str">
        <f>IFERROR(__xludf.DUMMYFUNCTION("""COMPUTED_VALUE"""),"Terminado")</f>
        <v>Terminado</v>
      </c>
      <c r="AC19" s="73">
        <f>IFERROR(__xludf.DUMMYFUNCTION("""COMPUTED_VALUE"""),60000.0)</f>
        <v>60000</v>
      </c>
      <c r="AD19" s="45">
        <f>IFERROR(__xludf.DUMMYFUNCTION("""COMPUTED_VALUE"""),205698.0)</f>
        <v>205698</v>
      </c>
      <c r="AE19" s="45" t="str">
        <f>IFERROR(__xludf.DUMMYFUNCTION("""COMPUTED_VALUE"""),"TRF 11-09")</f>
        <v>TRF 11-09</v>
      </c>
      <c r="AF19" s="73" t="str">
        <f>IFERROR(__xludf.DUMMYFUNCTION("""COMPUTED_VALUE"""),"No Corresp")</f>
        <v>No Corresp</v>
      </c>
      <c r="AG19" s="73"/>
    </row>
    <row r="20"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3"/>
      <c r="AA20" s="75"/>
      <c r="AB20" s="73"/>
      <c r="AC20" s="73"/>
      <c r="AF20" s="73"/>
    </row>
    <row r="21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3"/>
      <c r="AA21" s="75"/>
      <c r="AB21" s="73"/>
      <c r="AC21" s="73"/>
      <c r="AF21" s="73"/>
    </row>
    <row r="22">
      <c r="AB22" s="7"/>
    </row>
    <row r="23">
      <c r="AB23" s="7"/>
    </row>
    <row r="24">
      <c r="AB24" s="7"/>
    </row>
  </sheetData>
  <conditionalFormatting sqref="G1:G3 I2">
    <cfRule type="cellIs" dxfId="1" priority="1" operator="equal">
      <formula>"Si"</formula>
    </cfRule>
  </conditionalFormatting>
  <conditionalFormatting sqref="B4:B14">
    <cfRule type="cellIs" dxfId="1" priority="2" operator="equal">
      <formula>"Pago"</formula>
    </cfRule>
  </conditionalFormatting>
  <conditionalFormatting sqref="AB3:AB24 AF3:AG3 AF21">
    <cfRule type="cellIs" dxfId="3" priority="3" operator="equal">
      <formula>"Terminado"</formula>
    </cfRule>
  </conditionalFormatting>
  <conditionalFormatting sqref="AC4:AC21">
    <cfRule type="cellIs" dxfId="1" priority="4" operator="equal">
      <formula>"Terminado"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1" width="21.13"/>
    <col customWidth="1" min="2" max="2" width="16.25"/>
    <col customWidth="1" min="3" max="3" width="13.25"/>
    <col customWidth="1" min="4" max="4" width="17.75"/>
    <col customWidth="1" min="5" max="5" width="27.0"/>
    <col customWidth="1" min="6" max="6" width="5.5"/>
    <col customWidth="1" hidden="1" min="7" max="7" width="6.63"/>
    <col customWidth="1" hidden="1" min="8" max="8" width="4.38"/>
    <col customWidth="1" hidden="1" min="9" max="10" width="11.25"/>
    <col customWidth="1" hidden="1" min="11" max="11" width="17.0"/>
    <col customWidth="1" min="12" max="12" width="8.5"/>
    <col customWidth="1" min="13" max="13" width="20.25"/>
    <col customWidth="1" min="14" max="14" width="22.25"/>
    <col customWidth="1" hidden="1" min="15" max="15" width="17.13"/>
    <col customWidth="1" hidden="1" min="16" max="16" width="6.75"/>
    <col customWidth="1" min="17" max="17" width="8.38"/>
    <col customWidth="1" min="18" max="18" width="14.38"/>
    <col customWidth="1" hidden="1" min="19" max="20" width="10.38"/>
    <col customWidth="1" hidden="1" min="21" max="24" width="9.75"/>
    <col customWidth="1" hidden="1" min="25" max="25" width="11.13"/>
    <col customWidth="1" hidden="1" min="26" max="26" width="6.63"/>
    <col customWidth="1" min="27" max="27" width="0.38"/>
    <col customWidth="1" min="28" max="28" width="9.63"/>
    <col customWidth="1" hidden="1" min="29" max="29" width="11.13"/>
    <col customWidth="1" hidden="1" min="30" max="30" width="10.63"/>
    <col hidden="1" min="31" max="31" width="12.63"/>
    <col customWidth="1" min="32" max="32" width="11.13"/>
    <col customWidth="1" min="33" max="33" width="9.75"/>
  </cols>
  <sheetData>
    <row r="1">
      <c r="A1" s="59"/>
      <c r="B1" s="78" t="s">
        <v>36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F1" s="7"/>
    </row>
    <row r="2">
      <c r="A2" s="59"/>
      <c r="B2" s="64" t="s">
        <v>37</v>
      </c>
      <c r="C2" s="3"/>
      <c r="D2" s="65"/>
      <c r="E2" s="3"/>
      <c r="F2" s="66" t="str">
        <f>"Inscriptos: "&amp;COUNTA(C4:C300)</f>
        <v>Inscriptos: 133</v>
      </c>
      <c r="G2" s="3"/>
      <c r="H2" s="3"/>
      <c r="I2" s="67"/>
      <c r="J2" s="67"/>
      <c r="K2" s="67"/>
      <c r="L2" s="3"/>
      <c r="M2" s="3"/>
      <c r="N2" s="3"/>
      <c r="O2" s="3"/>
      <c r="P2" s="68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  <c r="AF2" s="7"/>
    </row>
    <row r="3" ht="30.75" customHeight="1">
      <c r="A3" s="59" t="s">
        <v>38</v>
      </c>
      <c r="B3" s="3" t="str">
        <f>IFERROR(__xludf.DUMMYFUNCTION("query(Titulos)"),"Dia y Hora")</f>
        <v>Dia y Hora</v>
      </c>
      <c r="C3" s="79" t="str">
        <f>IFERROR(__xludf.DUMMYFUNCTION("""COMPUTED_VALUE"""),"Nombre")</f>
        <v>Nombre</v>
      </c>
      <c r="D3" s="80" t="str">
        <f>IFERROR(__xludf.DUMMYFUNCTION("""COMPUTED_VALUE"""),"Apellido")</f>
        <v>Apellido</v>
      </c>
      <c r="E3" s="79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67" t="str">
        <f>IFERROR(__xludf.DUMMYFUNCTION("""COMPUTED_VALUE"""),"Celular de Contacto")</f>
        <v>Celular de Contacto</v>
      </c>
      <c r="J3" s="67" t="str">
        <f>IFERROR(__xludf.DUMMYFUNCTION("""COMPUTED_VALUE"""),"Celular de Emergencias")</f>
        <v>Celular de Emergencias</v>
      </c>
      <c r="K3" s="67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67" t="str">
        <f>IFERROR(__xludf.DUMMYFUNCTION("""COMPUTED_VALUE"""),"Tripulante 1")</f>
        <v>Tripulante 1</v>
      </c>
      <c r="T3" s="67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3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70" t="str">
        <f>IFERROR(__xludf.DUMMYFUNCTION("""COMPUTED_VALUE"""),"RECIBO")</f>
        <v>RECIBO</v>
      </c>
      <c r="AF3" s="81" t="s">
        <v>39</v>
      </c>
      <c r="AG3" s="82" t="s">
        <v>32</v>
      </c>
    </row>
    <row r="4" ht="15.75" customHeight="1">
      <c r="B4" s="42">
        <f>IFERROR(__xludf.DUMMYFUNCTION("filter(Datos,Clases=A3)"),45530.504084687505)</f>
        <v>45530.50408</v>
      </c>
      <c r="C4" s="43" t="str">
        <f>IFERROR(__xludf.DUMMYFUNCTION("""COMPUTED_VALUE"""),"Benjamín")</f>
        <v>Benjamín</v>
      </c>
      <c r="D4" s="43" t="str">
        <f>IFERROR(__xludf.DUMMYFUNCTION("""COMPUTED_VALUE"""),"Albornoz")</f>
        <v>Albornoz</v>
      </c>
      <c r="E4" s="43" t="str">
        <f>IFERROR(__xludf.DUMMYFUNCTION("""COMPUTED_VALUE"""),"CABA")</f>
        <v>CABA</v>
      </c>
      <c r="F4" s="7" t="str">
        <f>IFERROR(__xludf.DUMMYFUNCTION("""COMPUTED_VALUE"""),"ARG")</f>
        <v>ARG</v>
      </c>
      <c r="G4" s="7">
        <f>IFERROR(__xludf.DUMMYFUNCTION("""COMPUTED_VALUE"""),5.418456E7)</f>
        <v>54184560</v>
      </c>
      <c r="H4" s="44">
        <f>IFERROR(__xludf.DUMMYFUNCTION("""COMPUTED_VALUE"""),41851.0)</f>
        <v>41851</v>
      </c>
      <c r="I4" s="45">
        <f>IFERROR(__xludf.DUMMYFUNCTION("""COMPUTED_VALUE"""),1.167518925E9)</f>
        <v>1167518925</v>
      </c>
      <c r="J4" s="45">
        <f>IFERROR(__xludf.DUMMYFUNCTION("""COMPUTED_VALUE"""),1.167518925E9)</f>
        <v>1167518925</v>
      </c>
      <c r="K4" s="45" t="str">
        <f>IFERROR(__xludf.DUMMYFUNCTION("""COMPUTED_VALUE"""),"jalbornoz@derecho.uba.ar")</f>
        <v>jalbornoz@derecho.uba.ar</v>
      </c>
      <c r="L4" s="45" t="str">
        <f>IFERROR(__xludf.DUMMYFUNCTION("""COMPUTED_VALUE"""),"Masculino")</f>
        <v>Masculino</v>
      </c>
      <c r="M4" s="45" t="str">
        <f>IFERROR(__xludf.DUMMYFUNCTION("""COMPUTED_VALUE"""),"CGLNM")</f>
        <v>CGLNM</v>
      </c>
      <c r="N4" s="45" t="str">
        <f>IFERROR(__xludf.DUMMYFUNCTION("""COMPUTED_VALUE"""),"SUB 12")</f>
        <v>SUB 12</v>
      </c>
      <c r="O4" s="45" t="str">
        <f>IFERROR(__xludf.DUMMYFUNCTION("""COMPUTED_VALUE"""),"OPTIMIST PRINCIPIANTES")</f>
        <v>OPTIMIST PRINCIPIANTES</v>
      </c>
      <c r="P4" s="45"/>
      <c r="Q4" s="45">
        <f>IFERROR(__xludf.DUMMYFUNCTION("""COMPUTED_VALUE"""),3657.0)</f>
        <v>3657</v>
      </c>
      <c r="R4" s="45" t="str">
        <f>IFERROR(__xludf.DUMMYFUNCTION("""COMPUTED_VALUE"""),"Popeye")</f>
        <v>Popeye</v>
      </c>
      <c r="S4" s="45"/>
      <c r="T4" s="45"/>
      <c r="U4" s="45"/>
      <c r="V4" s="45"/>
      <c r="W4" s="45"/>
      <c r="X4" s="45"/>
      <c r="Y4" s="45" t="str">
        <f>IFERROR(__xludf.DUMMYFUNCTION("""COMPUTED_VALUE"""),"Poder Judicial 46400/21")</f>
        <v>Poder Judicial 46400/21</v>
      </c>
      <c r="Z4" s="7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IFERROR(__xludf.DUMMYFUNCTION("""COMPUTED_VALUE"""),"Terminado")</f>
        <v>Terminado</v>
      </c>
      <c r="AC4" s="7">
        <f>IFERROR(__xludf.DUMMYFUNCTION("""COMPUTED_VALUE"""),60000.0)</f>
        <v>60000</v>
      </c>
      <c r="AD4" s="7">
        <f>IFERROR(__xludf.DUMMYFUNCTION("""COMPUTED_VALUE"""),205077.0)</f>
        <v>205077</v>
      </c>
      <c r="AE4" s="7" t="str">
        <f>IFERROR(__xludf.DUMMYFUNCTION("""COMPUTED_VALUE"""),"TRF29-08")</f>
        <v>TRF29-08</v>
      </c>
      <c r="AF4" s="7" t="str">
        <f>IFERROR(__xludf.DUMMYFUNCTION("""COMPUTED_VALUE"""),"OK")</f>
        <v>OK</v>
      </c>
      <c r="AG4" s="45"/>
    </row>
    <row r="5" ht="15.75" customHeight="1">
      <c r="B5" s="42">
        <f>IFERROR(__xludf.DUMMYFUNCTION("""COMPUTED_VALUE"""),45533.76859545139)</f>
        <v>45533.7686</v>
      </c>
      <c r="C5" s="43" t="str">
        <f>IFERROR(__xludf.DUMMYFUNCTION("""COMPUTED_VALUE"""),"Felicitas ")</f>
        <v>Felicitas </v>
      </c>
      <c r="D5" s="43" t="str">
        <f>IFERROR(__xludf.DUMMYFUNCTION("""COMPUTED_VALUE"""),"Alcantara")</f>
        <v>Alcantara</v>
      </c>
      <c r="E5" s="43" t="str">
        <f>IFERROR(__xludf.DUMMYFUNCTION("""COMPUTED_VALUE"""),"Benavidez")</f>
        <v>Benavidez</v>
      </c>
      <c r="F5" s="7" t="str">
        <f>IFERROR(__xludf.DUMMYFUNCTION("""COMPUTED_VALUE"""),"ARG")</f>
        <v>ARG</v>
      </c>
      <c r="G5" s="7">
        <f>IFERROR(__xludf.DUMMYFUNCTION("""COMPUTED_VALUE"""),5.3894761E7)</f>
        <v>53894761</v>
      </c>
      <c r="H5" s="44">
        <f>IFERROR(__xludf.DUMMYFUNCTION("""COMPUTED_VALUE"""),41744.0)</f>
        <v>41744</v>
      </c>
      <c r="I5" s="45">
        <f>IFERROR(__xludf.DUMMYFUNCTION("""COMPUTED_VALUE"""),1.167660999E9)</f>
        <v>1167660999</v>
      </c>
      <c r="J5" s="45">
        <f>IFERROR(__xludf.DUMMYFUNCTION("""COMPUTED_VALUE"""),1.167660999E9)</f>
        <v>1167660999</v>
      </c>
      <c r="K5" s="45" t="str">
        <f>IFERROR(__xludf.DUMMYFUNCTION("""COMPUTED_VALUE"""),"Lucil4@hotmail.com")</f>
        <v>Lucil4@hotmail.com</v>
      </c>
      <c r="L5" s="45" t="str">
        <f>IFERROR(__xludf.DUMMYFUNCTION("""COMPUTED_VALUE"""),"Femenino")</f>
        <v>Femenino</v>
      </c>
      <c r="M5" s="45" t="str">
        <f>IFERROR(__xludf.DUMMYFUNCTION("""COMPUTED_VALUE"""),"YCA")</f>
        <v>YCA</v>
      </c>
      <c r="N5" s="45" t="str">
        <f>IFERROR(__xludf.DUMMYFUNCTION("""COMPUTED_VALUE"""),"Femenino")</f>
        <v>Femenino</v>
      </c>
      <c r="O5" s="45" t="str">
        <f>IFERROR(__xludf.DUMMYFUNCTION("""COMPUTED_VALUE"""),"OPTIMIST PRINCIPIANTES")</f>
        <v>OPTIMIST PRINCIPIANTES</v>
      </c>
      <c r="P5" s="45"/>
      <c r="Q5" s="45">
        <f>IFERROR(__xludf.DUMMYFUNCTION("""COMPUTED_VALUE"""),3553.0)</f>
        <v>3553</v>
      </c>
      <c r="R5" s="45"/>
      <c r="S5" s="45"/>
      <c r="T5" s="45"/>
      <c r="U5" s="45"/>
      <c r="V5" s="45"/>
      <c r="W5" s="45"/>
      <c r="X5" s="45"/>
      <c r="Y5" s="45" t="str">
        <f>IFERROR(__xludf.DUMMYFUNCTION("""COMPUTED_VALUE"""),"OSDE")</f>
        <v>OSDE</v>
      </c>
      <c r="Z5" s="7" t="str">
        <f>IFERROR(__xludf.DUMMYFUNCTION("""COMPUTED_VALUE"""),"No")</f>
        <v>No</v>
      </c>
      <c r="AA5" s="7" t="str">
        <f>IFERROR(__xludf.DUMMYFUNCTION("""COMPUTED_VALUE"""),"Acepto")</f>
        <v>Acepto</v>
      </c>
      <c r="AB5" s="7" t="str">
        <f>IFERROR(__xludf.DUMMYFUNCTION("""COMPUTED_VALUE"""),"Terminado")</f>
        <v>Terminado</v>
      </c>
      <c r="AC5" s="7">
        <f>IFERROR(__xludf.DUMMYFUNCTION("""COMPUTED_VALUE"""),50000.0)</f>
        <v>50000</v>
      </c>
      <c r="AD5" s="7">
        <f>IFERROR(__xludf.DUMMYFUNCTION("""COMPUTED_VALUE"""),205697.0)</f>
        <v>205697</v>
      </c>
      <c r="AE5" s="7" t="str">
        <f>IFERROR(__xludf.DUMMYFUNCTION("""COMPUTED_VALUE"""),"TRF 11-09")</f>
        <v>TRF 11-09</v>
      </c>
      <c r="AF5" s="7" t="str">
        <f>IFERROR(__xludf.DUMMYFUNCTION("""COMPUTED_VALUE"""),"Pendiente")</f>
        <v>Pendiente</v>
      </c>
      <c r="AG5" s="45"/>
    </row>
    <row r="6" ht="15.75" customHeight="1">
      <c r="B6" s="42">
        <f>IFERROR(__xludf.DUMMYFUNCTION("""COMPUTED_VALUE"""),45531.68972618056)</f>
        <v>45531.68973</v>
      </c>
      <c r="C6" s="43" t="str">
        <f>IFERROR(__xludf.DUMMYFUNCTION("""COMPUTED_VALUE"""),"Miguel Ignacio")</f>
        <v>Miguel Ignacio</v>
      </c>
      <c r="D6" s="43" t="str">
        <f>IFERROR(__xludf.DUMMYFUNCTION("""COMPUTED_VALUE"""),"Aldatz")</f>
        <v>Aldatz</v>
      </c>
      <c r="E6" s="43" t="str">
        <f>IFERROR(__xludf.DUMMYFUNCTION("""COMPUTED_VALUE"""),"Avellaneda")</f>
        <v>Avellaneda</v>
      </c>
      <c r="F6" s="7" t="str">
        <f>IFERROR(__xludf.DUMMYFUNCTION("""COMPUTED_VALUE"""),"ARG")</f>
        <v>ARG</v>
      </c>
      <c r="G6" s="7">
        <f>IFERROR(__xludf.DUMMYFUNCTION("""COMPUTED_VALUE"""),5.4187126E7)</f>
        <v>54187126</v>
      </c>
      <c r="H6" s="44">
        <f>IFERROR(__xludf.DUMMYFUNCTION("""COMPUTED_VALUE"""),41876.0)</f>
        <v>41876</v>
      </c>
      <c r="I6" s="45">
        <f>IFERROR(__xludf.DUMMYFUNCTION("""COMPUTED_VALUE"""),1.15001805E9)</f>
        <v>1150018050</v>
      </c>
      <c r="J6" s="45">
        <f>IFERROR(__xludf.DUMMYFUNCTION("""COMPUTED_VALUE"""),1.15001805E9)</f>
        <v>1150018050</v>
      </c>
      <c r="K6" s="45" t="str">
        <f>IFERROR(__xludf.DUMMYFUNCTION("""COMPUTED_VALUE"""),"adribarbera@gmail.com")</f>
        <v>adribarbera@gmail.com</v>
      </c>
      <c r="L6" s="45" t="str">
        <f>IFERROR(__xludf.DUMMYFUNCTION("""COMPUTED_VALUE"""),"Masculino")</f>
        <v>Masculino</v>
      </c>
      <c r="M6" s="45" t="str">
        <f>IFERROR(__xludf.DUMMYFUNCTION("""COMPUTED_VALUE"""),"CGLNM")</f>
        <v>CGLNM</v>
      </c>
      <c r="N6" s="45" t="str">
        <f>IFERROR(__xludf.DUMMYFUNCTION("""COMPUTED_VALUE"""),"Sub 12")</f>
        <v>Sub 12</v>
      </c>
      <c r="O6" s="45" t="str">
        <f>IFERROR(__xludf.DUMMYFUNCTION("""COMPUTED_VALUE"""),"OPTIMIST PRINCIPIANTES")</f>
        <v>OPTIMIST PRINCIPIANTES</v>
      </c>
      <c r="P6" s="45"/>
      <c r="Q6" s="45">
        <f>IFERROR(__xludf.DUMMYFUNCTION("""COMPUTED_VALUE"""),3468.0)</f>
        <v>3468</v>
      </c>
      <c r="R6" s="45" t="str">
        <f>IFERROR(__xludf.DUMMYFUNCTION("""COMPUTED_VALUE"""),"Kiki jr")</f>
        <v>Kiki jr</v>
      </c>
      <c r="S6" s="45"/>
      <c r="T6" s="45"/>
      <c r="U6" s="45"/>
      <c r="V6" s="45"/>
      <c r="W6" s="45"/>
      <c r="X6" s="45"/>
      <c r="Y6" s="45" t="str">
        <f>IFERROR(__xludf.DUMMYFUNCTION("""COMPUTED_VALUE"""),"OSDE")</f>
        <v>OSDE</v>
      </c>
      <c r="Z6" s="7" t="str">
        <f>IFERROR(__xludf.DUMMYFUNCTION("""COMPUTED_VALUE"""),"Si")</f>
        <v>Si</v>
      </c>
      <c r="AA6" s="7" t="str">
        <f>IFERROR(__xludf.DUMMYFUNCTION("""COMPUTED_VALUE"""),"Acepto")</f>
        <v>Acepto</v>
      </c>
      <c r="AB6" s="7" t="str">
        <f>IFERROR(__xludf.DUMMYFUNCTION("""COMPUTED_VALUE"""),"Terminado")</f>
        <v>Terminado</v>
      </c>
      <c r="AC6" s="7">
        <f>IFERROR(__xludf.DUMMYFUNCTION("""COMPUTED_VALUE"""),50000.0)</f>
        <v>50000</v>
      </c>
      <c r="AD6" s="7">
        <f>IFERROR(__xludf.DUMMYFUNCTION("""COMPUTED_VALUE"""),205349.0)</f>
        <v>205349</v>
      </c>
      <c r="AE6" s="7" t="str">
        <f>IFERROR(__xludf.DUMMYFUNCTION("""COMPUTED_VALUE"""),"Tarj 01-09")</f>
        <v>Tarj 01-09</v>
      </c>
      <c r="AF6" s="7" t="str">
        <f>IFERROR(__xludf.DUMMYFUNCTION("""COMPUTED_VALUE"""),"OK")</f>
        <v>OK</v>
      </c>
      <c r="AG6" s="45"/>
    </row>
    <row r="7" ht="15.75" customHeight="1">
      <c r="B7" s="42">
        <f>IFERROR(__xludf.DUMMYFUNCTION("""COMPUTED_VALUE"""),45532.73874869213)</f>
        <v>45532.73875</v>
      </c>
      <c r="C7" s="43" t="str">
        <f>IFERROR(__xludf.DUMMYFUNCTION("""COMPUTED_VALUE"""),"Gianni")</f>
        <v>Gianni</v>
      </c>
      <c r="D7" s="43" t="str">
        <f>IFERROR(__xludf.DUMMYFUNCTION("""COMPUTED_VALUE"""),"Andrés ")</f>
        <v>Andrés </v>
      </c>
      <c r="E7" s="43" t="str">
        <f>IFERROR(__xludf.DUMMYFUNCTION("""COMPUTED_VALUE"""),"Rosario")</f>
        <v>Rosario</v>
      </c>
      <c r="F7" s="7" t="str">
        <f>IFERROR(__xludf.DUMMYFUNCTION("""COMPUTED_VALUE"""),"ARG")</f>
        <v>ARG</v>
      </c>
      <c r="G7" s="7">
        <f>IFERROR(__xludf.DUMMYFUNCTION("""COMPUTED_VALUE"""),5.3623848E7)</f>
        <v>53623848</v>
      </c>
      <c r="H7" s="44">
        <f>IFERROR(__xludf.DUMMYFUNCTION("""COMPUTED_VALUE"""),41590.0)</f>
        <v>41590</v>
      </c>
      <c r="I7" s="45">
        <f>IFERROR(__xludf.DUMMYFUNCTION("""COMPUTED_VALUE"""),3.413819921E9)</f>
        <v>3413819921</v>
      </c>
      <c r="J7" s="45">
        <f>IFERROR(__xludf.DUMMYFUNCTION("""COMPUTED_VALUE"""),3.413819921E9)</f>
        <v>3413819921</v>
      </c>
      <c r="K7" s="45" t="str">
        <f>IFERROR(__xludf.DUMMYFUNCTION("""COMPUTED_VALUE"""),"Ventas2096@gmail.com")</f>
        <v>Ventas2096@gmail.com</v>
      </c>
      <c r="L7" s="45" t="str">
        <f>IFERROR(__xludf.DUMMYFUNCTION("""COMPUTED_VALUE"""),"Masculino")</f>
        <v>Masculino</v>
      </c>
      <c r="M7" s="45" t="str">
        <f>IFERROR(__xludf.DUMMYFUNCTION("""COMPUTED_VALUE"""),"CVR")</f>
        <v>CVR</v>
      </c>
      <c r="N7" s="45" t="str">
        <f>IFERROR(__xludf.DUMMYFUNCTION("""COMPUTED_VALUE"""),"Interior (Optimist)")</f>
        <v>Interior (Optimist)</v>
      </c>
      <c r="O7" s="45" t="str">
        <f>IFERROR(__xludf.DUMMYFUNCTION("""COMPUTED_VALUE"""),"OPTIMIST PRINCIPIANTES")</f>
        <v>OPTIMIST PRINCIPIANTES</v>
      </c>
      <c r="P7" s="45"/>
      <c r="Q7" s="45">
        <f>IFERROR(__xludf.DUMMYFUNCTION("""COMPUTED_VALUE"""),3558.0)</f>
        <v>3558</v>
      </c>
      <c r="R7" s="45" t="str">
        <f>IFERROR(__xludf.DUMMYFUNCTION("""COMPUTED_VALUE"""),"Merlin")</f>
        <v>Merlin</v>
      </c>
      <c r="S7" s="45"/>
      <c r="T7" s="45"/>
      <c r="U7" s="45"/>
      <c r="V7" s="45"/>
      <c r="W7" s="45"/>
      <c r="X7" s="45"/>
      <c r="Y7" s="45" t="str">
        <f>IFERROR(__xludf.DUMMYFUNCTION("""COMPUTED_VALUE"""),"Medifé/3-06645444-01/000")</f>
        <v>Medifé/3-06645444-01/000</v>
      </c>
      <c r="Z7" s="7" t="str">
        <f>IFERROR(__xludf.DUMMYFUNCTION("""COMPUTED_VALUE"""),"No")</f>
        <v>No</v>
      </c>
      <c r="AA7" s="7" t="str">
        <f>IFERROR(__xludf.DUMMYFUNCTION("""COMPUTED_VALUE"""),"Acepto")</f>
        <v>Acepto</v>
      </c>
      <c r="AB7" s="7" t="str">
        <f>IFERROR(__xludf.DUMMYFUNCTION("""COMPUTED_VALUE"""),"Terminado")</f>
        <v>Terminado</v>
      </c>
      <c r="AC7" s="7">
        <f>IFERROR(__xludf.DUMMYFUNCTION("""COMPUTED_VALUE"""),60000.0)</f>
        <v>60000</v>
      </c>
      <c r="AD7" s="7">
        <f>IFERROR(__xludf.DUMMYFUNCTION("""COMPUTED_VALUE"""),205461.0)</f>
        <v>205461</v>
      </c>
      <c r="AE7" s="7" t="str">
        <f>IFERROR(__xludf.DUMMYFUNCTION("""COMPUTED_VALUE"""),"TRF 28-08")</f>
        <v>TRF 28-08</v>
      </c>
      <c r="AF7" s="7" t="str">
        <f>IFERROR(__xludf.DUMMYFUNCTION("""COMPUTED_VALUE"""),"OK")</f>
        <v>OK</v>
      </c>
      <c r="AG7" s="45"/>
    </row>
    <row r="8" ht="15.75" customHeight="1">
      <c r="B8" s="42">
        <f>IFERROR(__xludf.DUMMYFUNCTION("""COMPUTED_VALUE"""),45535.52478324074)</f>
        <v>45535.52478</v>
      </c>
      <c r="C8" s="43" t="str">
        <f>IFERROR(__xludf.DUMMYFUNCTION("""COMPUTED_VALUE"""),"Manuel ")</f>
        <v>Manuel </v>
      </c>
      <c r="D8" s="43" t="str">
        <f>IFERROR(__xludf.DUMMYFUNCTION("""COMPUTED_VALUE"""),"Antoni")</f>
        <v>Antoni</v>
      </c>
      <c r="E8" s="43" t="str">
        <f>IFERROR(__xludf.DUMMYFUNCTION("""COMPUTED_VALUE"""),"San isidro")</f>
        <v>San isidro</v>
      </c>
      <c r="F8" s="7" t="str">
        <f>IFERROR(__xludf.DUMMYFUNCTION("""COMPUTED_VALUE"""),"ARG")</f>
        <v>ARG</v>
      </c>
      <c r="G8" s="7">
        <f>IFERROR(__xludf.DUMMYFUNCTION("""COMPUTED_VALUE"""),5.3761156E7)</f>
        <v>53761156</v>
      </c>
      <c r="H8" s="44">
        <f>IFERROR(__xludf.DUMMYFUNCTION("""COMPUTED_VALUE"""),41661.0)</f>
        <v>41661</v>
      </c>
      <c r="I8" s="45">
        <f>IFERROR(__xludf.DUMMYFUNCTION("""COMPUTED_VALUE"""),1.144921544E9)</f>
        <v>1144921544</v>
      </c>
      <c r="J8" s="45">
        <f>IFERROR(__xludf.DUMMYFUNCTION("""COMPUTED_VALUE"""),1.144921544E9)</f>
        <v>1144921544</v>
      </c>
      <c r="K8" s="45" t="str">
        <f>IFERROR(__xludf.DUMMYFUNCTION("""COMPUTED_VALUE"""),"noelvaca@gmail.com")</f>
        <v>noelvaca@gmail.com</v>
      </c>
      <c r="L8" s="45" t="str">
        <f>IFERROR(__xludf.DUMMYFUNCTION("""COMPUTED_VALUE"""),"Masculino")</f>
        <v>Masculino</v>
      </c>
      <c r="M8" s="45" t="str">
        <f>IFERROR(__xludf.DUMMYFUNCTION("""COMPUTED_VALUE"""),"CUBA")</f>
        <v>CUBA</v>
      </c>
      <c r="N8" s="45"/>
      <c r="O8" s="45" t="str">
        <f>IFERROR(__xludf.DUMMYFUNCTION("""COMPUTED_VALUE"""),"OPTIMIST PRINCIPIANTES")</f>
        <v>OPTIMIST PRINCIPIANTES</v>
      </c>
      <c r="P8" s="45"/>
      <c r="Q8" s="45">
        <f>IFERROR(__xludf.DUMMYFUNCTION("""COMPUTED_VALUE"""),3868.0)</f>
        <v>3868</v>
      </c>
      <c r="R8" s="45"/>
      <c r="S8" s="45"/>
      <c r="T8" s="45"/>
      <c r="U8" s="45"/>
      <c r="V8" s="45"/>
      <c r="W8" s="45"/>
      <c r="X8" s="45"/>
      <c r="Y8" s="45" t="str">
        <f>IFERROR(__xludf.DUMMYFUNCTION("""COMPUTED_VALUE"""),"OSDE 61352163205")</f>
        <v>OSDE 61352163205</v>
      </c>
      <c r="Z8" s="7" t="str">
        <f>IFERROR(__xludf.DUMMYFUNCTION("""COMPUTED_VALUE"""),"No")</f>
        <v>No</v>
      </c>
      <c r="AA8" s="7" t="str">
        <f>IFERROR(__xludf.DUMMYFUNCTION("""COMPUTED_VALUE"""),"Acepto")</f>
        <v>Acepto</v>
      </c>
      <c r="AB8" s="7" t="str">
        <f>IFERROR(__xludf.DUMMYFUNCTION("""COMPUTED_VALUE"""),"Terminado")</f>
        <v>Terminado</v>
      </c>
      <c r="AC8" s="7">
        <f>IFERROR(__xludf.DUMMYFUNCTION("""COMPUTED_VALUE"""),60000.0)</f>
        <v>60000</v>
      </c>
      <c r="AD8" s="7">
        <f>IFERROR(__xludf.DUMMYFUNCTION("""COMPUTED_VALUE"""),205150.0)</f>
        <v>205150</v>
      </c>
      <c r="AE8" s="7" t="str">
        <f>IFERROR(__xludf.DUMMYFUNCTION("""COMPUTED_VALUE"""),"TRF 31-08")</f>
        <v>TRF 31-08</v>
      </c>
      <c r="AF8" s="7" t="str">
        <f>IFERROR(__xludf.DUMMYFUNCTION("""COMPUTED_VALUE"""),"OK")</f>
        <v>OK</v>
      </c>
      <c r="AG8" s="45"/>
    </row>
    <row r="9" ht="15.75" customHeight="1">
      <c r="B9" s="42">
        <f>IFERROR(__xludf.DUMMYFUNCTION("""COMPUTED_VALUE"""),45539.7857500463)</f>
        <v>45539.78575</v>
      </c>
      <c r="C9" s="43" t="str">
        <f>IFERROR(__xludf.DUMMYFUNCTION("""COMPUTED_VALUE"""),"Allegra Juliana")</f>
        <v>Allegra Juliana</v>
      </c>
      <c r="D9" s="43" t="str">
        <f>IFERROR(__xludf.DUMMYFUNCTION("""COMPUTED_VALUE"""),"Aranda")</f>
        <v>Aranda</v>
      </c>
      <c r="E9" s="43" t="str">
        <f>IFERROR(__xludf.DUMMYFUNCTION("""COMPUTED_VALUE"""),"Parana")</f>
        <v>Parana</v>
      </c>
      <c r="F9" s="7" t="str">
        <f>IFERROR(__xludf.DUMMYFUNCTION("""COMPUTED_VALUE"""),"ARG")</f>
        <v>ARG</v>
      </c>
      <c r="G9" s="7">
        <f>IFERROR(__xludf.DUMMYFUNCTION("""COMPUTED_VALUE"""),5.347712E7)</f>
        <v>53477120</v>
      </c>
      <c r="H9" s="44">
        <f>IFERROR(__xludf.DUMMYFUNCTION("""COMPUTED_VALUE"""),41519.0)</f>
        <v>41519</v>
      </c>
      <c r="I9" s="45">
        <f>IFERROR(__xludf.DUMMYFUNCTION("""COMPUTED_VALUE"""),3.434468375E9)</f>
        <v>3434468375</v>
      </c>
      <c r="J9" s="45">
        <f>IFERROR(__xludf.DUMMYFUNCTION("""COMPUTED_VALUE"""),3.434468375E9)</f>
        <v>3434468375</v>
      </c>
      <c r="K9" s="45" t="str">
        <f>IFERROR(__xludf.DUMMYFUNCTION("""COMPUTED_VALUE"""),"Arandarodolfo090@gmail.com")</f>
        <v>Arandarodolfo090@gmail.com</v>
      </c>
      <c r="L9" s="45" t="str">
        <f>IFERROR(__xludf.DUMMYFUNCTION("""COMPUTED_VALUE"""),"Femenino")</f>
        <v>Femenino</v>
      </c>
      <c r="M9" s="45" t="str">
        <f>IFERROR(__xludf.DUMMYFUNCTION("""COMPUTED_VALUE"""),"CVR")</f>
        <v>CVR</v>
      </c>
      <c r="N9" s="45" t="str">
        <f>IFERROR(__xludf.DUMMYFUNCTION("""COMPUTED_VALUE"""),"Femenino, Interior (Optimist)")</f>
        <v>Femenino, Interior (Optimist)</v>
      </c>
      <c r="O9" s="45" t="str">
        <f>IFERROR(__xludf.DUMMYFUNCTION("""COMPUTED_VALUE"""),"OPTIMIST PRINCIPIANTES")</f>
        <v>OPTIMIST PRINCIPIANTES</v>
      </c>
      <c r="P9" s="45"/>
      <c r="Q9" s="45">
        <f>IFERROR(__xludf.DUMMYFUNCTION("""COMPUTED_VALUE"""),4055.0)</f>
        <v>4055</v>
      </c>
      <c r="R9" s="45"/>
      <c r="S9" s="45" t="str">
        <f>IFERROR(__xludf.DUMMYFUNCTION("""COMPUTED_VALUE"""),"Allegra Juliana Aranda")</f>
        <v>Allegra Juliana Aranda</v>
      </c>
      <c r="T9" s="45"/>
      <c r="U9" s="45"/>
      <c r="V9" s="45"/>
      <c r="W9" s="45"/>
      <c r="X9" s="45"/>
      <c r="Y9" s="45">
        <f>IFERROR(__xludf.DUMMYFUNCTION("""COMPUTED_VALUE"""),67943.0)</f>
        <v>67943</v>
      </c>
      <c r="Z9" s="7" t="str">
        <f>IFERROR(__xludf.DUMMYFUNCTION("""COMPUTED_VALUE"""),"Si")</f>
        <v>Si</v>
      </c>
      <c r="AA9" s="7" t="str">
        <f>IFERROR(__xludf.DUMMYFUNCTION("""COMPUTED_VALUE"""),"Acepto")</f>
        <v>Acepto</v>
      </c>
      <c r="AB9" s="7" t="str">
        <f>IFERROR(__xludf.DUMMYFUNCTION("""COMPUTED_VALUE"""),"Terminado")</f>
        <v>Terminado</v>
      </c>
      <c r="AC9" s="7">
        <f>IFERROR(__xludf.DUMMYFUNCTION("""COMPUTED_VALUE"""),42500.0)</f>
        <v>42500</v>
      </c>
      <c r="AD9" s="7">
        <f>IFERROR(__xludf.DUMMYFUNCTION("""COMPUTED_VALUE"""),205487.0)</f>
        <v>205487</v>
      </c>
      <c r="AE9" s="7" t="str">
        <f>IFERROR(__xludf.DUMMYFUNCTION("""COMPUTED_VALUE"""),"TRF 05-09")</f>
        <v>TRF 05-09</v>
      </c>
      <c r="AF9" s="7" t="str">
        <f>IFERROR(__xludf.DUMMYFUNCTION("""COMPUTED_VALUE"""),"OK")</f>
        <v>OK</v>
      </c>
      <c r="AG9" s="45"/>
    </row>
    <row r="10" ht="15.75" customHeight="1">
      <c r="B10" s="42">
        <f>IFERROR(__xludf.DUMMYFUNCTION("""COMPUTED_VALUE"""),45535.73779306713)</f>
        <v>45535.73779</v>
      </c>
      <c r="C10" s="43" t="str">
        <f>IFERROR(__xludf.DUMMYFUNCTION("""COMPUTED_VALUE"""),"Facundo")</f>
        <v>Facundo</v>
      </c>
      <c r="D10" s="43" t="str">
        <f>IFERROR(__xludf.DUMMYFUNCTION("""COMPUTED_VALUE"""),"Bellorini")</f>
        <v>Bellorini</v>
      </c>
      <c r="E10" s="43" t="str">
        <f>IFERROR(__xludf.DUMMYFUNCTION("""COMPUTED_VALUE"""),"CABA")</f>
        <v>CABA</v>
      </c>
      <c r="F10" s="7" t="str">
        <f>IFERROR(__xludf.DUMMYFUNCTION("""COMPUTED_VALUE"""),"ARG")</f>
        <v>ARG</v>
      </c>
      <c r="G10" s="7">
        <f>IFERROR(__xludf.DUMMYFUNCTION("""COMPUTED_VALUE"""),5.4454746E7)</f>
        <v>54454746</v>
      </c>
      <c r="H10" s="44">
        <f>IFERROR(__xludf.DUMMYFUNCTION("""COMPUTED_VALUE"""),41974.0)</f>
        <v>41974</v>
      </c>
      <c r="I10" s="45">
        <f>IFERROR(__xludf.DUMMYFUNCTION("""COMPUTED_VALUE"""),1.159374784E9)</f>
        <v>1159374784</v>
      </c>
      <c r="J10" s="45" t="str">
        <f>IFERROR(__xludf.DUMMYFUNCTION("""COMPUTED_VALUE"""),"1167212950 / 1159374784")</f>
        <v>1167212950 / 1159374784</v>
      </c>
      <c r="K10" s="45" t="str">
        <f>IFERROR(__xludf.DUMMYFUNCTION("""COMPUTED_VALUE"""),"Jabellorini@gmail.com")</f>
        <v>Jabellorini@gmail.com</v>
      </c>
      <c r="L10" s="45" t="str">
        <f>IFERROR(__xludf.DUMMYFUNCTION("""COMPUTED_VALUE"""),"Masculino")</f>
        <v>Masculino</v>
      </c>
      <c r="M10" s="45" t="str">
        <f>IFERROR(__xludf.DUMMYFUNCTION("""COMPUTED_VALUE"""),"CGLNM")</f>
        <v>CGLNM</v>
      </c>
      <c r="N10" s="45" t="str">
        <f>IFERROR(__xludf.DUMMYFUNCTION("""COMPUTED_VALUE"""),"Optimist Principiantes")</f>
        <v>Optimist Principiantes</v>
      </c>
      <c r="O10" s="45" t="str">
        <f>IFERROR(__xludf.DUMMYFUNCTION("""COMPUTED_VALUE"""),"OPTIMIST PRINCIPIANTES")</f>
        <v>OPTIMIST PRINCIPIANTES</v>
      </c>
      <c r="P10" s="45"/>
      <c r="Q10" s="45">
        <f>IFERROR(__xludf.DUMMYFUNCTION("""COMPUTED_VALUE"""),3199.0)</f>
        <v>3199</v>
      </c>
      <c r="R10" s="45" t="str">
        <f>IFERROR(__xludf.DUMMYFUNCTION("""COMPUTED_VALUE"""),"Kraken Patito")</f>
        <v>Kraken Patito</v>
      </c>
      <c r="S10" s="45"/>
      <c r="T10" s="45"/>
      <c r="U10" s="45"/>
      <c r="V10" s="45"/>
      <c r="W10" s="45"/>
      <c r="X10" s="45"/>
      <c r="Y10" s="45" t="str">
        <f>IFERROR(__xludf.DUMMYFUNCTION("""COMPUTED_VALUE"""),"OSDE")</f>
        <v>OSDE</v>
      </c>
      <c r="Z10" s="7" t="str">
        <f>IFERROR(__xludf.DUMMYFUNCTION("""COMPUTED_VALUE"""),"No")</f>
        <v>No</v>
      </c>
      <c r="AA10" s="7" t="str">
        <f>IFERROR(__xludf.DUMMYFUNCTION("""COMPUTED_VALUE"""),"Acepto")</f>
        <v>Acepto</v>
      </c>
      <c r="AB10" s="7" t="str">
        <f>IFERROR(__xludf.DUMMYFUNCTION("""COMPUTED_VALUE"""),"Terminado")</f>
        <v>Terminado</v>
      </c>
      <c r="AC10" s="7">
        <f>IFERROR(__xludf.DUMMYFUNCTION("""COMPUTED_VALUE"""),50000.0)</f>
        <v>50000</v>
      </c>
      <c r="AD10" s="7">
        <f>IFERROR(__xludf.DUMMYFUNCTION("""COMPUTED_VALUE"""),205388.0)</f>
        <v>205388</v>
      </c>
      <c r="AE10" s="7" t="str">
        <f>IFERROR(__xludf.DUMMYFUNCTION("""COMPUTED_VALUE"""),"TRF 02-09")</f>
        <v>TRF 02-09</v>
      </c>
      <c r="AF10" s="7" t="str">
        <f>IFERROR(__xludf.DUMMYFUNCTION("""COMPUTED_VALUE"""),"OK")</f>
        <v>OK</v>
      </c>
      <c r="AG10" s="45"/>
    </row>
    <row r="11" ht="15.75" customHeight="1">
      <c r="B11" s="42">
        <f>IFERROR(__xludf.DUMMYFUNCTION("""COMPUTED_VALUE"""),45535.54118778935)</f>
        <v>45535.54119</v>
      </c>
      <c r="C11" s="43" t="str">
        <f>IFERROR(__xludf.DUMMYFUNCTION("""COMPUTED_VALUE"""),"Valentino")</f>
        <v>Valentino</v>
      </c>
      <c r="D11" s="43" t="str">
        <f>IFERROR(__xludf.DUMMYFUNCTION("""COMPUTED_VALUE"""),"Berardo")</f>
        <v>Berardo</v>
      </c>
      <c r="E11" s="43" t="str">
        <f>IFERROR(__xludf.DUMMYFUNCTION("""COMPUTED_VALUE"""),"Caba")</f>
        <v>Caba</v>
      </c>
      <c r="F11" s="7" t="str">
        <f>IFERROR(__xludf.DUMMYFUNCTION("""COMPUTED_VALUE"""),"ARG")</f>
        <v>ARG</v>
      </c>
      <c r="G11" s="7">
        <f>IFERROR(__xludf.DUMMYFUNCTION("""COMPUTED_VALUE"""),5.4429903E7)</f>
        <v>54429903</v>
      </c>
      <c r="H11" s="44">
        <f>IFERROR(__xludf.DUMMYFUNCTION("""COMPUTED_VALUE"""),40813.0)</f>
        <v>40813</v>
      </c>
      <c r="I11" s="45">
        <f>IFERROR(__xludf.DUMMYFUNCTION("""COMPUTED_VALUE"""),1.158178323E9)</f>
        <v>1158178323</v>
      </c>
      <c r="J11" s="45">
        <f>IFERROR(__xludf.DUMMYFUNCTION("""COMPUTED_VALUE"""),1.158178323E9)</f>
        <v>1158178323</v>
      </c>
      <c r="K11" s="45" t="str">
        <f>IFERROR(__xludf.DUMMYFUNCTION("""COMPUTED_VALUE"""),"Leandro_berardo@hotmail.com")</f>
        <v>Leandro_berardo@hotmail.com</v>
      </c>
      <c r="L11" s="45" t="str">
        <f>IFERROR(__xludf.DUMMYFUNCTION("""COMPUTED_VALUE"""),"Masculino")</f>
        <v>Masculino</v>
      </c>
      <c r="M11" s="45" t="str">
        <f>IFERROR(__xludf.DUMMYFUNCTION("""COMPUTED_VALUE"""),"Cpnlb ")</f>
        <v>Cpnlb </v>
      </c>
      <c r="N11" s="45"/>
      <c r="O11" s="45" t="str">
        <f>IFERROR(__xludf.DUMMYFUNCTION("""COMPUTED_VALUE"""),"OPTIMIST PRINCIPIANTES")</f>
        <v>OPTIMIST PRINCIPIANTES</v>
      </c>
      <c r="P11" s="45"/>
      <c r="Q11" s="45">
        <f>IFERROR(__xludf.DUMMYFUNCTION("""COMPUTED_VALUE"""),3998.0)</f>
        <v>3998</v>
      </c>
      <c r="R11" s="45" t="str">
        <f>IFERROR(__xludf.DUMMYFUNCTION("""COMPUTED_VALUE"""),"Il capo")</f>
        <v>Il capo</v>
      </c>
      <c r="S11" s="45"/>
      <c r="T11" s="45"/>
      <c r="U11" s="45"/>
      <c r="V11" s="45"/>
      <c r="W11" s="45"/>
      <c r="X11" s="45"/>
      <c r="Y11" s="45">
        <f>IFERROR(__xludf.DUMMYFUNCTION("""COMPUTED_VALUE"""),9.34348981403E11)</f>
        <v>934348981403</v>
      </c>
      <c r="Z11" s="7" t="str">
        <f>IFERROR(__xludf.DUMMYFUNCTION("""COMPUTED_VALUE"""),"Si")</f>
        <v>Si</v>
      </c>
      <c r="AA11" s="7" t="str">
        <f>IFERROR(__xludf.DUMMYFUNCTION("""COMPUTED_VALUE"""),"Acepto")</f>
        <v>Acepto</v>
      </c>
      <c r="AB11" s="7" t="str">
        <f>IFERROR(__xludf.DUMMYFUNCTION("""COMPUTED_VALUE"""),"Terminado")</f>
        <v>Terminado</v>
      </c>
      <c r="AC11" s="7">
        <f>IFERROR(__xludf.DUMMYFUNCTION("""COMPUTED_VALUE"""),50000.0)</f>
        <v>50000</v>
      </c>
      <c r="AD11" s="7">
        <f>IFERROR(__xludf.DUMMYFUNCTION("""COMPUTED_VALUE"""),205355.0)</f>
        <v>205355</v>
      </c>
      <c r="AE11" s="7" t="str">
        <f>IFERROR(__xludf.DUMMYFUNCTION("""COMPUTED_VALUE"""),"TRF 30-08")</f>
        <v>TRF 30-08</v>
      </c>
      <c r="AF11" s="7" t="str">
        <f>IFERROR(__xludf.DUMMYFUNCTION("""COMPUTED_VALUE"""),"OK")</f>
        <v>OK</v>
      </c>
      <c r="AG11" s="45" t="str">
        <f>IFERROR(__xludf.DUMMYFUNCTION("""COMPUTED_VALUE"""),"SI")</f>
        <v>SI</v>
      </c>
    </row>
    <row r="12" ht="15.75" customHeight="1">
      <c r="B12" s="42">
        <f>IFERROR(__xludf.DUMMYFUNCTION("""COMPUTED_VALUE"""),45539.39323212963)</f>
        <v>45539.39323</v>
      </c>
      <c r="C12" s="43" t="str">
        <f>IFERROR(__xludf.DUMMYFUNCTION("""COMPUTED_VALUE"""),"Francisco ")</f>
        <v>Francisco </v>
      </c>
      <c r="D12" s="43" t="str">
        <f>IFERROR(__xludf.DUMMYFUNCTION("""COMPUTED_VALUE"""),"Berini")</f>
        <v>Berini</v>
      </c>
      <c r="E12" s="43" t="str">
        <f>IFERROR(__xludf.DUMMYFUNCTION("""COMPUTED_VALUE"""),"Victoria")</f>
        <v>Victoria</v>
      </c>
      <c r="F12" s="7" t="str">
        <f>IFERROR(__xludf.DUMMYFUNCTION("""COMPUTED_VALUE"""),"ARG")</f>
        <v>ARG</v>
      </c>
      <c r="G12" s="7">
        <f>IFERROR(__xludf.DUMMYFUNCTION("""COMPUTED_VALUE"""),5.3168231E7)</f>
        <v>53168231</v>
      </c>
      <c r="H12" s="44">
        <f>IFERROR(__xludf.DUMMYFUNCTION("""COMPUTED_VALUE"""),41405.0)</f>
        <v>41405</v>
      </c>
      <c r="I12" s="45">
        <f>IFERROR(__xludf.DUMMYFUNCTION("""COMPUTED_VALUE"""),1.163639966E9)</f>
        <v>1163639966</v>
      </c>
      <c r="J12" s="45">
        <f>IFERROR(__xludf.DUMMYFUNCTION("""COMPUTED_VALUE"""),1.163639966E9)</f>
        <v>1163639966</v>
      </c>
      <c r="K12" s="45" t="str">
        <f>IFERROR(__xludf.DUMMYFUNCTION("""COMPUTED_VALUE"""),"patolonero@gmail.com")</f>
        <v>patolonero@gmail.com</v>
      </c>
      <c r="L12" s="45" t="str">
        <f>IFERROR(__xludf.DUMMYFUNCTION("""COMPUTED_VALUE"""),"Masculino")</f>
        <v>Masculino</v>
      </c>
      <c r="M12" s="45" t="str">
        <f>IFERROR(__xludf.DUMMYFUNCTION("""COMPUTED_VALUE"""),"Cvb")</f>
        <v>Cvb</v>
      </c>
      <c r="N12" s="45"/>
      <c r="O12" s="45" t="str">
        <f>IFERROR(__xludf.DUMMYFUNCTION("""COMPUTED_VALUE"""),"OPTIMIST PRINCIPIANTES")</f>
        <v>OPTIMIST PRINCIPIANTES</v>
      </c>
      <c r="P12" s="45"/>
      <c r="Q12" s="45">
        <f>IFERROR(__xludf.DUMMYFUNCTION("""COMPUTED_VALUE"""),4058.0)</f>
        <v>4058</v>
      </c>
      <c r="R12" s="45"/>
      <c r="S12" s="45"/>
      <c r="T12" s="45"/>
      <c r="U12" s="45"/>
      <c r="V12" s="45"/>
      <c r="W12" s="45"/>
      <c r="X12" s="45"/>
      <c r="Y12" s="45" t="str">
        <f>IFERROR(__xludf.DUMMYFUNCTION("""COMPUTED_VALUE"""),"No tiene ")</f>
        <v>No tiene </v>
      </c>
      <c r="Z12" s="7" t="str">
        <f>IFERROR(__xludf.DUMMYFUNCTION("""COMPUTED_VALUE"""),"No")</f>
        <v>No</v>
      </c>
      <c r="AA12" s="7" t="str">
        <f>IFERROR(__xludf.DUMMYFUNCTION("""COMPUTED_VALUE"""),"Acepto")</f>
        <v>Acepto</v>
      </c>
      <c r="AB12" s="7" t="str">
        <f>IFERROR(__xludf.DUMMYFUNCTION("""COMPUTED_VALUE"""),"Terminado")</f>
        <v>Terminado</v>
      </c>
      <c r="AC12" s="7">
        <f>IFERROR(__xludf.DUMMYFUNCTION("""COMPUTED_VALUE"""),50000.0)</f>
        <v>50000</v>
      </c>
      <c r="AD12" s="7">
        <f>IFERROR(__xludf.DUMMYFUNCTION("""COMPUTED_VALUE"""),205435.0)</f>
        <v>205435</v>
      </c>
      <c r="AE12" s="7" t="str">
        <f>IFERROR(__xludf.DUMMYFUNCTION("""COMPUTED_VALUE"""),"TRF 04-09")</f>
        <v>TRF 04-09</v>
      </c>
      <c r="AF12" s="7" t="str">
        <f>IFERROR(__xludf.DUMMYFUNCTION("""COMPUTED_VALUE"""),"OK")</f>
        <v>OK</v>
      </c>
      <c r="AG12" s="45" t="str">
        <f>IFERROR(__xludf.DUMMYFUNCTION("""COMPUTED_VALUE"""),"SI")</f>
        <v>SI</v>
      </c>
    </row>
    <row r="13" ht="15.75" customHeight="1">
      <c r="B13" s="42">
        <f>IFERROR(__xludf.DUMMYFUNCTION("""COMPUTED_VALUE"""),45533.71922400463)</f>
        <v>45533.71922</v>
      </c>
      <c r="C13" s="43" t="str">
        <f>IFERROR(__xludf.DUMMYFUNCTION("""COMPUTED_VALUE"""),"Azul")</f>
        <v>Azul</v>
      </c>
      <c r="D13" s="43" t="str">
        <f>IFERROR(__xludf.DUMMYFUNCTION("""COMPUTED_VALUE"""),"Biasi")</f>
        <v>Biasi</v>
      </c>
      <c r="E13" s="43" t="str">
        <f>IFERROR(__xludf.DUMMYFUNCTION("""COMPUTED_VALUE"""),"CABA")</f>
        <v>CABA</v>
      </c>
      <c r="F13" s="7" t="str">
        <f>IFERROR(__xludf.DUMMYFUNCTION("""COMPUTED_VALUE"""),"ARG")</f>
        <v>ARG</v>
      </c>
      <c r="G13" s="7">
        <f>IFERROR(__xludf.DUMMYFUNCTION("""COMPUTED_VALUE"""),5.3240699E7)</f>
        <v>53240699</v>
      </c>
      <c r="H13" s="44">
        <f>IFERROR(__xludf.DUMMYFUNCTION("""COMPUTED_VALUE"""),41423.0)</f>
        <v>41423</v>
      </c>
      <c r="I13" s="45">
        <f>IFERROR(__xludf.DUMMYFUNCTION("""COMPUTED_VALUE"""),1.121700524E9)</f>
        <v>1121700524</v>
      </c>
      <c r="J13" s="45">
        <f>IFERROR(__xludf.DUMMYFUNCTION("""COMPUTED_VALUE"""),1.121700524E9)</f>
        <v>1121700524</v>
      </c>
      <c r="K13" s="45" t="str">
        <f>IFERROR(__xludf.DUMMYFUNCTION("""COMPUTED_VALUE"""),"telizalde@gmail.com")</f>
        <v>telizalde@gmail.com</v>
      </c>
      <c r="L13" s="45" t="str">
        <f>IFERROR(__xludf.DUMMYFUNCTION("""COMPUTED_VALUE"""),"Femenino")</f>
        <v>Femenino</v>
      </c>
      <c r="M13" s="45" t="str">
        <f>IFERROR(__xludf.DUMMYFUNCTION("""COMPUTED_VALUE"""),"YCA")</f>
        <v>YCA</v>
      </c>
      <c r="N13" s="45" t="str">
        <f>IFERROR(__xludf.DUMMYFUNCTION("""COMPUTED_VALUE"""),"Femenino")</f>
        <v>Femenino</v>
      </c>
      <c r="O13" s="45" t="str">
        <f>IFERROR(__xludf.DUMMYFUNCTION("""COMPUTED_VALUE"""),"OPTIMIST PRINCIPIANTES")</f>
        <v>OPTIMIST PRINCIPIANTES</v>
      </c>
      <c r="P13" s="45"/>
      <c r="Q13" s="45">
        <f>IFERROR(__xludf.DUMMYFUNCTION("""COMPUTED_VALUE"""),3228.0)</f>
        <v>3228</v>
      </c>
      <c r="R13" s="45" t="str">
        <f>IFERROR(__xludf.DUMMYFUNCTION("""COMPUTED_VALUE"""),"-")</f>
        <v>-</v>
      </c>
      <c r="S13" s="45"/>
      <c r="T13" s="45"/>
      <c r="U13" s="45"/>
      <c r="V13" s="45"/>
      <c r="W13" s="45"/>
      <c r="X13" s="45"/>
      <c r="Y13" s="45" t="str">
        <f>IFERROR(__xludf.DUMMYFUNCTION("""COMPUTED_VALUE"""),"OSDE 61360212803")</f>
        <v>OSDE 61360212803</v>
      </c>
      <c r="Z13" s="7" t="str">
        <f>IFERROR(__xludf.DUMMYFUNCTION("""COMPUTED_VALUE"""),"No")</f>
        <v>No</v>
      </c>
      <c r="AA13" s="7" t="str">
        <f>IFERROR(__xludf.DUMMYFUNCTION("""COMPUTED_VALUE"""),"Acepto")</f>
        <v>Acepto</v>
      </c>
      <c r="AB13" s="7" t="str">
        <f>IFERROR(__xludf.DUMMYFUNCTION("""COMPUTED_VALUE"""),"Terminado")</f>
        <v>Terminado</v>
      </c>
      <c r="AC13" s="7">
        <f>IFERROR(__xludf.DUMMYFUNCTION("""COMPUTED_VALUE"""),50000.0)</f>
        <v>50000</v>
      </c>
      <c r="AD13" s="7">
        <f>IFERROR(__xludf.DUMMYFUNCTION("""COMPUTED_VALUE"""),205081.0)</f>
        <v>205081</v>
      </c>
      <c r="AE13" s="7" t="str">
        <f>IFERROR(__xludf.DUMMYFUNCTION("""COMPUTED_VALUE"""),"TRF 29-08")</f>
        <v>TRF 29-08</v>
      </c>
      <c r="AF13" s="7" t="str">
        <f>IFERROR(__xludf.DUMMYFUNCTION("""COMPUTED_VALUE"""),"Pendiente")</f>
        <v>Pendiente</v>
      </c>
      <c r="AG13" s="45"/>
    </row>
    <row r="14" ht="15.75" customHeight="1">
      <c r="B14" s="42">
        <f>IFERROR(__xludf.DUMMYFUNCTION("""COMPUTED_VALUE"""),45535.408855092595)</f>
        <v>45535.40886</v>
      </c>
      <c r="C14" s="43" t="str">
        <f>IFERROR(__xludf.DUMMYFUNCTION("""COMPUTED_VALUE"""),"Tizziano")</f>
        <v>Tizziano</v>
      </c>
      <c r="D14" s="43" t="str">
        <f>IFERROR(__xludf.DUMMYFUNCTION("""COMPUTED_VALUE"""),"Bieler")</f>
        <v>Bieler</v>
      </c>
      <c r="E14" s="43" t="str">
        <f>IFERROR(__xludf.DUMMYFUNCTION("""COMPUTED_VALUE"""),"Santa Fe")</f>
        <v>Santa Fe</v>
      </c>
      <c r="F14" s="7" t="str">
        <f>IFERROR(__xludf.DUMMYFUNCTION("""COMPUTED_VALUE"""),"ARG")</f>
        <v>ARG</v>
      </c>
      <c r="G14" s="7">
        <f>IFERROR(__xludf.DUMMYFUNCTION("""COMPUTED_VALUE"""),5.3801029E7)</f>
        <v>53801029</v>
      </c>
      <c r="H14" s="44">
        <f>IFERROR(__xludf.DUMMYFUNCTION("""COMPUTED_VALUE"""),41684.0)</f>
        <v>41684</v>
      </c>
      <c r="I14" s="45">
        <f>IFERROR(__xludf.DUMMYFUNCTION("""COMPUTED_VALUE"""),3.424403334E9)</f>
        <v>3424403334</v>
      </c>
      <c r="J14" s="45">
        <f>IFERROR(__xludf.DUMMYFUNCTION("""COMPUTED_VALUE"""),3.424403334E9)</f>
        <v>3424403334</v>
      </c>
      <c r="K14" s="45" t="str">
        <f>IFERROR(__xludf.DUMMYFUNCTION("""COMPUTED_VALUE"""),"cariolalla@yahoo.com")</f>
        <v>cariolalla@yahoo.com</v>
      </c>
      <c r="L14" s="45" t="str">
        <f>IFERROR(__xludf.DUMMYFUNCTION("""COMPUTED_VALUE"""),"Masculino")</f>
        <v>Masculino</v>
      </c>
      <c r="M14" s="45" t="str">
        <f>IFERROR(__xludf.DUMMYFUNCTION("""COMPUTED_VALUE"""),"YCO / CNP")</f>
        <v>YCO / CNP</v>
      </c>
      <c r="N14" s="45" t="str">
        <f>IFERROR(__xludf.DUMMYFUNCTION("""COMPUTED_VALUE"""),"Interior (Optimist)")</f>
        <v>Interior (Optimist)</v>
      </c>
      <c r="O14" s="45" t="str">
        <f>IFERROR(__xludf.DUMMYFUNCTION("""COMPUTED_VALUE"""),"OPTIMIST PRINCIPIANTES")</f>
        <v>OPTIMIST PRINCIPIANTES</v>
      </c>
      <c r="P14" s="45"/>
      <c r="Q14" s="45">
        <f>IFERROR(__xludf.DUMMYFUNCTION("""COMPUTED_VALUE"""),3880.0)</f>
        <v>3880</v>
      </c>
      <c r="R14" s="45"/>
      <c r="S14" s="45"/>
      <c r="T14" s="45"/>
      <c r="U14" s="45"/>
      <c r="V14" s="45"/>
      <c r="W14" s="45"/>
      <c r="X14" s="45"/>
      <c r="Y14" s="45" t="str">
        <f>IFERROR(__xludf.DUMMYFUNCTION("""COMPUTED_VALUE"""),"SANATORIO SANTA FE 94702")</f>
        <v>SANATORIO SANTA FE 94702</v>
      </c>
      <c r="Z14" s="7" t="str">
        <f>IFERROR(__xludf.DUMMYFUNCTION("""COMPUTED_VALUE"""),"Si")</f>
        <v>Si</v>
      </c>
      <c r="AA14" s="7" t="str">
        <f>IFERROR(__xludf.DUMMYFUNCTION("""COMPUTED_VALUE"""),"Acepto")</f>
        <v>Acepto</v>
      </c>
      <c r="AB14" s="7" t="str">
        <f>IFERROR(__xludf.DUMMYFUNCTION("""COMPUTED_VALUE"""),"Terminado")</f>
        <v>Terminado</v>
      </c>
      <c r="AC14" s="7">
        <f>IFERROR(__xludf.DUMMYFUNCTION("""COMPUTED_VALUE"""),50000.0)</f>
        <v>50000</v>
      </c>
      <c r="AD14" s="7">
        <f>IFERROR(__xludf.DUMMYFUNCTION("""COMPUTED_VALUE"""),205110.0)</f>
        <v>205110</v>
      </c>
      <c r="AE14" s="7" t="str">
        <f>IFERROR(__xludf.DUMMYFUNCTION("""COMPUTED_VALUE"""),"Tarj 31-08")</f>
        <v>Tarj 31-08</v>
      </c>
      <c r="AF14" s="7" t="str">
        <f>IFERROR(__xludf.DUMMYFUNCTION("""COMPUTED_VALUE"""),"OK")</f>
        <v>OK</v>
      </c>
      <c r="AG14" s="45"/>
    </row>
    <row r="15" ht="15.75" customHeight="1">
      <c r="B15" s="42">
        <f>IFERROR(__xludf.DUMMYFUNCTION("""COMPUTED_VALUE"""),45537.80565019676)</f>
        <v>45537.80565</v>
      </c>
      <c r="C15" s="43" t="str">
        <f>IFERROR(__xludf.DUMMYFUNCTION("""COMPUTED_VALUE"""),"Martín")</f>
        <v>Martín</v>
      </c>
      <c r="D15" s="43" t="str">
        <f>IFERROR(__xludf.DUMMYFUNCTION("""COMPUTED_VALUE"""),"Böhm")</f>
        <v>Böhm</v>
      </c>
      <c r="E15" s="43" t="str">
        <f>IFERROR(__xludf.DUMMYFUNCTION("""COMPUTED_VALUE"""),"Buenos Aires")</f>
        <v>Buenos Aires</v>
      </c>
      <c r="F15" s="7" t="str">
        <f>IFERROR(__xludf.DUMMYFUNCTION("""COMPUTED_VALUE"""),"ARG")</f>
        <v>ARG</v>
      </c>
      <c r="G15" s="7">
        <f>IFERROR(__xludf.DUMMYFUNCTION("""COMPUTED_VALUE"""),5.1071134E7)</f>
        <v>51071134</v>
      </c>
      <c r="H15" s="44">
        <f>IFERROR(__xludf.DUMMYFUNCTION("""COMPUTED_VALUE"""),40620.0)</f>
        <v>40620</v>
      </c>
      <c r="I15" s="45" t="str">
        <f>IFERROR(__xludf.DUMMYFUNCTION("""COMPUTED_VALUE"""),"011 3181 3486")</f>
        <v>011 3181 3486</v>
      </c>
      <c r="J15" s="45" t="str">
        <f>IFERROR(__xludf.DUMMYFUNCTION("""COMPUTED_VALUE"""),"011 3521 9706")</f>
        <v>011 3521 9706</v>
      </c>
      <c r="K15" s="45" t="str">
        <f>IFERROR(__xludf.DUMMYFUNCTION("""COMPUTED_VALUE"""),"norberto@boehm.com.ar")</f>
        <v>norberto@boehm.com.ar</v>
      </c>
      <c r="L15" s="45" t="str">
        <f>IFERROR(__xludf.DUMMYFUNCTION("""COMPUTED_VALUE"""),"Masculino")</f>
        <v>Masculino</v>
      </c>
      <c r="M15" s="45" t="str">
        <f>IFERROR(__xludf.DUMMYFUNCTION("""COMPUTED_VALUE"""),"CNO")</f>
        <v>CNO</v>
      </c>
      <c r="N15" s="45"/>
      <c r="O15" s="45" t="str">
        <f>IFERROR(__xludf.DUMMYFUNCTION("""COMPUTED_VALUE"""),"OPTIMIST PRINCIPIANTES")</f>
        <v>OPTIMIST PRINCIPIANTES</v>
      </c>
      <c r="P15" s="45">
        <f>IFERROR(__xludf.DUMMYFUNCTION("""COMPUTED_VALUE"""),9.0)</f>
        <v>9</v>
      </c>
      <c r="Q15" s="45">
        <f>IFERROR(__xludf.DUMMYFUNCTION("""COMPUTED_VALUE"""),343.0)</f>
        <v>343</v>
      </c>
      <c r="R15" s="45" t="str">
        <f>IFERROR(__xludf.DUMMYFUNCTION("""COMPUTED_VALUE"""),"Speed Racer")</f>
        <v>Speed Racer</v>
      </c>
      <c r="S15" s="45"/>
      <c r="T15" s="45"/>
      <c r="U15" s="45"/>
      <c r="V15" s="45"/>
      <c r="W15" s="45"/>
      <c r="X15" s="45"/>
      <c r="Y15" s="45" t="str">
        <f>IFERROR(__xludf.DUMMYFUNCTION("""COMPUTED_VALUE"""),"OSDE 60 920464 4 04")</f>
        <v>OSDE 60 920464 4 04</v>
      </c>
      <c r="Z15" s="7" t="str">
        <f>IFERROR(__xludf.DUMMYFUNCTION("""COMPUTED_VALUE"""),"No")</f>
        <v>No</v>
      </c>
      <c r="AA15" s="7" t="str">
        <f>IFERROR(__xludf.DUMMYFUNCTION("""COMPUTED_VALUE"""),"Acepto")</f>
        <v>Acepto</v>
      </c>
      <c r="AB15" s="7" t="str">
        <f>IFERROR(__xludf.DUMMYFUNCTION("""COMPUTED_VALUE"""),"Terminado")</f>
        <v>Terminado</v>
      </c>
      <c r="AC15" s="7">
        <f>IFERROR(__xludf.DUMMYFUNCTION("""COMPUTED_VALUE"""),50000.0)</f>
        <v>50000</v>
      </c>
      <c r="AD15" s="7">
        <f>IFERROR(__xludf.DUMMYFUNCTION("""COMPUTED_VALUE"""),205405.0)</f>
        <v>205405</v>
      </c>
      <c r="AE15" s="7" t="str">
        <f>IFERROR(__xludf.DUMMYFUNCTION("""COMPUTED_VALUE"""),"TRF 02-09")</f>
        <v>TRF 02-09</v>
      </c>
      <c r="AF15" s="7" t="str">
        <f>IFERROR(__xludf.DUMMYFUNCTION("""COMPUTED_VALUE"""),"Pendiente")</f>
        <v>Pendiente</v>
      </c>
      <c r="AG15" s="45" t="str">
        <f>IFERROR(__xludf.DUMMYFUNCTION("""COMPUTED_VALUE"""),"Si")</f>
        <v>Si</v>
      </c>
    </row>
    <row r="16" ht="15.75" customHeight="1">
      <c r="B16" s="42">
        <f>IFERROR(__xludf.DUMMYFUNCTION("""COMPUTED_VALUE"""),45534.79112940972)</f>
        <v>45534.79113</v>
      </c>
      <c r="C16" s="43" t="str">
        <f>IFERROR(__xludf.DUMMYFUNCTION("""COMPUTED_VALUE"""),"Olivia")</f>
        <v>Olivia</v>
      </c>
      <c r="D16" s="43" t="str">
        <f>IFERROR(__xludf.DUMMYFUNCTION("""COMPUTED_VALUE"""),"Brunetta")</f>
        <v>Brunetta</v>
      </c>
      <c r="E16" s="43" t="str">
        <f>IFERROR(__xludf.DUMMYFUNCTION("""COMPUTED_VALUE"""),"San Isidro")</f>
        <v>San Isidro</v>
      </c>
      <c r="F16" s="7" t="str">
        <f>IFERROR(__xludf.DUMMYFUNCTION("""COMPUTED_VALUE"""),"ARG")</f>
        <v>ARG</v>
      </c>
      <c r="G16" s="7">
        <f>IFERROR(__xludf.DUMMYFUNCTION("""COMPUTED_VALUE"""),5.3586158E7)</f>
        <v>53586158</v>
      </c>
      <c r="H16" s="44">
        <f>IFERROR(__xludf.DUMMYFUNCTION("""COMPUTED_VALUE"""),41576.0)</f>
        <v>41576</v>
      </c>
      <c r="I16" s="45">
        <f>IFERROR(__xludf.DUMMYFUNCTION("""COMPUTED_VALUE"""),1.15799637E9)</f>
        <v>1157996370</v>
      </c>
      <c r="J16" s="45">
        <f>IFERROR(__xludf.DUMMYFUNCTION("""COMPUTED_VALUE"""),1.140609749E9)</f>
        <v>1140609749</v>
      </c>
      <c r="K16" s="45" t="str">
        <f>IFERROR(__xludf.DUMMYFUNCTION("""COMPUTED_VALUE"""),"Andres_brunetta@yahoo.com")</f>
        <v>Andres_brunetta@yahoo.com</v>
      </c>
      <c r="L16" s="45" t="str">
        <f>IFERROR(__xludf.DUMMYFUNCTION("""COMPUTED_VALUE"""),"Femenino")</f>
        <v>Femenino</v>
      </c>
      <c r="M16" s="45" t="str">
        <f>IFERROR(__xludf.DUMMYFUNCTION("""COMPUTED_VALUE"""),"CNSI")</f>
        <v>CNSI</v>
      </c>
      <c r="N16" s="45" t="str">
        <f>IFERROR(__xludf.DUMMYFUNCTION("""COMPUTED_VALUE"""),"Femenino")</f>
        <v>Femenino</v>
      </c>
      <c r="O16" s="45" t="str">
        <f>IFERROR(__xludf.DUMMYFUNCTION("""COMPUTED_VALUE"""),"OPTIMIST PRINCIPIANTES")</f>
        <v>OPTIMIST PRINCIPIANTES</v>
      </c>
      <c r="P16" s="45"/>
      <c r="Q16" s="45">
        <f>IFERROR(__xludf.DUMMYFUNCTION("""COMPUTED_VALUE"""),3480.0)</f>
        <v>3480</v>
      </c>
      <c r="R16" s="45" t="str">
        <f>IFERROR(__xludf.DUMMYFUNCTION("""COMPUTED_VALUE"""),"Garritas")</f>
        <v>Garritas</v>
      </c>
      <c r="S16" s="45"/>
      <c r="T16" s="45"/>
      <c r="U16" s="45"/>
      <c r="V16" s="45"/>
      <c r="W16" s="45"/>
      <c r="X16" s="45"/>
      <c r="Y16" s="45" t="str">
        <f>IFERROR(__xludf.DUMMYFUNCTION("""COMPUTED_VALUE"""),"Osde410  60755505904")</f>
        <v>Osde410  60755505904</v>
      </c>
      <c r="Z16" s="7" t="str">
        <f>IFERROR(__xludf.DUMMYFUNCTION("""COMPUTED_VALUE"""),"Si")</f>
        <v>Si</v>
      </c>
      <c r="AA16" s="7" t="str">
        <f>IFERROR(__xludf.DUMMYFUNCTION("""COMPUTED_VALUE"""),"Acepto")</f>
        <v>Acepto</v>
      </c>
      <c r="AB16" s="7" t="str">
        <f>IFERROR(__xludf.DUMMYFUNCTION("""COMPUTED_VALUE"""),"Terminado")</f>
        <v>Terminado</v>
      </c>
      <c r="AC16" s="7">
        <f>IFERROR(__xludf.DUMMYFUNCTION("""COMPUTED_VALUE"""),50000.0)</f>
        <v>50000</v>
      </c>
      <c r="AD16" s="7">
        <f>IFERROR(__xludf.DUMMYFUNCTION("""COMPUTED_VALUE"""),205129.0)</f>
        <v>205129</v>
      </c>
      <c r="AE16" s="7" t="str">
        <f>IFERROR(__xludf.DUMMYFUNCTION("""COMPUTED_VALUE"""),"TRF 30-08")</f>
        <v>TRF 30-08</v>
      </c>
      <c r="AF16" s="7" t="str">
        <f>IFERROR(__xludf.DUMMYFUNCTION("""COMPUTED_VALUE"""),"Pendiente")</f>
        <v>Pendiente</v>
      </c>
      <c r="AG16" s="45"/>
    </row>
    <row r="17" ht="15.75" customHeight="1">
      <c r="B17" s="42">
        <f>IFERROR(__xludf.DUMMYFUNCTION("""COMPUTED_VALUE"""),45534.44472680555)</f>
        <v>45534.44473</v>
      </c>
      <c r="C17" s="43" t="str">
        <f>IFERROR(__xludf.DUMMYFUNCTION("""COMPUTED_VALUE"""),"Lucas")</f>
        <v>Lucas</v>
      </c>
      <c r="D17" s="43" t="str">
        <f>IFERROR(__xludf.DUMMYFUNCTION("""COMPUTED_VALUE"""),"Calvo")</f>
        <v>Calvo</v>
      </c>
      <c r="E17" s="43" t="str">
        <f>IFERROR(__xludf.DUMMYFUNCTION("""COMPUTED_VALUE"""),"Victoria")</f>
        <v>Victoria</v>
      </c>
      <c r="F17" s="7" t="str">
        <f>IFERROR(__xludf.DUMMYFUNCTION("""COMPUTED_VALUE"""),"ARG")</f>
        <v>ARG</v>
      </c>
      <c r="G17" s="7">
        <f>IFERROR(__xludf.DUMMYFUNCTION("""COMPUTED_VALUE"""),5.4520706E7)</f>
        <v>54520706</v>
      </c>
      <c r="H17" s="44">
        <f>IFERROR(__xludf.DUMMYFUNCTION("""COMPUTED_VALUE"""),42012.0)</f>
        <v>42012</v>
      </c>
      <c r="I17" s="45">
        <f>IFERROR(__xludf.DUMMYFUNCTION("""COMPUTED_VALUE"""),9.1159278173E10)</f>
        <v>91159278173</v>
      </c>
      <c r="J17" s="45">
        <f>IFERROR(__xludf.DUMMYFUNCTION("""COMPUTED_VALUE"""),9.1159278173E10)</f>
        <v>91159278173</v>
      </c>
      <c r="K17" s="45" t="str">
        <f>IFERROR(__xludf.DUMMYFUNCTION("""COMPUTED_VALUE"""),"sabhidalgo21@gmail.com")</f>
        <v>sabhidalgo21@gmail.com</v>
      </c>
      <c r="L17" s="45" t="str">
        <f>IFERROR(__xludf.DUMMYFUNCTION("""COMPUTED_VALUE"""),"Masculino")</f>
        <v>Masculino</v>
      </c>
      <c r="M17" s="45" t="str">
        <f>IFERROR(__xludf.DUMMYFUNCTION("""COMPUTED_VALUE"""),"CVB")</f>
        <v>CVB</v>
      </c>
      <c r="N17" s="45" t="str">
        <f>IFERROR(__xludf.DUMMYFUNCTION("""COMPUTED_VALUE"""),"Interior (Optimist)")</f>
        <v>Interior (Optimist)</v>
      </c>
      <c r="O17" s="45" t="str">
        <f>IFERROR(__xludf.DUMMYFUNCTION("""COMPUTED_VALUE"""),"OPTIMIST PRINCIPIANTES")</f>
        <v>OPTIMIST PRINCIPIANTES</v>
      </c>
      <c r="P17" s="45"/>
      <c r="Q17" s="45">
        <f>IFERROR(__xludf.DUMMYFUNCTION("""COMPUTED_VALUE"""),4056.0)</f>
        <v>4056</v>
      </c>
      <c r="R17" s="45"/>
      <c r="S17" s="45"/>
      <c r="T17" s="45"/>
      <c r="U17" s="45"/>
      <c r="V17" s="45"/>
      <c r="W17" s="45"/>
      <c r="X17" s="45"/>
      <c r="Y17" s="45" t="str">
        <f>IFERROR(__xludf.DUMMYFUNCTION("""COMPUTED_VALUE"""),"61 790187 1 04")</f>
        <v>61 790187 1 04</v>
      </c>
      <c r="Z17" s="7" t="str">
        <f>IFERROR(__xludf.DUMMYFUNCTION("""COMPUTED_VALUE"""),"No")</f>
        <v>No</v>
      </c>
      <c r="AA17" s="7" t="str">
        <f>IFERROR(__xludf.DUMMYFUNCTION("""COMPUTED_VALUE"""),"Acepto")</f>
        <v>Acepto</v>
      </c>
      <c r="AB17" s="7" t="str">
        <f>IFERROR(__xludf.DUMMYFUNCTION("""COMPUTED_VALUE"""),"Terminado")</f>
        <v>Terminado</v>
      </c>
      <c r="AC17" s="7">
        <f>IFERROR(__xludf.DUMMYFUNCTION("""COMPUTED_VALUE"""),50000.0)</f>
        <v>50000</v>
      </c>
      <c r="AD17" s="7">
        <f>IFERROR(__xludf.DUMMYFUNCTION("""COMPUTED_VALUE"""),205086.0)</f>
        <v>205086</v>
      </c>
      <c r="AE17" s="7" t="str">
        <f>IFERROR(__xludf.DUMMYFUNCTION("""COMPUTED_VALUE"""),"Tarj 30-8")</f>
        <v>Tarj 30-8</v>
      </c>
      <c r="AF17" s="7" t="str">
        <f>IFERROR(__xludf.DUMMYFUNCTION("""COMPUTED_VALUE"""),"OK")</f>
        <v>OK</v>
      </c>
      <c r="AG17" s="45" t="str">
        <f>IFERROR(__xludf.DUMMYFUNCTION("""COMPUTED_VALUE"""),"SI")</f>
        <v>SI</v>
      </c>
    </row>
    <row r="18" ht="15.75" customHeight="1">
      <c r="B18" s="42">
        <f>IFERROR(__xludf.DUMMYFUNCTION("""COMPUTED_VALUE"""),45534.40182600694)</f>
        <v>45534.40183</v>
      </c>
      <c r="C18" s="43" t="str">
        <f>IFERROR(__xludf.DUMMYFUNCTION("""COMPUTED_VALUE"""),"Federico Andres")</f>
        <v>Federico Andres</v>
      </c>
      <c r="D18" s="43" t="str">
        <f>IFERROR(__xludf.DUMMYFUNCTION("""COMPUTED_VALUE"""),"Castelo")</f>
        <v>Castelo</v>
      </c>
      <c r="E18" s="43" t="str">
        <f>IFERROR(__xludf.DUMMYFUNCTION("""COMPUTED_VALUE"""),"Bs As")</f>
        <v>Bs As</v>
      </c>
      <c r="F18" s="7" t="str">
        <f>IFERROR(__xludf.DUMMYFUNCTION("""COMPUTED_VALUE"""),"ARG")</f>
        <v>ARG</v>
      </c>
      <c r="G18" s="7">
        <f>IFERROR(__xludf.DUMMYFUNCTION("""COMPUTED_VALUE"""),5.1478193E7)</f>
        <v>51478193</v>
      </c>
      <c r="H18" s="44">
        <f>IFERROR(__xludf.DUMMYFUNCTION("""COMPUTED_VALUE"""),40872.0)</f>
        <v>40872</v>
      </c>
      <c r="I18" s="45">
        <f>IFERROR(__xludf.DUMMYFUNCTION("""COMPUTED_VALUE"""),1.551210919E9)</f>
        <v>1551210919</v>
      </c>
      <c r="J18" s="45">
        <f>IFERROR(__xludf.DUMMYFUNCTION("""COMPUTED_VALUE"""),1.551210919E9)</f>
        <v>1551210919</v>
      </c>
      <c r="K18" s="45" t="str">
        <f>IFERROR(__xludf.DUMMYFUNCTION("""COMPUTED_VALUE"""),"estudiocastelo@hotmail.com")</f>
        <v>estudiocastelo@hotmail.com</v>
      </c>
      <c r="L18" s="45" t="str">
        <f>IFERROR(__xludf.DUMMYFUNCTION("""COMPUTED_VALUE"""),"Masculino")</f>
        <v>Masculino</v>
      </c>
      <c r="M18" s="45" t="str">
        <f>IFERROR(__xludf.DUMMYFUNCTION("""COMPUTED_VALUE"""),"CPNLB ")</f>
        <v>CPNLB </v>
      </c>
      <c r="N18" s="45" t="str">
        <f>IFERROR(__xludf.DUMMYFUNCTION("""COMPUTED_VALUE"""),"Interior (Optimist)")</f>
        <v>Interior (Optimist)</v>
      </c>
      <c r="O18" s="45" t="str">
        <f>IFERROR(__xludf.DUMMYFUNCTION("""COMPUTED_VALUE"""),"OPTIMIST PRINCIPIANTES")</f>
        <v>OPTIMIST PRINCIPIANTES</v>
      </c>
      <c r="P18" s="45"/>
      <c r="Q18" s="45">
        <f>IFERROR(__xludf.DUMMYFUNCTION("""COMPUTED_VALUE"""),3560.0)</f>
        <v>3560</v>
      </c>
      <c r="R18" s="45" t="str">
        <f>IFERROR(__xludf.DUMMYFUNCTION("""COMPUTED_VALUE"""),"Chispa")</f>
        <v>Chispa</v>
      </c>
      <c r="S18" s="45"/>
      <c r="T18" s="45"/>
      <c r="U18" s="45"/>
      <c r="V18" s="45"/>
      <c r="W18" s="45"/>
      <c r="X18" s="45"/>
      <c r="Y18" s="45" t="str">
        <f>IFERROR(__xludf.DUMMYFUNCTION("""COMPUTED_VALUE"""),"No tiene")</f>
        <v>No tiene</v>
      </c>
      <c r="Z18" s="7" t="str">
        <f>IFERROR(__xludf.DUMMYFUNCTION("""COMPUTED_VALUE"""),"Si")</f>
        <v>Si</v>
      </c>
      <c r="AA18" s="7" t="str">
        <f>IFERROR(__xludf.DUMMYFUNCTION("""COMPUTED_VALUE"""),"Acepto")</f>
        <v>Acepto</v>
      </c>
      <c r="AB18" s="7" t="str">
        <f>IFERROR(__xludf.DUMMYFUNCTION("""COMPUTED_VALUE"""),"Terminado")</f>
        <v>Terminado</v>
      </c>
      <c r="AC18" s="7">
        <f>IFERROR(__xludf.DUMMYFUNCTION("""COMPUTED_VALUE"""),50000.0)</f>
        <v>50000</v>
      </c>
      <c r="AD18" s="7">
        <f>IFERROR(__xludf.DUMMYFUNCTION("""COMPUTED_VALUE"""),205088.0)</f>
        <v>205088</v>
      </c>
      <c r="AE18" s="7" t="str">
        <f>IFERROR(__xludf.DUMMYFUNCTION("""COMPUTED_VALUE"""),"TRF 30-08")</f>
        <v>TRF 30-08</v>
      </c>
      <c r="AF18" s="7" t="str">
        <f>IFERROR(__xludf.DUMMYFUNCTION("""COMPUTED_VALUE"""),"OK")</f>
        <v>OK</v>
      </c>
      <c r="AG18" s="45" t="str">
        <f>IFERROR(__xludf.DUMMYFUNCTION("""COMPUTED_VALUE"""),"SI")</f>
        <v>SI</v>
      </c>
    </row>
    <row r="19" ht="15.75" customHeight="1">
      <c r="B19" s="42">
        <f>IFERROR(__xludf.DUMMYFUNCTION("""COMPUTED_VALUE"""),45529.901827152775)</f>
        <v>45529.90183</v>
      </c>
      <c r="C19" s="43" t="str">
        <f>IFERROR(__xludf.DUMMYFUNCTION("""COMPUTED_VALUE"""),"Paco")</f>
        <v>Paco</v>
      </c>
      <c r="D19" s="43" t="str">
        <f>IFERROR(__xludf.DUMMYFUNCTION("""COMPUTED_VALUE"""),"Castiglioni ")</f>
        <v>Castiglioni </v>
      </c>
      <c r="E19" s="43" t="str">
        <f>IFERROR(__xludf.DUMMYFUNCTION("""COMPUTED_VALUE"""),"CABA")</f>
        <v>CABA</v>
      </c>
      <c r="F19" s="7" t="str">
        <f>IFERROR(__xludf.DUMMYFUNCTION("""COMPUTED_VALUE"""),"ARG")</f>
        <v>ARG</v>
      </c>
      <c r="G19" s="7">
        <f>IFERROR(__xludf.DUMMYFUNCTION("""COMPUTED_VALUE"""),5.3584723E7)</f>
        <v>53584723</v>
      </c>
      <c r="H19" s="44">
        <f>IFERROR(__xludf.DUMMYFUNCTION("""COMPUTED_VALUE"""),41603.0)</f>
        <v>41603</v>
      </c>
      <c r="I19" s="45">
        <f>IFERROR(__xludf.DUMMYFUNCTION("""COMPUTED_VALUE"""),1.130061435E9)</f>
        <v>1130061435</v>
      </c>
      <c r="J19" s="45"/>
      <c r="K19" s="45" t="str">
        <f>IFERROR(__xludf.DUMMYFUNCTION("""COMPUTED_VALUE"""),"rjcastiglioni@hotmail.com")</f>
        <v>rjcastiglioni@hotmail.com</v>
      </c>
      <c r="L19" s="45" t="str">
        <f>IFERROR(__xludf.DUMMYFUNCTION("""COMPUTED_VALUE"""),"Masculino")</f>
        <v>Masculino</v>
      </c>
      <c r="M19" s="45" t="str">
        <f>IFERROR(__xludf.DUMMYFUNCTION("""COMPUTED_VALUE"""),"CNSI")</f>
        <v>CNSI</v>
      </c>
      <c r="N19" s="45" t="str">
        <f>IFERROR(__xludf.DUMMYFUNCTION("""COMPUTED_VALUE"""),"Sub 12")</f>
        <v>Sub 12</v>
      </c>
      <c r="O19" s="45" t="str">
        <f>IFERROR(__xludf.DUMMYFUNCTION("""COMPUTED_VALUE"""),"OPTIMIST PRINCIPIANTES")</f>
        <v>OPTIMIST PRINCIPIANTES</v>
      </c>
      <c r="P19" s="45"/>
      <c r="Q19" s="45">
        <f>IFERROR(__xludf.DUMMYFUNCTION("""COMPUTED_VALUE"""),3475.0)</f>
        <v>3475</v>
      </c>
      <c r="R19" s="45" t="str">
        <f>IFERROR(__xludf.DUMMYFUNCTION("""COMPUTED_VALUE"""),"Ruby")</f>
        <v>Ruby</v>
      </c>
      <c r="S19" s="45"/>
      <c r="T19" s="45"/>
      <c r="U19" s="45"/>
      <c r="V19" s="45"/>
      <c r="W19" s="45"/>
      <c r="X19" s="45"/>
      <c r="Y19" s="45" t="str">
        <f>IFERROR(__xludf.DUMMYFUNCTION("""COMPUTED_VALUE"""),"OSDE")</f>
        <v>OSDE</v>
      </c>
      <c r="Z19" s="7" t="str">
        <f>IFERROR(__xludf.DUMMYFUNCTION("""COMPUTED_VALUE"""),"No")</f>
        <v>No</v>
      </c>
      <c r="AA19" s="7" t="str">
        <f>IFERROR(__xludf.DUMMYFUNCTION("""COMPUTED_VALUE"""),"Acepto")</f>
        <v>Acepto</v>
      </c>
      <c r="AB19" s="7" t="str">
        <f>IFERROR(__xludf.DUMMYFUNCTION("""COMPUTED_VALUE"""),"Terminado")</f>
        <v>Terminado</v>
      </c>
      <c r="AC19" s="7">
        <f>IFERROR(__xludf.DUMMYFUNCTION("""COMPUTED_VALUE"""),50000.0)</f>
        <v>50000</v>
      </c>
      <c r="AD19" s="7"/>
      <c r="AE19" s="7" t="str">
        <f>IFERROR(__xludf.DUMMYFUNCTION("""COMPUTED_VALUE"""),"TRF 30-08")</f>
        <v>TRF 30-08</v>
      </c>
      <c r="AF19" s="7" t="str">
        <f>IFERROR(__xludf.DUMMYFUNCTION("""COMPUTED_VALUE"""),"Pendiente")</f>
        <v>Pendiente</v>
      </c>
      <c r="AG19" s="45"/>
    </row>
    <row r="20" ht="15.75" customHeight="1">
      <c r="B20" s="42">
        <f>IFERROR(__xludf.DUMMYFUNCTION("""COMPUTED_VALUE"""),45538.8518777662)</f>
        <v>45538.85188</v>
      </c>
      <c r="C20" s="43" t="str">
        <f>IFERROR(__xludf.DUMMYFUNCTION("""COMPUTED_VALUE"""),"valentin")</f>
        <v>valentin</v>
      </c>
      <c r="D20" s="43" t="str">
        <f>IFERROR(__xludf.DUMMYFUNCTION("""COMPUTED_VALUE"""),"chavarria")</f>
        <v>chavarria</v>
      </c>
      <c r="E20" s="43" t="str">
        <f>IFERROR(__xludf.DUMMYFUNCTION("""COMPUTED_VALUE"""),"zarate")</f>
        <v>zarate</v>
      </c>
      <c r="F20" s="7" t="str">
        <f>IFERROR(__xludf.DUMMYFUNCTION("""COMPUTED_VALUE"""),"ARG")</f>
        <v>ARG</v>
      </c>
      <c r="G20" s="7">
        <f>IFERROR(__xludf.DUMMYFUNCTION("""COMPUTED_VALUE"""),5.3084562E7)</f>
        <v>53084562</v>
      </c>
      <c r="H20" s="44">
        <f>IFERROR(__xludf.DUMMYFUNCTION("""COMPUTED_VALUE"""),41330.0)</f>
        <v>41330</v>
      </c>
      <c r="I20" s="45" t="str">
        <f>IFERROR(__xludf.DUMMYFUNCTION("""COMPUTED_VALUE"""),"3487-675440")</f>
        <v>3487-675440</v>
      </c>
      <c r="J20" s="45" t="str">
        <f>IFERROR(__xludf.DUMMYFUNCTION("""COMPUTED_VALUE"""),"3487-675440")</f>
        <v>3487-675440</v>
      </c>
      <c r="K20" s="45" t="str">
        <f>IFERROR(__xludf.DUMMYFUNCTION("""COMPUTED_VALUE"""),"miguelymale15@gmail.com")</f>
        <v>miguelymale15@gmail.com</v>
      </c>
      <c r="L20" s="45" t="str">
        <f>IFERROR(__xludf.DUMMYFUNCTION("""COMPUTED_VALUE"""),"Masculino")</f>
        <v>Masculino</v>
      </c>
      <c r="M20" s="45" t="str">
        <f>IFERROR(__xludf.DUMMYFUNCTION("""COMPUTED_VALUE"""),"CNZ")</f>
        <v>CNZ</v>
      </c>
      <c r="N20" s="45" t="str">
        <f>IFERROR(__xludf.DUMMYFUNCTION("""COMPUTED_VALUE"""),"Interior (Optimist)")</f>
        <v>Interior (Optimist)</v>
      </c>
      <c r="O20" s="45" t="str">
        <f>IFERROR(__xludf.DUMMYFUNCTION("""COMPUTED_VALUE"""),"OPTIMIST PRINCIPIANTES")</f>
        <v>OPTIMIST PRINCIPIANTES</v>
      </c>
      <c r="P20" s="45"/>
      <c r="Q20" s="45">
        <f>IFERROR(__xludf.DUMMYFUNCTION("""COMPUTED_VALUE"""),402.0)</f>
        <v>402</v>
      </c>
      <c r="R20" s="45"/>
      <c r="S20" s="45"/>
      <c r="T20" s="45"/>
      <c r="U20" s="45"/>
      <c r="V20" s="45"/>
      <c r="W20" s="45"/>
      <c r="X20" s="45"/>
      <c r="Y20" s="45"/>
      <c r="Z20" s="7" t="str">
        <f>IFERROR(__xludf.DUMMYFUNCTION("""COMPUTED_VALUE"""),"Si")</f>
        <v>Si</v>
      </c>
      <c r="AA20" s="7" t="str">
        <f>IFERROR(__xludf.DUMMYFUNCTION("""COMPUTED_VALUE"""),"Acepto")</f>
        <v>Acepto</v>
      </c>
      <c r="AB20" s="7" t="str">
        <f>IFERROR(__xludf.DUMMYFUNCTION("""COMPUTED_VALUE"""),"Terminado")</f>
        <v>Terminado</v>
      </c>
      <c r="AC20" s="7">
        <f>IFERROR(__xludf.DUMMYFUNCTION("""COMPUTED_VALUE"""),50000.0)</f>
        <v>50000</v>
      </c>
      <c r="AD20" s="7">
        <f>IFERROR(__xludf.DUMMYFUNCTION("""COMPUTED_VALUE"""),205425.0)</f>
        <v>205425</v>
      </c>
      <c r="AE20" s="7" t="str">
        <f>IFERROR(__xludf.DUMMYFUNCTION("""COMPUTED_VALUE"""),"TRF 03-09")</f>
        <v>TRF 03-09</v>
      </c>
      <c r="AF20" s="7" t="str">
        <f>IFERROR(__xludf.DUMMYFUNCTION("""COMPUTED_VALUE"""),"OK")</f>
        <v>OK</v>
      </c>
      <c r="AG20" s="45"/>
    </row>
    <row r="21" ht="15.75" customHeight="1">
      <c r="B21" s="42">
        <f>IFERROR(__xludf.DUMMYFUNCTION("""COMPUTED_VALUE"""),45534.359787615744)</f>
        <v>45534.35979</v>
      </c>
      <c r="C21" s="43" t="str">
        <f>IFERROR(__xludf.DUMMYFUNCTION("""COMPUTED_VALUE"""),"Julia")</f>
        <v>Julia</v>
      </c>
      <c r="D21" s="43" t="str">
        <f>IFERROR(__xludf.DUMMYFUNCTION("""COMPUTED_VALUE"""),"Cocozza")</f>
        <v>Cocozza</v>
      </c>
      <c r="E21" s="43" t="str">
        <f>IFERROR(__xludf.DUMMYFUNCTION("""COMPUTED_VALUE"""),"San fernando")</f>
        <v>San fernando</v>
      </c>
      <c r="F21" s="7" t="str">
        <f>IFERROR(__xludf.DUMMYFUNCTION("""COMPUTED_VALUE"""),"ARG")</f>
        <v>ARG</v>
      </c>
      <c r="G21" s="7">
        <f>IFERROR(__xludf.DUMMYFUNCTION("""COMPUTED_VALUE"""),5.320446E7)</f>
        <v>53204460</v>
      </c>
      <c r="H21" s="44">
        <f>IFERROR(__xludf.DUMMYFUNCTION("""COMPUTED_VALUE"""),41418.0)</f>
        <v>41418</v>
      </c>
      <c r="I21" s="45">
        <f>IFERROR(__xludf.DUMMYFUNCTION("""COMPUTED_VALUE"""),1.159965995E9)</f>
        <v>1159965995</v>
      </c>
      <c r="J21" s="45">
        <f>IFERROR(__xludf.DUMMYFUNCTION("""COMPUTED_VALUE"""),1.159965995E9)</f>
        <v>1159965995</v>
      </c>
      <c r="K21" s="45" t="str">
        <f>IFERROR(__xludf.DUMMYFUNCTION("""COMPUTED_VALUE"""),"Anaigoni@hotmail.com")</f>
        <v>Anaigoni@hotmail.com</v>
      </c>
      <c r="L21" s="45" t="str">
        <f>IFERROR(__xludf.DUMMYFUNCTION("""COMPUTED_VALUE"""),"Femenino")</f>
        <v>Femenino</v>
      </c>
      <c r="M21" s="45" t="str">
        <f>IFERROR(__xludf.DUMMYFUNCTION("""COMPUTED_VALUE"""),"YCA")</f>
        <v>YCA</v>
      </c>
      <c r="N21" s="45" t="str">
        <f>IFERROR(__xludf.DUMMYFUNCTION("""COMPUTED_VALUE"""),"Femenino")</f>
        <v>Femenino</v>
      </c>
      <c r="O21" s="45" t="str">
        <f>IFERROR(__xludf.DUMMYFUNCTION("""COMPUTED_VALUE"""),"OPTIMIST PRINCIPIANTES")</f>
        <v>OPTIMIST PRINCIPIANTES</v>
      </c>
      <c r="P21" s="45"/>
      <c r="Q21" s="45">
        <f>IFERROR(__xludf.DUMMYFUNCTION("""COMPUTED_VALUE"""),3040.0)</f>
        <v>3040</v>
      </c>
      <c r="R21" s="45" t="str">
        <f>IFERROR(__xludf.DUMMYFUNCTION("""COMPUTED_VALUE"""),"AKUÄ ")</f>
        <v>AKUÄ </v>
      </c>
      <c r="S21" s="45"/>
      <c r="T21" s="45"/>
      <c r="U21" s="45"/>
      <c r="V21" s="45"/>
      <c r="W21" s="45"/>
      <c r="X21" s="45"/>
      <c r="Y21" s="45">
        <f>IFERROR(__xludf.DUMMYFUNCTION("""COMPUTED_VALUE"""),6.1132626303E10)</f>
        <v>61132626303</v>
      </c>
      <c r="Z21" s="7" t="str">
        <f>IFERROR(__xludf.DUMMYFUNCTION("""COMPUTED_VALUE"""),"No")</f>
        <v>No</v>
      </c>
      <c r="AA21" s="7" t="str">
        <f>IFERROR(__xludf.DUMMYFUNCTION("""COMPUTED_VALUE"""),"Acepto")</f>
        <v>Acepto</v>
      </c>
      <c r="AB21" s="7" t="str">
        <f>IFERROR(__xludf.DUMMYFUNCTION("""COMPUTED_VALUE"""),"Terminado")</f>
        <v>Terminado</v>
      </c>
      <c r="AC21" s="7">
        <f>IFERROR(__xludf.DUMMYFUNCTION("""COMPUTED_VALUE"""),50000.0)</f>
        <v>50000</v>
      </c>
      <c r="AD21" s="7">
        <f>IFERROR(__xludf.DUMMYFUNCTION("""COMPUTED_VALUE"""),205093.0)</f>
        <v>205093</v>
      </c>
      <c r="AE21" s="7" t="str">
        <f>IFERROR(__xludf.DUMMYFUNCTION("""COMPUTED_VALUE"""),"TRF 30-08")</f>
        <v>TRF 30-08</v>
      </c>
      <c r="AF21" s="7" t="str">
        <f>IFERROR(__xludf.DUMMYFUNCTION("""COMPUTED_VALUE"""),"OK")</f>
        <v>OK</v>
      </c>
      <c r="AG21" s="45"/>
    </row>
    <row r="22" ht="15.75" customHeight="1">
      <c r="B22" s="42">
        <f>IFERROR(__xludf.DUMMYFUNCTION("""COMPUTED_VALUE"""),45531.78893083333)</f>
        <v>45531.78893</v>
      </c>
      <c r="C22" s="43" t="str">
        <f>IFERROR(__xludf.DUMMYFUNCTION("""COMPUTED_VALUE"""),"Isabel")</f>
        <v>Isabel</v>
      </c>
      <c r="D22" s="43" t="str">
        <f>IFERROR(__xludf.DUMMYFUNCTION("""COMPUTED_VALUE"""),"de Arriba")</f>
        <v>de Arriba</v>
      </c>
      <c r="E22" s="43" t="str">
        <f>IFERROR(__xludf.DUMMYFUNCTION("""COMPUTED_VALUE"""),"República de Saavedra, Capital Federal")</f>
        <v>República de Saavedra, Capital Federal</v>
      </c>
      <c r="F22" s="7" t="str">
        <f>IFERROR(__xludf.DUMMYFUNCTION("""COMPUTED_VALUE"""),"ARG")</f>
        <v>ARG</v>
      </c>
      <c r="G22" s="7">
        <f>IFERROR(__xludf.DUMMYFUNCTION("""COMPUTED_VALUE"""),5.244014E7)</f>
        <v>52440140</v>
      </c>
      <c r="H22" s="44">
        <f>IFERROR(__xludf.DUMMYFUNCTION("""COMPUTED_VALUE"""),41015.0)</f>
        <v>41015</v>
      </c>
      <c r="I22" s="45">
        <f>IFERROR(__xludf.DUMMYFUNCTION("""COMPUTED_VALUE"""),1.161681234E9)</f>
        <v>1161681234</v>
      </c>
      <c r="J22" s="45">
        <f>IFERROR(__xludf.DUMMYFUNCTION("""COMPUTED_VALUE"""),1.131710227E9)</f>
        <v>1131710227</v>
      </c>
      <c r="K22" s="45" t="str">
        <f>IFERROR(__xludf.DUMMYFUNCTION("""COMPUTED_VALUE"""),"dearribaisabel@gmail.com")</f>
        <v>dearribaisabel@gmail.com</v>
      </c>
      <c r="L22" s="45" t="str">
        <f>IFERROR(__xludf.DUMMYFUNCTION("""COMPUTED_VALUE"""),"Femenino")</f>
        <v>Femenino</v>
      </c>
      <c r="M22" s="45" t="str">
        <f>IFERROR(__xludf.DUMMYFUNCTION("""COMPUTED_VALUE"""),"CGLNM")</f>
        <v>CGLNM</v>
      </c>
      <c r="N22" s="45" t="str">
        <f>IFERROR(__xludf.DUMMYFUNCTION("""COMPUTED_VALUE"""),"Femenino")</f>
        <v>Femenino</v>
      </c>
      <c r="O22" s="45" t="str">
        <f>IFERROR(__xludf.DUMMYFUNCTION("""COMPUTED_VALUE"""),"OPTIMIST PRINCIPIANTES")</f>
        <v>OPTIMIST PRINCIPIANTES</v>
      </c>
      <c r="P22" s="45"/>
      <c r="Q22" s="45">
        <f>IFERROR(__xludf.DUMMYFUNCTION("""COMPUTED_VALUE"""),3625.0)</f>
        <v>3625</v>
      </c>
      <c r="R22" s="45" t="str">
        <f>IFERROR(__xludf.DUMMYFUNCTION("""COMPUTED_VALUE"""),"Merluza")</f>
        <v>Merluza</v>
      </c>
      <c r="S22" s="45" t="str">
        <f>IFERROR(__xludf.DUMMYFUNCTION("""COMPUTED_VALUE"""),"Isabel de Arriba")</f>
        <v>Isabel de Arriba</v>
      </c>
      <c r="T22" s="45"/>
      <c r="U22" s="45"/>
      <c r="V22" s="45"/>
      <c r="W22" s="45"/>
      <c r="X22" s="45"/>
      <c r="Y22" s="45">
        <f>IFERROR(__xludf.DUMMYFUNCTION("""COMPUTED_VALUE"""),6.1407799002E10)</f>
        <v>61407799002</v>
      </c>
      <c r="Z22" s="7" t="str">
        <f>IFERROR(__xludf.DUMMYFUNCTION("""COMPUTED_VALUE"""),"Si")</f>
        <v>Si</v>
      </c>
      <c r="AA22" s="7" t="str">
        <f>IFERROR(__xludf.DUMMYFUNCTION("""COMPUTED_VALUE"""),"Acepto")</f>
        <v>Acepto</v>
      </c>
      <c r="AB22" s="7" t="str">
        <f>IFERROR(__xludf.DUMMYFUNCTION("""COMPUTED_VALUE"""),"Terminado")</f>
        <v>Terminado</v>
      </c>
      <c r="AC22" s="7">
        <f>IFERROR(__xludf.DUMMYFUNCTION("""COMPUTED_VALUE"""),50000.0)</f>
        <v>50000</v>
      </c>
      <c r="AD22" s="7">
        <f>IFERROR(__xludf.DUMMYFUNCTION("""COMPUTED_VALUE"""),205618.0)</f>
        <v>205618</v>
      </c>
      <c r="AE22" s="7" t="str">
        <f>IFERROR(__xludf.DUMMYFUNCTION("""COMPUTED_VALUE"""),"TRF 09-09")</f>
        <v>TRF 09-09</v>
      </c>
      <c r="AF22" s="7" t="str">
        <f>IFERROR(__xludf.DUMMYFUNCTION("""COMPUTED_VALUE"""),"OK")</f>
        <v>OK</v>
      </c>
      <c r="AG22" s="45"/>
    </row>
    <row r="23" ht="15.75" customHeight="1">
      <c r="B23" s="42">
        <f>IFERROR(__xludf.DUMMYFUNCTION("""COMPUTED_VALUE"""),45538.47978521991)</f>
        <v>45538.47979</v>
      </c>
      <c r="C23" s="43" t="str">
        <f>IFERROR(__xludf.DUMMYFUNCTION("""COMPUTED_VALUE"""),"Bastian")</f>
        <v>Bastian</v>
      </c>
      <c r="D23" s="43" t="str">
        <f>IFERROR(__xludf.DUMMYFUNCTION("""COMPUTED_VALUE"""),"Distefani")</f>
        <v>Distefani</v>
      </c>
      <c r="E23" s="43" t="str">
        <f>IFERROR(__xludf.DUMMYFUNCTION("""COMPUTED_VALUE"""),"San Isidro")</f>
        <v>San Isidro</v>
      </c>
      <c r="F23" s="7" t="str">
        <f>IFERROR(__xludf.DUMMYFUNCTION("""COMPUTED_VALUE"""),"ARG")</f>
        <v>ARG</v>
      </c>
      <c r="G23" s="7">
        <f>IFERROR(__xludf.DUMMYFUNCTION("""COMPUTED_VALUE"""),5.3820941E7)</f>
        <v>53820941</v>
      </c>
      <c r="H23" s="44">
        <f>IFERROR(__xludf.DUMMYFUNCTION("""COMPUTED_VALUE"""),41668.0)</f>
        <v>41668</v>
      </c>
      <c r="I23" s="45" t="str">
        <f>IFERROR(__xludf.DUMMYFUNCTION("""COMPUTED_VALUE"""),"+54 9 11 3394-3846")</f>
        <v>+54 9 11 3394-3846</v>
      </c>
      <c r="J23" s="45"/>
      <c r="K23" s="45" t="str">
        <f>IFERROR(__xludf.DUMMYFUNCTION("""COMPUTED_VALUE"""),"ignacio.varisco@gmail.com")</f>
        <v>ignacio.varisco@gmail.com</v>
      </c>
      <c r="L23" s="45" t="str">
        <f>IFERROR(__xludf.DUMMYFUNCTION("""COMPUTED_VALUE"""),"Masculino")</f>
        <v>Masculino</v>
      </c>
      <c r="M23" s="45" t="str">
        <f>IFERROR(__xludf.DUMMYFUNCTION("""COMPUTED_VALUE"""),"CPNLB- CBRIO")</f>
        <v>CPNLB- CBRIO</v>
      </c>
      <c r="N23" s="45"/>
      <c r="O23" s="45" t="str">
        <f>IFERROR(__xludf.DUMMYFUNCTION("""COMPUTED_VALUE"""),"OPTIMIST PRINCIPIANTES")</f>
        <v>OPTIMIST PRINCIPIANTES</v>
      </c>
      <c r="P23" s="45"/>
      <c r="Q23" s="45" t="str">
        <f>IFERROR(__xludf.DUMMYFUNCTION("""COMPUTED_VALUE"""),"USA 12804")</f>
        <v>USA 12804</v>
      </c>
      <c r="R23" s="45" t="str">
        <f>IFERROR(__xludf.DUMMYFUNCTION("""COMPUTED_VALUE"""),"Ninja")</f>
        <v>Ninja</v>
      </c>
      <c r="S23" s="45"/>
      <c r="T23" s="45"/>
      <c r="U23" s="45"/>
      <c r="V23" s="45"/>
      <c r="W23" s="45"/>
      <c r="X23" s="45"/>
      <c r="Y23" s="45"/>
      <c r="Z23" s="7" t="str">
        <f>IFERROR(__xludf.DUMMYFUNCTION("""COMPUTED_VALUE"""),"Si")</f>
        <v>Si</v>
      </c>
      <c r="AA23" s="7" t="str">
        <f>IFERROR(__xludf.DUMMYFUNCTION("""COMPUTED_VALUE"""),"Acepto")</f>
        <v>Acepto</v>
      </c>
      <c r="AB23" s="7" t="str">
        <f>IFERROR(__xludf.DUMMYFUNCTION("""COMPUTED_VALUE"""),"Terminado")</f>
        <v>Terminado</v>
      </c>
      <c r="AC23" s="7"/>
      <c r="AD23" s="7"/>
      <c r="AE23" s="7" t="str">
        <f>IFERROR(__xludf.DUMMYFUNCTION("""COMPUTED_VALUE"""),"Beca CBrrio")</f>
        <v>Beca CBrrio</v>
      </c>
      <c r="AF23" s="7" t="str">
        <f>IFERROR(__xludf.DUMMYFUNCTION("""COMPUTED_VALUE"""),"OK")</f>
        <v>OK</v>
      </c>
      <c r="AG23" s="45" t="str">
        <f>IFERROR(__xludf.DUMMYFUNCTION("""COMPUTED_VALUE"""),"SI")</f>
        <v>SI</v>
      </c>
    </row>
    <row r="24" ht="15.75" customHeight="1">
      <c r="B24" s="42">
        <f>IFERROR(__xludf.DUMMYFUNCTION("""COMPUTED_VALUE"""),45538.41949064815)</f>
        <v>45538.41949</v>
      </c>
      <c r="C24" s="43" t="str">
        <f>IFERROR(__xludf.DUMMYFUNCTION("""COMPUTED_VALUE"""),"Felix")</f>
        <v>Felix</v>
      </c>
      <c r="D24" s="43" t="str">
        <f>IFERROR(__xludf.DUMMYFUNCTION("""COMPUTED_VALUE"""),"Doval")</f>
        <v>Doval</v>
      </c>
      <c r="E24" s="43" t="str">
        <f>IFERROR(__xludf.DUMMYFUNCTION("""COMPUTED_VALUE"""),"San Isidro")</f>
        <v>San Isidro</v>
      </c>
      <c r="F24" s="7" t="str">
        <f>IFERROR(__xludf.DUMMYFUNCTION("""COMPUTED_VALUE"""),"ARG")</f>
        <v>ARG</v>
      </c>
      <c r="G24" s="7">
        <f>IFERROR(__xludf.DUMMYFUNCTION("""COMPUTED_VALUE"""),5.3454414E7)</f>
        <v>53454414</v>
      </c>
      <c r="H24" s="44">
        <f>IFERROR(__xludf.DUMMYFUNCTION("""COMPUTED_VALUE"""),41515.0)</f>
        <v>41515</v>
      </c>
      <c r="I24" s="45">
        <f>IFERROR(__xludf.DUMMYFUNCTION("""COMPUTED_VALUE"""),1.150022001E9)</f>
        <v>1150022001</v>
      </c>
      <c r="J24" s="45">
        <f>IFERROR(__xludf.DUMMYFUNCTION("""COMPUTED_VALUE"""),1.150022001E9)</f>
        <v>1150022001</v>
      </c>
      <c r="K24" s="45" t="str">
        <f>IFERROR(__xludf.DUMMYFUNCTION("""COMPUTED_VALUE"""),"Santiago.doval@dovamar.com.ar")</f>
        <v>Santiago.doval@dovamar.com.ar</v>
      </c>
      <c r="L24" s="45" t="str">
        <f>IFERROR(__xludf.DUMMYFUNCTION("""COMPUTED_VALUE"""),"Masculino")</f>
        <v>Masculino</v>
      </c>
      <c r="M24" s="45" t="str">
        <f>IFERROR(__xludf.DUMMYFUNCTION("""COMPUTED_VALUE"""),"YCA")</f>
        <v>YCA</v>
      </c>
      <c r="N24" s="45" t="str">
        <f>IFERROR(__xludf.DUMMYFUNCTION("""COMPUTED_VALUE"""),"Optimist principiante")</f>
        <v>Optimist principiante</v>
      </c>
      <c r="O24" s="45" t="str">
        <f>IFERROR(__xludf.DUMMYFUNCTION("""COMPUTED_VALUE"""),"OPTIMIST PRINCIPIANTES")</f>
        <v>OPTIMIST PRINCIPIANTES</v>
      </c>
      <c r="P24" s="45"/>
      <c r="Q24" s="45" t="str">
        <f>IFERROR(__xludf.DUMMYFUNCTION("""COMPUTED_VALUE"""),"Arg 3677")</f>
        <v>Arg 3677</v>
      </c>
      <c r="R24" s="45" t="str">
        <f>IFERROR(__xludf.DUMMYFUNCTION("""COMPUTED_VALUE"""),"Lobuno")</f>
        <v>Lobuno</v>
      </c>
      <c r="S24" s="45"/>
      <c r="T24" s="45"/>
      <c r="U24" s="45"/>
      <c r="V24" s="45"/>
      <c r="W24" s="45"/>
      <c r="X24" s="45"/>
      <c r="Y24" s="45" t="str">
        <f>IFERROR(__xludf.DUMMYFUNCTION("""COMPUTED_VALUE"""),"Osde / 60875617103")</f>
        <v>Osde / 60875617103</v>
      </c>
      <c r="Z24" s="7" t="str">
        <f>IFERROR(__xludf.DUMMYFUNCTION("""COMPUTED_VALUE"""),"No")</f>
        <v>No</v>
      </c>
      <c r="AA24" s="7" t="str">
        <f>IFERROR(__xludf.DUMMYFUNCTION("""COMPUTED_VALUE"""),"Acepto")</f>
        <v>Acepto</v>
      </c>
      <c r="AB24" s="7" t="str">
        <f>IFERROR(__xludf.DUMMYFUNCTION("""COMPUTED_VALUE"""),"Terminado")</f>
        <v>Terminado</v>
      </c>
      <c r="AC24" s="7">
        <f>IFERROR(__xludf.DUMMYFUNCTION("""COMPUTED_VALUE"""),50000.0)</f>
        <v>50000</v>
      </c>
      <c r="AD24" s="7">
        <f>IFERROR(__xludf.DUMMYFUNCTION("""COMPUTED_VALUE"""),205408.0)</f>
        <v>205408</v>
      </c>
      <c r="AE24" s="7" t="str">
        <f>IFERROR(__xludf.DUMMYFUNCTION("""COMPUTED_VALUE"""),"TRF 03-09")</f>
        <v>TRF 03-09</v>
      </c>
      <c r="AF24" s="7" t="str">
        <f>IFERROR(__xludf.DUMMYFUNCTION("""COMPUTED_VALUE"""),"OK")</f>
        <v>OK</v>
      </c>
      <c r="AG24" s="45"/>
    </row>
    <row r="25" ht="15.75" customHeight="1">
      <c r="B25" s="42">
        <f>IFERROR(__xludf.DUMMYFUNCTION("""COMPUTED_VALUE"""),45539.91855195602)</f>
        <v>45539.91855</v>
      </c>
      <c r="C25" s="43" t="str">
        <f>IFERROR(__xludf.DUMMYFUNCTION("""COMPUTED_VALUE"""),"Gael")</f>
        <v>Gael</v>
      </c>
      <c r="D25" s="43" t="str">
        <f>IFERROR(__xludf.DUMMYFUNCTION("""COMPUTED_VALUE"""),"Elkayam")</f>
        <v>Elkayam</v>
      </c>
      <c r="E25" s="43" t="str">
        <f>IFERROR(__xludf.DUMMYFUNCTION("""COMPUTED_VALUE"""),"Caba")</f>
        <v>Caba</v>
      </c>
      <c r="F25" s="7" t="str">
        <f>IFERROR(__xludf.DUMMYFUNCTION("""COMPUTED_VALUE"""),"ARG")</f>
        <v>ARG</v>
      </c>
      <c r="G25" s="7">
        <f>IFERROR(__xludf.DUMMYFUNCTION("""COMPUTED_VALUE"""),5.3583314E7)</f>
        <v>53583314</v>
      </c>
      <c r="H25" s="44">
        <f>IFERROR(__xludf.DUMMYFUNCTION("""COMPUTED_VALUE"""),41554.0)</f>
        <v>41554</v>
      </c>
      <c r="I25" s="45">
        <f>IFERROR(__xludf.DUMMYFUNCTION("""COMPUTED_VALUE"""),1.1680202848E10)</f>
        <v>11680202848</v>
      </c>
      <c r="J25" s="45">
        <f>IFERROR(__xludf.DUMMYFUNCTION("""COMPUTED_VALUE"""),1.154785001E9)</f>
        <v>1154785001</v>
      </c>
      <c r="K25" s="45" t="str">
        <f>IFERROR(__xludf.DUMMYFUNCTION("""COMPUTED_VALUE"""),"Glenda00@gmail.com")</f>
        <v>Glenda00@gmail.com</v>
      </c>
      <c r="L25" s="45" t="str">
        <f>IFERROR(__xludf.DUMMYFUNCTION("""COMPUTED_VALUE"""),"Masculino")</f>
        <v>Masculino</v>
      </c>
      <c r="M25" s="45" t="str">
        <f>IFERROR(__xludf.DUMMYFUNCTION("""COMPUTED_VALUE"""),"CNA")</f>
        <v>CNA</v>
      </c>
      <c r="N25" s="45" t="str">
        <f>IFERROR(__xludf.DUMMYFUNCTION("""COMPUTED_VALUE"""),"Interior (Optimist)")</f>
        <v>Interior (Optimist)</v>
      </c>
      <c r="O25" s="45" t="str">
        <f>IFERROR(__xludf.DUMMYFUNCTION("""COMPUTED_VALUE"""),"OPTIMIST PRINCIPIANTES")</f>
        <v>OPTIMIST PRINCIPIANTES</v>
      </c>
      <c r="P25" s="45"/>
      <c r="Q25" s="45">
        <f>IFERROR(__xludf.DUMMYFUNCTION("""COMPUTED_VALUE"""),2956.0)</f>
        <v>2956</v>
      </c>
      <c r="R25" s="45" t="str">
        <f>IFERROR(__xludf.DUMMYFUNCTION("""COMPUTED_VALUE"""),"Ensueño")</f>
        <v>Ensueño</v>
      </c>
      <c r="S25" s="45" t="str">
        <f>IFERROR(__xludf.DUMMYFUNCTION("""COMPUTED_VALUE"""),"Gael Elkayam")</f>
        <v>Gael Elkayam</v>
      </c>
      <c r="T25" s="45"/>
      <c r="U25" s="45"/>
      <c r="V25" s="45"/>
      <c r="W25" s="45"/>
      <c r="X25" s="45"/>
      <c r="Y25" s="45" t="str">
        <f>IFERROR(__xludf.DUMMYFUNCTION("""COMPUTED_VALUE"""),"Gael Elkayam")</f>
        <v>Gael Elkayam</v>
      </c>
      <c r="Z25" s="7" t="str">
        <f>IFERROR(__xludf.DUMMYFUNCTION("""COMPUTED_VALUE"""),"Si")</f>
        <v>Si</v>
      </c>
      <c r="AA25" s="7" t="str">
        <f>IFERROR(__xludf.DUMMYFUNCTION("""COMPUTED_VALUE"""),"Acepto")</f>
        <v>Acepto</v>
      </c>
      <c r="AB25" s="7" t="str">
        <f>IFERROR(__xludf.DUMMYFUNCTION("""COMPUTED_VALUE"""),"Terminado")</f>
        <v>Terminado</v>
      </c>
      <c r="AC25" s="7">
        <f>IFERROR(__xludf.DUMMYFUNCTION("""COMPUTED_VALUE"""),50000.0)</f>
        <v>50000</v>
      </c>
      <c r="AD25" s="7">
        <f>IFERROR(__xludf.DUMMYFUNCTION("""COMPUTED_VALUE"""),205696.0)</f>
        <v>205696</v>
      </c>
      <c r="AE25" s="7" t="str">
        <f>IFERROR(__xludf.DUMMYFUNCTION("""COMPUTED_VALUE"""),"TRF 11-09")</f>
        <v>TRF 11-09</v>
      </c>
      <c r="AF25" s="7" t="str">
        <f>IFERROR(__xludf.DUMMYFUNCTION("""COMPUTED_VALUE"""),"OK")</f>
        <v>OK</v>
      </c>
      <c r="AG25" s="45"/>
    </row>
    <row r="26" ht="15.75" customHeight="1">
      <c r="B26" s="42">
        <f>IFERROR(__xludf.DUMMYFUNCTION("""COMPUTED_VALUE"""),45535.700232337964)</f>
        <v>45535.70023</v>
      </c>
      <c r="C26" s="43" t="str">
        <f>IFERROR(__xludf.DUMMYFUNCTION("""COMPUTED_VALUE"""),"Felipe")</f>
        <v>Felipe</v>
      </c>
      <c r="D26" s="43" t="str">
        <f>IFERROR(__xludf.DUMMYFUNCTION("""COMPUTED_VALUE"""),"Elorriaga")</f>
        <v>Elorriaga</v>
      </c>
      <c r="E26" s="43" t="str">
        <f>IFERROR(__xludf.DUMMYFUNCTION("""COMPUTED_VALUE"""),"Zarate")</f>
        <v>Zarate</v>
      </c>
      <c r="F26" s="7" t="str">
        <f>IFERROR(__xludf.DUMMYFUNCTION("""COMPUTED_VALUE"""),"ARG")</f>
        <v>ARG</v>
      </c>
      <c r="G26" s="7">
        <f>IFERROR(__xludf.DUMMYFUNCTION("""COMPUTED_VALUE"""),5.4099646E7)</f>
        <v>54099646</v>
      </c>
      <c r="H26" s="44">
        <f>IFERROR(__xludf.DUMMYFUNCTION("""COMPUTED_VALUE"""),41800.0)</f>
        <v>41800</v>
      </c>
      <c r="I26" s="45" t="str">
        <f>IFERROR(__xludf.DUMMYFUNCTION("""COMPUTED_VALUE"""),"03487302617")</f>
        <v>03487302617</v>
      </c>
      <c r="J26" s="45" t="str">
        <f>IFERROR(__xludf.DUMMYFUNCTION("""COMPUTED_VALUE"""),"03487302617")</f>
        <v>03487302617</v>
      </c>
      <c r="K26" s="45" t="str">
        <f>IFERROR(__xludf.DUMMYFUNCTION("""COMPUTED_VALUE"""),"mingote_elo@hotmail.com")</f>
        <v>mingote_elo@hotmail.com</v>
      </c>
      <c r="L26" s="45" t="str">
        <f>IFERROR(__xludf.DUMMYFUNCTION("""COMPUTED_VALUE"""),"Masculino")</f>
        <v>Masculino</v>
      </c>
      <c r="M26" s="45" t="str">
        <f>IFERROR(__xludf.DUMMYFUNCTION("""COMPUTED_VALUE"""),"CNZ")</f>
        <v>CNZ</v>
      </c>
      <c r="N26" s="45"/>
      <c r="O26" s="45" t="str">
        <f>IFERROR(__xludf.DUMMYFUNCTION("""COMPUTED_VALUE"""),"OPTIMIST PRINCIPIANTES")</f>
        <v>OPTIMIST PRINCIPIANTES</v>
      </c>
      <c r="P26" s="45"/>
      <c r="Q26" s="45" t="str">
        <f>IFERROR(__xludf.DUMMYFUNCTION("""COMPUTED_VALUE"""),"ARG 4116")</f>
        <v>ARG 4116</v>
      </c>
      <c r="R26" s="45" t="str">
        <f>IFERROR(__xludf.DUMMYFUNCTION("""COMPUTED_VALUE"""),"Basta!!!")</f>
        <v>Basta!!!</v>
      </c>
      <c r="S26" s="45"/>
      <c r="T26" s="45"/>
      <c r="U26" s="45"/>
      <c r="V26" s="45"/>
      <c r="W26" s="45"/>
      <c r="X26" s="45"/>
      <c r="Y26" s="45" t="str">
        <f>IFERROR(__xludf.DUMMYFUNCTION("""COMPUTED_VALUE"""),"Swiss Medical")</f>
        <v>Swiss Medical</v>
      </c>
      <c r="Z26" s="7" t="str">
        <f>IFERROR(__xludf.DUMMYFUNCTION("""COMPUTED_VALUE"""),"Si")</f>
        <v>Si</v>
      </c>
      <c r="AA26" s="7" t="str">
        <f>IFERROR(__xludf.DUMMYFUNCTION("""COMPUTED_VALUE"""),"Acepto")</f>
        <v>Acepto</v>
      </c>
      <c r="AB26" s="7" t="str">
        <f>IFERROR(__xludf.DUMMYFUNCTION("""COMPUTED_VALUE"""),"Terminado")</f>
        <v>Terminado</v>
      </c>
      <c r="AC26" s="7">
        <f>IFERROR(__xludf.DUMMYFUNCTION("""COMPUTED_VALUE"""),50000.0)</f>
        <v>50000</v>
      </c>
      <c r="AD26" s="7">
        <f>IFERROR(__xludf.DUMMYFUNCTION("""COMPUTED_VALUE"""),205368.0)</f>
        <v>205368</v>
      </c>
      <c r="AE26" s="7" t="str">
        <f>IFERROR(__xludf.DUMMYFUNCTION("""COMPUTED_VALUE"""),"TRF 31-08")</f>
        <v>TRF 31-08</v>
      </c>
      <c r="AF26" s="7" t="str">
        <f>IFERROR(__xludf.DUMMYFUNCTION("""COMPUTED_VALUE"""),"OK")</f>
        <v>OK</v>
      </c>
      <c r="AG26" s="45"/>
    </row>
    <row r="27" ht="15.75" customHeight="1">
      <c r="B27" s="42">
        <f>IFERROR(__xludf.DUMMYFUNCTION("""COMPUTED_VALUE"""),45535.57549873843)</f>
        <v>45535.5755</v>
      </c>
      <c r="C27" s="43" t="str">
        <f>IFERROR(__xludf.DUMMYFUNCTION("""COMPUTED_VALUE"""),"Polo")</f>
        <v>Polo</v>
      </c>
      <c r="D27" s="43" t="str">
        <f>IFERROR(__xludf.DUMMYFUNCTION("""COMPUTED_VALUE"""),"Eusebi")</f>
        <v>Eusebi</v>
      </c>
      <c r="E27" s="43" t="str">
        <f>IFERROR(__xludf.DUMMYFUNCTION("""COMPUTED_VALUE"""),"Quilmes")</f>
        <v>Quilmes</v>
      </c>
      <c r="F27" s="7" t="str">
        <f>IFERROR(__xludf.DUMMYFUNCTION("""COMPUTED_VALUE"""),"ARG")</f>
        <v>ARG</v>
      </c>
      <c r="G27" s="7">
        <f>IFERROR(__xludf.DUMMYFUNCTION("""COMPUTED_VALUE"""),5.2663848E7)</f>
        <v>52663848</v>
      </c>
      <c r="H27" s="44">
        <f>IFERROR(__xludf.DUMMYFUNCTION("""COMPUTED_VALUE"""),41133.0)</f>
        <v>41133</v>
      </c>
      <c r="I27" s="45">
        <f>IFERROR(__xludf.DUMMYFUNCTION("""COMPUTED_VALUE"""),3.8855464E7)</f>
        <v>38855464</v>
      </c>
      <c r="J27" s="45">
        <f>IFERROR(__xludf.DUMMYFUNCTION("""COMPUTED_VALUE"""),3.8855734E7)</f>
        <v>38855734</v>
      </c>
      <c r="K27" s="45" t="str">
        <f>IFERROR(__xludf.DUMMYFUNCTION("""COMPUTED_VALUE"""),"luiseusebi@googlemail.com")</f>
        <v>luiseusebi@googlemail.com</v>
      </c>
      <c r="L27" s="45" t="str">
        <f>IFERROR(__xludf.DUMMYFUNCTION("""COMPUTED_VALUE"""),"Masculino")</f>
        <v>Masculino</v>
      </c>
      <c r="M27" s="45" t="str">
        <f>IFERROR(__xludf.DUMMYFUNCTION("""COMPUTED_VALUE"""),"CNQ")</f>
        <v>CNQ</v>
      </c>
      <c r="N27" s="45" t="str">
        <f>IFERROR(__xludf.DUMMYFUNCTION("""COMPUTED_VALUE"""),"Interior (Optimist)")</f>
        <v>Interior (Optimist)</v>
      </c>
      <c r="O27" s="45" t="str">
        <f>IFERROR(__xludf.DUMMYFUNCTION("""COMPUTED_VALUE"""),"OPTIMIST PRINCIPIANTES")</f>
        <v>OPTIMIST PRINCIPIANTES</v>
      </c>
      <c r="P27" s="45" t="str">
        <f>IFERROR(__xludf.DUMMYFUNCTION("""COMPUTED_VALUE"""),"Polo")</f>
        <v>Polo</v>
      </c>
      <c r="Q27" s="45">
        <f>IFERROR(__xludf.DUMMYFUNCTION("""COMPUTED_VALUE"""),3092.0)</f>
        <v>3092</v>
      </c>
      <c r="R27" s="45" t="str">
        <f>IFERROR(__xludf.DUMMYFUNCTION("""COMPUTED_VALUE"""),"Polo")</f>
        <v>Polo</v>
      </c>
      <c r="S27" s="45"/>
      <c r="T27" s="45"/>
      <c r="U27" s="45"/>
      <c r="V27" s="45"/>
      <c r="W27" s="45"/>
      <c r="X27" s="45"/>
      <c r="Y27" s="45" t="str">
        <f>IFERROR(__xludf.DUMMYFUNCTION("""COMPUTED_VALUE"""),"Ioma 227264668302")</f>
        <v>Ioma 227264668302</v>
      </c>
      <c r="Z27" s="7" t="str">
        <f>IFERROR(__xludf.DUMMYFUNCTION("""COMPUTED_VALUE"""),"Si")</f>
        <v>Si</v>
      </c>
      <c r="AA27" s="7" t="str">
        <f>IFERROR(__xludf.DUMMYFUNCTION("""COMPUTED_VALUE"""),"Acepto")</f>
        <v>Acepto</v>
      </c>
      <c r="AB27" s="7" t="str">
        <f>IFERROR(__xludf.DUMMYFUNCTION("""COMPUTED_VALUE"""),"Terminado")</f>
        <v>Terminado</v>
      </c>
      <c r="AC27" s="7">
        <f>IFERROR(__xludf.DUMMYFUNCTION("""COMPUTED_VALUE"""),50000.0)</f>
        <v>50000</v>
      </c>
      <c r="AD27" s="7">
        <f>IFERROR(__xludf.DUMMYFUNCTION("""COMPUTED_VALUE"""),205146.0)</f>
        <v>205146</v>
      </c>
      <c r="AE27" s="7" t="str">
        <f>IFERROR(__xludf.DUMMYFUNCTION("""COMPUTED_VALUE"""),"TRF 31-08")</f>
        <v>TRF 31-08</v>
      </c>
      <c r="AF27" s="7" t="str">
        <f>IFERROR(__xludf.DUMMYFUNCTION("""COMPUTED_VALUE"""),"OK")</f>
        <v>OK</v>
      </c>
      <c r="AG27" s="45" t="str">
        <f>IFERROR(__xludf.DUMMYFUNCTION("""COMPUTED_VALUE"""),"SI")</f>
        <v>SI</v>
      </c>
    </row>
    <row r="28" ht="15.75" customHeight="1">
      <c r="B28" s="42">
        <f>IFERROR(__xludf.DUMMYFUNCTION("""COMPUTED_VALUE"""),45534.80255732639)</f>
        <v>45534.80256</v>
      </c>
      <c r="C28" s="43" t="str">
        <f>IFERROR(__xludf.DUMMYFUNCTION("""COMPUTED_VALUE"""),"LAUTARO ELIAS")</f>
        <v>LAUTARO ELIAS</v>
      </c>
      <c r="D28" s="43" t="str">
        <f>IFERROR(__xludf.DUMMYFUNCTION("""COMPUTED_VALUE"""),"FERNANDEZ")</f>
        <v>FERNANDEZ</v>
      </c>
      <c r="E28" s="43" t="str">
        <f>IFERROR(__xludf.DUMMYFUNCTION("""COMPUTED_VALUE"""),"TIGRE")</f>
        <v>TIGRE</v>
      </c>
      <c r="F28" s="7" t="str">
        <f>IFERROR(__xludf.DUMMYFUNCTION("""COMPUTED_VALUE"""),"ARG")</f>
        <v>ARG</v>
      </c>
      <c r="G28" s="7">
        <f>IFERROR(__xludf.DUMMYFUNCTION("""COMPUTED_VALUE"""),5.3214574E7)</f>
        <v>53214574</v>
      </c>
      <c r="H28" s="44">
        <f>IFERROR(__xludf.DUMMYFUNCTION("""COMPUTED_VALUE"""),41491.0)</f>
        <v>41491</v>
      </c>
      <c r="I28" s="45">
        <f>IFERROR(__xludf.DUMMYFUNCTION("""COMPUTED_VALUE"""),1.169571706E9)</f>
        <v>1169571706</v>
      </c>
      <c r="J28" s="45">
        <f>IFERROR(__xludf.DUMMYFUNCTION("""COMPUTED_VALUE"""),1.131059053E9)</f>
        <v>1131059053</v>
      </c>
      <c r="K28" s="45" t="str">
        <f>IFERROR(__xludf.DUMMYFUNCTION("""COMPUTED_VALUE"""),"labraulf@gmail.com")</f>
        <v>labraulf@gmail.com</v>
      </c>
      <c r="L28" s="45" t="str">
        <f>IFERROR(__xludf.DUMMYFUNCTION("""COMPUTED_VALUE"""),"Masculino")</f>
        <v>Masculino</v>
      </c>
      <c r="M28" s="45" t="str">
        <f>IFERROR(__xludf.DUMMYFUNCTION("""COMPUTED_VALUE"""),"CNSM")</f>
        <v>CNSM</v>
      </c>
      <c r="N28" s="45" t="str">
        <f>IFERROR(__xludf.DUMMYFUNCTION("""COMPUTED_VALUE"""),"OPTIMIST-PRINCIPIANTE")</f>
        <v>OPTIMIST-PRINCIPIANTE</v>
      </c>
      <c r="O28" s="45" t="str">
        <f>IFERROR(__xludf.DUMMYFUNCTION("""COMPUTED_VALUE"""),"OPTIMIST PRINCIPIANTES")</f>
        <v>OPTIMIST PRINCIPIANTES</v>
      </c>
      <c r="P28" s="45"/>
      <c r="Q28" s="45">
        <f>IFERROR(__xludf.DUMMYFUNCTION("""COMPUTED_VALUE"""),3065.0)</f>
        <v>3065</v>
      </c>
      <c r="R28" s="45" t="str">
        <f>IFERROR(__xludf.DUMMYFUNCTION("""COMPUTED_VALUE"""),"KIWI")</f>
        <v>KIWI</v>
      </c>
      <c r="S28" s="45"/>
      <c r="T28" s="45"/>
      <c r="U28" s="45"/>
      <c r="V28" s="45"/>
      <c r="W28" s="45"/>
      <c r="X28" s="45"/>
      <c r="Y28" s="45" t="str">
        <f>IFERROR(__xludf.DUMMYFUNCTION("""COMPUTED_VALUE"""),"OSDE210/62721768003")</f>
        <v>OSDE210/62721768003</v>
      </c>
      <c r="Z28" s="7" t="str">
        <f>IFERROR(__xludf.DUMMYFUNCTION("""COMPUTED_VALUE"""),"Si")</f>
        <v>Si</v>
      </c>
      <c r="AA28" s="7" t="str">
        <f>IFERROR(__xludf.DUMMYFUNCTION("""COMPUTED_VALUE"""),"Acepto")</f>
        <v>Acepto</v>
      </c>
      <c r="AB28" s="7" t="str">
        <f>IFERROR(__xludf.DUMMYFUNCTION("""COMPUTED_VALUE"""),"Terminado")</f>
        <v>Terminado</v>
      </c>
      <c r="AC28" s="7">
        <f>IFERROR(__xludf.DUMMYFUNCTION("""COMPUTED_VALUE"""),50000.0)</f>
        <v>50000</v>
      </c>
      <c r="AD28" s="7">
        <f>IFERROR(__xludf.DUMMYFUNCTION("""COMPUTED_VALUE"""),205128.0)</f>
        <v>205128</v>
      </c>
      <c r="AE28" s="7" t="str">
        <f>IFERROR(__xludf.DUMMYFUNCTION("""COMPUTED_VALUE"""),"TRF 30-08")</f>
        <v>TRF 30-08</v>
      </c>
      <c r="AF28" s="7" t="str">
        <f>IFERROR(__xludf.DUMMYFUNCTION("""COMPUTED_VALUE"""),"OK")</f>
        <v>OK</v>
      </c>
      <c r="AG28" s="45"/>
    </row>
    <row r="29" ht="15.75" customHeight="1">
      <c r="B29" s="42">
        <f>IFERROR(__xludf.DUMMYFUNCTION("""COMPUTED_VALUE"""),45535.598619375)</f>
        <v>45535.59862</v>
      </c>
      <c r="C29" s="43" t="str">
        <f>IFERROR(__xludf.DUMMYFUNCTION("""COMPUTED_VALUE"""),"Benjamin")</f>
        <v>Benjamin</v>
      </c>
      <c r="D29" s="43" t="str">
        <f>IFERROR(__xludf.DUMMYFUNCTION("""COMPUTED_VALUE"""),"Fleitas")</f>
        <v>Fleitas</v>
      </c>
      <c r="E29" s="43" t="str">
        <f>IFERROR(__xludf.DUMMYFUNCTION("""COMPUTED_VALUE"""),"Zarate")</f>
        <v>Zarate</v>
      </c>
      <c r="F29" s="7" t="str">
        <f>IFERROR(__xludf.DUMMYFUNCTION("""COMPUTED_VALUE"""),"ARG")</f>
        <v>ARG</v>
      </c>
      <c r="G29" s="7">
        <f>IFERROR(__xludf.DUMMYFUNCTION("""COMPUTED_VALUE"""),5.3451464E7)</f>
        <v>53451464</v>
      </c>
      <c r="H29" s="44">
        <f>IFERROR(__xludf.DUMMYFUNCTION("""COMPUTED_VALUE"""),41586.0)</f>
        <v>41586</v>
      </c>
      <c r="I29" s="45">
        <f>IFERROR(__xludf.DUMMYFUNCTION("""COMPUTED_VALUE"""),3.487713649E9)</f>
        <v>3487713649</v>
      </c>
      <c r="J29" s="45">
        <f>IFERROR(__xludf.DUMMYFUNCTION("""COMPUTED_VALUE"""),3.487510959E9)</f>
        <v>3487510959</v>
      </c>
      <c r="K29" s="45" t="str">
        <f>IFERROR(__xludf.DUMMYFUNCTION("""COMPUTED_VALUE"""),"yohanigro27@gmail.com")</f>
        <v>yohanigro27@gmail.com</v>
      </c>
      <c r="L29" s="45" t="str">
        <f>IFERROR(__xludf.DUMMYFUNCTION("""COMPUTED_VALUE"""),"Masculino")</f>
        <v>Masculino</v>
      </c>
      <c r="M29" s="45" t="str">
        <f>IFERROR(__xludf.DUMMYFUNCTION("""COMPUTED_VALUE"""),"CNZ")</f>
        <v>CNZ</v>
      </c>
      <c r="N29" s="45" t="str">
        <f>IFERROR(__xludf.DUMMYFUNCTION("""COMPUTED_VALUE"""),"Interior (Optimist)")</f>
        <v>Interior (Optimist)</v>
      </c>
      <c r="O29" s="45" t="str">
        <f>IFERROR(__xludf.DUMMYFUNCTION("""COMPUTED_VALUE"""),"OPTIMIST PRINCIPIANTES")</f>
        <v>OPTIMIST PRINCIPIANTES</v>
      </c>
      <c r="P29" s="45" t="str">
        <f>IFERROR(__xludf.DUMMYFUNCTION("""COMPUTED_VALUE"""),"Capitán Loco")</f>
        <v>Capitán Loco</v>
      </c>
      <c r="Q29" s="45">
        <f>IFERROR(__xludf.DUMMYFUNCTION("""COMPUTED_VALUE"""),3966.0)</f>
        <v>3966</v>
      </c>
      <c r="R29" s="45" t="str">
        <f>IFERROR(__xludf.DUMMYFUNCTION("""COMPUTED_VALUE"""),"Capitán Loco")</f>
        <v>Capitán Loco</v>
      </c>
      <c r="S29" s="45"/>
      <c r="T29" s="45"/>
      <c r="U29" s="45"/>
      <c r="V29" s="45"/>
      <c r="W29" s="45"/>
      <c r="X29" s="45"/>
      <c r="Y29" s="45" t="str">
        <f>IFERROR(__xludf.DUMMYFUNCTION("""COMPUTED_VALUE"""),"Unión personal")</f>
        <v>Unión personal</v>
      </c>
      <c r="Z29" s="7" t="str">
        <f>IFERROR(__xludf.DUMMYFUNCTION("""COMPUTED_VALUE"""),"Si")</f>
        <v>Si</v>
      </c>
      <c r="AA29" s="7" t="str">
        <f>IFERROR(__xludf.DUMMYFUNCTION("""COMPUTED_VALUE"""),"Acepto")</f>
        <v>Acepto</v>
      </c>
      <c r="AB29" s="7" t="str">
        <f>IFERROR(__xludf.DUMMYFUNCTION("""COMPUTED_VALUE"""),"Terminado")</f>
        <v>Terminado</v>
      </c>
      <c r="AC29" s="7">
        <f>IFERROR(__xludf.DUMMYFUNCTION("""COMPUTED_VALUE"""),50000.0)</f>
        <v>50000</v>
      </c>
      <c r="AD29" s="7">
        <f>IFERROR(__xludf.DUMMYFUNCTION("""COMPUTED_VALUE"""),205158.0)</f>
        <v>205158</v>
      </c>
      <c r="AE29" s="7" t="str">
        <f>IFERROR(__xludf.DUMMYFUNCTION("""COMPUTED_VALUE"""),"TRF 31-08")</f>
        <v>TRF 31-08</v>
      </c>
      <c r="AF29" s="7" t="str">
        <f>IFERROR(__xludf.DUMMYFUNCTION("""COMPUTED_VALUE"""),"OK")</f>
        <v>OK</v>
      </c>
      <c r="AG29" s="45"/>
    </row>
    <row r="30" ht="15.75" customHeight="1">
      <c r="B30" s="42">
        <f>IFERROR(__xludf.DUMMYFUNCTION("""COMPUTED_VALUE"""),45536.45395056713)</f>
        <v>45536.45395</v>
      </c>
      <c r="C30" s="43" t="str">
        <f>IFERROR(__xludf.DUMMYFUNCTION("""COMPUTED_VALUE"""),"Sofia")</f>
        <v>Sofia</v>
      </c>
      <c r="D30" s="43" t="str">
        <f>IFERROR(__xludf.DUMMYFUNCTION("""COMPUTED_VALUE"""),"Frogone ")</f>
        <v>Frogone </v>
      </c>
      <c r="E30" s="43" t="str">
        <f>IFERROR(__xludf.DUMMYFUNCTION("""COMPUTED_VALUE"""),"CABA ")</f>
        <v>CABA </v>
      </c>
      <c r="F30" s="7" t="str">
        <f>IFERROR(__xludf.DUMMYFUNCTION("""COMPUTED_VALUE"""),"ARG")</f>
        <v>ARG</v>
      </c>
      <c r="G30" s="7">
        <f>IFERROR(__xludf.DUMMYFUNCTION("""COMPUTED_VALUE"""),5.1066023E7)</f>
        <v>51066023</v>
      </c>
      <c r="H30" s="44">
        <f>IFERROR(__xludf.DUMMYFUNCTION("""COMPUTED_VALUE"""),40608.0)</f>
        <v>40608</v>
      </c>
      <c r="I30" s="45">
        <f>IFERROR(__xludf.DUMMYFUNCTION("""COMPUTED_VALUE"""),1.170540311E9)</f>
        <v>1170540311</v>
      </c>
      <c r="J30" s="45">
        <f>IFERROR(__xludf.DUMMYFUNCTION("""COMPUTED_VALUE"""),1.165586633E9)</f>
        <v>1165586633</v>
      </c>
      <c r="K30" s="45" t="str">
        <f>IFERROR(__xludf.DUMMYFUNCTION("""COMPUTED_VALUE"""),"gfrogone@gmail.com")</f>
        <v>gfrogone@gmail.com</v>
      </c>
      <c r="L30" s="45" t="str">
        <f>IFERROR(__xludf.DUMMYFUNCTION("""COMPUTED_VALUE"""),"Femenino")</f>
        <v>Femenino</v>
      </c>
      <c r="M30" s="45" t="str">
        <f>IFERROR(__xludf.DUMMYFUNCTION("""COMPUTED_VALUE"""),"Yccn")</f>
        <v>Yccn</v>
      </c>
      <c r="N30" s="45" t="str">
        <f>IFERROR(__xludf.DUMMYFUNCTION("""COMPUTED_VALUE"""),"Femenino")</f>
        <v>Femenino</v>
      </c>
      <c r="O30" s="45" t="str">
        <f>IFERROR(__xludf.DUMMYFUNCTION("""COMPUTED_VALUE"""),"OPTIMIST PRINCIPIANTES")</f>
        <v>OPTIMIST PRINCIPIANTES</v>
      </c>
      <c r="P30" s="45"/>
      <c r="Q30" s="45" t="str">
        <f>IFERROR(__xludf.DUMMYFUNCTION("""COMPUTED_VALUE"""),"ARG3295")</f>
        <v>ARG3295</v>
      </c>
      <c r="R30" s="45" t="str">
        <f>IFERROR(__xludf.DUMMYFUNCTION("""COMPUTED_VALUE"""),"Tormenta")</f>
        <v>Tormenta</v>
      </c>
      <c r="S30" s="45"/>
      <c r="T30" s="45"/>
      <c r="U30" s="45"/>
      <c r="V30" s="45"/>
      <c r="W30" s="45"/>
      <c r="X30" s="45"/>
      <c r="Y30" s="45" t="str">
        <f>IFERROR(__xludf.DUMMYFUNCTION("""COMPUTED_VALUE"""),"Galeno 0171025902 08")</f>
        <v>Galeno 0171025902 08</v>
      </c>
      <c r="Z30" s="7" t="str">
        <f>IFERROR(__xludf.DUMMYFUNCTION("""COMPUTED_VALUE"""),"No")</f>
        <v>No</v>
      </c>
      <c r="AA30" s="7" t="str">
        <f>IFERROR(__xludf.DUMMYFUNCTION("""COMPUTED_VALUE"""),"Acepto")</f>
        <v>Acepto</v>
      </c>
      <c r="AB30" s="7" t="str">
        <f>IFERROR(__xludf.DUMMYFUNCTION("""COMPUTED_VALUE"""),"Terminado")</f>
        <v>Terminado</v>
      </c>
      <c r="AC30" s="7">
        <f>IFERROR(__xludf.DUMMYFUNCTION("""COMPUTED_VALUE"""),50000.0)</f>
        <v>50000</v>
      </c>
      <c r="AD30" s="7">
        <f>IFERROR(__xludf.DUMMYFUNCTION("""COMPUTED_VALUE"""),205377.0)</f>
        <v>205377</v>
      </c>
      <c r="AE30" s="7" t="str">
        <f>IFERROR(__xludf.DUMMYFUNCTION("""COMPUTED_VALUE"""),"TRF 02-09")</f>
        <v>TRF 02-09</v>
      </c>
      <c r="AF30" s="7" t="str">
        <f>IFERROR(__xludf.DUMMYFUNCTION("""COMPUTED_VALUE"""),"OK")</f>
        <v>OK</v>
      </c>
      <c r="AG30" s="45"/>
    </row>
    <row r="31" ht="15.75" customHeight="1">
      <c r="B31" s="42">
        <f>IFERROR(__xludf.DUMMYFUNCTION("""COMPUTED_VALUE"""),45535.772223900465)</f>
        <v>45535.77222</v>
      </c>
      <c r="C31" s="43" t="str">
        <f>IFERROR(__xludf.DUMMYFUNCTION("""COMPUTED_VALUE"""),"De Bernardis ")</f>
        <v>De Bernardis </v>
      </c>
      <c r="D31" s="43" t="str">
        <f>IFERROR(__xludf.DUMMYFUNCTION("""COMPUTED_VALUE"""),"Gael")</f>
        <v>Gael</v>
      </c>
      <c r="E31" s="43" t="str">
        <f>IFERROR(__xludf.DUMMYFUNCTION("""COMPUTED_VALUE"""),"CABA ")</f>
        <v>CABA </v>
      </c>
      <c r="F31" s="7" t="str">
        <f>IFERROR(__xludf.DUMMYFUNCTION("""COMPUTED_VALUE"""),"ARG")</f>
        <v>ARG</v>
      </c>
      <c r="G31" s="7">
        <f>IFERROR(__xludf.DUMMYFUNCTION("""COMPUTED_VALUE"""),5.3645984E7)</f>
        <v>53645984</v>
      </c>
      <c r="H31" s="44">
        <f>IFERROR(__xludf.DUMMYFUNCTION("""COMPUTED_VALUE"""),41628.0)</f>
        <v>41628</v>
      </c>
      <c r="I31" s="45">
        <f>IFERROR(__xludf.DUMMYFUNCTION("""COMPUTED_VALUE"""),5.491160461122E12)</f>
        <v>5491160461122</v>
      </c>
      <c r="J31" s="45">
        <f>IFERROR(__xludf.DUMMYFUNCTION("""COMPUTED_VALUE"""),5.491140918515E12)</f>
        <v>5491140918515</v>
      </c>
      <c r="K31" s="45" t="str">
        <f>IFERROR(__xludf.DUMMYFUNCTION("""COMPUTED_VALUE"""),"Pmdebernardis@gmail.com")</f>
        <v>Pmdebernardis@gmail.com</v>
      </c>
      <c r="L31" s="45" t="str">
        <f>IFERROR(__xludf.DUMMYFUNCTION("""COMPUTED_VALUE"""),"Masculino")</f>
        <v>Masculino</v>
      </c>
      <c r="M31" s="45" t="str">
        <f>IFERROR(__xludf.DUMMYFUNCTION("""COMPUTED_VALUE"""),"YCA")</f>
        <v>YCA</v>
      </c>
      <c r="N31" s="45" t="str">
        <f>IFERROR(__xludf.DUMMYFUNCTION("""COMPUTED_VALUE"""),"Interior (Optimist)")</f>
        <v>Interior (Optimist)</v>
      </c>
      <c r="O31" s="45" t="str">
        <f>IFERROR(__xludf.DUMMYFUNCTION("""COMPUTED_VALUE"""),"OPTIMIST PRINCIPIANTES")</f>
        <v>OPTIMIST PRINCIPIANTES</v>
      </c>
      <c r="P31" s="45"/>
      <c r="Q31" s="45">
        <f>IFERROR(__xludf.DUMMYFUNCTION("""COMPUTED_VALUE"""),3800.0)</f>
        <v>3800</v>
      </c>
      <c r="R31" s="45"/>
      <c r="S31" s="45"/>
      <c r="T31" s="45"/>
      <c r="U31" s="45"/>
      <c r="V31" s="45"/>
      <c r="W31" s="45"/>
      <c r="X31" s="45"/>
      <c r="Y31" s="45" t="str">
        <f>IFERROR(__xludf.DUMMYFUNCTION("""COMPUTED_VALUE"""),"OMINT 102033806")</f>
        <v>OMINT 102033806</v>
      </c>
      <c r="Z31" s="7" t="str">
        <f>IFERROR(__xludf.DUMMYFUNCTION("""COMPUTED_VALUE"""),"No")</f>
        <v>No</v>
      </c>
      <c r="AA31" s="7" t="str">
        <f>IFERROR(__xludf.DUMMYFUNCTION("""COMPUTED_VALUE"""),"Acepto")</f>
        <v>Acepto</v>
      </c>
      <c r="AB31" s="7" t="str">
        <f>IFERROR(__xludf.DUMMYFUNCTION("""COMPUTED_VALUE"""),"Terminado")</f>
        <v>Terminado</v>
      </c>
      <c r="AC31" s="7">
        <f>IFERROR(__xludf.DUMMYFUNCTION("""COMPUTED_VALUE"""),50000.0)</f>
        <v>50000</v>
      </c>
      <c r="AD31" s="7">
        <f>IFERROR(__xludf.DUMMYFUNCTION("""COMPUTED_VALUE"""),205348.0)</f>
        <v>205348</v>
      </c>
      <c r="AE31" s="7" t="str">
        <f>IFERROR(__xludf.DUMMYFUNCTION("""COMPUTED_VALUE"""),"TRF 31-08")</f>
        <v>TRF 31-08</v>
      </c>
      <c r="AF31" s="7" t="str">
        <f>IFERROR(__xludf.DUMMYFUNCTION("""COMPUTED_VALUE"""),"OK")</f>
        <v>OK</v>
      </c>
      <c r="AG31" s="45"/>
    </row>
    <row r="32" ht="15.75" customHeight="1">
      <c r="B32" s="42">
        <f>IFERROR(__xludf.DUMMYFUNCTION("""COMPUTED_VALUE"""),45531.80023443287)</f>
        <v>45531.80023</v>
      </c>
      <c r="C32" s="43" t="str">
        <f>IFERROR(__xludf.DUMMYFUNCTION("""COMPUTED_VALUE"""),"Lucia")</f>
        <v>Lucia</v>
      </c>
      <c r="D32" s="43" t="str">
        <f>IFERROR(__xludf.DUMMYFUNCTION("""COMPUTED_VALUE"""),"Galli Kluge")</f>
        <v>Galli Kluge</v>
      </c>
      <c r="E32" s="43" t="str">
        <f>IFERROR(__xludf.DUMMYFUNCTION("""COMPUTED_VALUE"""),"CABA")</f>
        <v>CABA</v>
      </c>
      <c r="F32" s="7" t="str">
        <f>IFERROR(__xludf.DUMMYFUNCTION("""COMPUTED_VALUE"""),"ARG")</f>
        <v>ARG</v>
      </c>
      <c r="G32" s="7">
        <f>IFERROR(__xludf.DUMMYFUNCTION("""COMPUTED_VALUE"""),5.2141121E7)</f>
        <v>52141121</v>
      </c>
      <c r="H32" s="44">
        <f>IFERROR(__xludf.DUMMYFUNCTION("""COMPUTED_VALUE"""),40946.0)</f>
        <v>40946</v>
      </c>
      <c r="I32" s="45">
        <f>IFERROR(__xludf.DUMMYFUNCTION("""COMPUTED_VALUE"""),1.131637901E9)</f>
        <v>1131637901</v>
      </c>
      <c r="J32" s="45">
        <f>IFERROR(__xludf.DUMMYFUNCTION("""COMPUTED_VALUE"""),1.131637901E9)</f>
        <v>1131637901</v>
      </c>
      <c r="K32" s="45" t="str">
        <f>IFERROR(__xludf.DUMMYFUNCTION("""COMPUTED_VALUE"""),"martinianogalli@gmail.com")</f>
        <v>martinianogalli@gmail.com</v>
      </c>
      <c r="L32" s="45" t="str">
        <f>IFERROR(__xludf.DUMMYFUNCTION("""COMPUTED_VALUE"""),"Femenino")</f>
        <v>Femenino</v>
      </c>
      <c r="M32" s="45" t="str">
        <f>IFERROR(__xludf.DUMMYFUNCTION("""COMPUTED_VALUE"""),"CVB")</f>
        <v>CVB</v>
      </c>
      <c r="N32" s="45" t="str">
        <f>IFERROR(__xludf.DUMMYFUNCTION("""COMPUTED_VALUE"""),"Femenino")</f>
        <v>Femenino</v>
      </c>
      <c r="O32" s="45" t="str">
        <f>IFERROR(__xludf.DUMMYFUNCTION("""COMPUTED_VALUE"""),"OPTIMIST PRINCIPIANTES")</f>
        <v>OPTIMIST PRINCIPIANTES</v>
      </c>
      <c r="P32" s="45"/>
      <c r="Q32" s="45">
        <f>IFERROR(__xludf.DUMMYFUNCTION("""COMPUTED_VALUE"""),3162.0)</f>
        <v>3162</v>
      </c>
      <c r="R32" s="45"/>
      <c r="S32" s="45"/>
      <c r="T32" s="45"/>
      <c r="U32" s="45"/>
      <c r="V32" s="45"/>
      <c r="W32" s="45"/>
      <c r="X32" s="45"/>
      <c r="Y32" s="45" t="str">
        <f>IFERROR(__xludf.DUMMYFUNCTION("""COMPUTED_VALUE"""),"OSDE")</f>
        <v>OSDE</v>
      </c>
      <c r="Z32" s="7" t="str">
        <f>IFERROR(__xludf.DUMMYFUNCTION("""COMPUTED_VALUE"""),"Si")</f>
        <v>Si</v>
      </c>
      <c r="AA32" s="7" t="str">
        <f>IFERROR(__xludf.DUMMYFUNCTION("""COMPUTED_VALUE"""),"Acepto")</f>
        <v>Acepto</v>
      </c>
      <c r="AB32" s="7" t="str">
        <f>IFERROR(__xludf.DUMMYFUNCTION("""COMPUTED_VALUE"""),"Terminado")</f>
        <v>Terminado</v>
      </c>
      <c r="AC32" s="7">
        <f>IFERROR(__xludf.DUMMYFUNCTION("""COMPUTED_VALUE"""),50000.0)</f>
        <v>50000</v>
      </c>
      <c r="AD32" s="7">
        <f>IFERROR(__xludf.DUMMYFUNCTION("""COMPUTED_VALUE"""),205060.0)</f>
        <v>205060</v>
      </c>
      <c r="AE32" s="7" t="str">
        <f>IFERROR(__xludf.DUMMYFUNCTION("""COMPUTED_VALUE"""),"TRF 27-08")</f>
        <v>TRF 27-08</v>
      </c>
      <c r="AF32" s="7" t="str">
        <f>IFERROR(__xludf.DUMMYFUNCTION("""COMPUTED_VALUE"""),"OK")</f>
        <v>OK</v>
      </c>
      <c r="AG32" s="45" t="str">
        <f>IFERROR(__xludf.DUMMYFUNCTION("""COMPUTED_VALUE"""),"SI")</f>
        <v>SI</v>
      </c>
    </row>
    <row r="33" ht="15.75" customHeight="1">
      <c r="B33" s="42">
        <f>IFERROR(__xludf.DUMMYFUNCTION("""COMPUTED_VALUE"""),45535.66399239583)</f>
        <v>45535.66399</v>
      </c>
      <c r="C33" s="43" t="str">
        <f>IFERROR(__xludf.DUMMYFUNCTION("""COMPUTED_VALUE"""),"Thiago Nahuel")</f>
        <v>Thiago Nahuel</v>
      </c>
      <c r="D33" s="43" t="str">
        <f>IFERROR(__xludf.DUMMYFUNCTION("""COMPUTED_VALUE"""),"García Cecolisio")</f>
        <v>García Cecolisio</v>
      </c>
      <c r="E33" s="43" t="str">
        <f>IFERROR(__xludf.DUMMYFUNCTION("""COMPUTED_VALUE"""),"San Isidro")</f>
        <v>San Isidro</v>
      </c>
      <c r="F33" s="7" t="str">
        <f>IFERROR(__xludf.DUMMYFUNCTION("""COMPUTED_VALUE"""),"ARG")</f>
        <v>ARG</v>
      </c>
      <c r="G33" s="7">
        <f>IFERROR(__xludf.DUMMYFUNCTION("""COMPUTED_VALUE"""),5.3896167E7)</f>
        <v>53896167</v>
      </c>
      <c r="H33" s="44">
        <f>IFERROR(__xludf.DUMMYFUNCTION("""COMPUTED_VALUE"""),41717.0)</f>
        <v>41717</v>
      </c>
      <c r="I33" s="45">
        <f>IFERROR(__xludf.DUMMYFUNCTION("""COMPUTED_VALUE"""),1.136996219E9)</f>
        <v>1136996219</v>
      </c>
      <c r="J33" s="45">
        <f>IFERROR(__xludf.DUMMYFUNCTION("""COMPUTED_VALUE"""),1.136996219E9)</f>
        <v>1136996219</v>
      </c>
      <c r="K33" s="45" t="str">
        <f>IFERROR(__xludf.DUMMYFUNCTION("""COMPUTED_VALUE"""),"gfgg100@yahoo.com.ar")</f>
        <v>gfgg100@yahoo.com.ar</v>
      </c>
      <c r="L33" s="45" t="str">
        <f>IFERROR(__xludf.DUMMYFUNCTION("""COMPUTED_VALUE"""),"Masculino")</f>
        <v>Masculino</v>
      </c>
      <c r="M33" s="45" t="str">
        <f>IFERROR(__xludf.DUMMYFUNCTION("""COMPUTED_VALUE"""),"CNGSM")</f>
        <v>CNGSM</v>
      </c>
      <c r="N33" s="45" t="str">
        <f>IFERROR(__xludf.DUMMYFUNCTION("""COMPUTED_VALUE"""),"Optimist")</f>
        <v>Optimist</v>
      </c>
      <c r="O33" s="45" t="str">
        <f>IFERROR(__xludf.DUMMYFUNCTION("""COMPUTED_VALUE"""),"OPTIMIST PRINCIPIANTES")</f>
        <v>OPTIMIST PRINCIPIANTES</v>
      </c>
      <c r="P33" s="45"/>
      <c r="Q33" s="45">
        <f>IFERROR(__xludf.DUMMYFUNCTION("""COMPUTED_VALUE"""),3447.0)</f>
        <v>3447</v>
      </c>
      <c r="R33" s="45"/>
      <c r="S33" s="45"/>
      <c r="T33" s="45"/>
      <c r="U33" s="45"/>
      <c r="V33" s="45"/>
      <c r="W33" s="45"/>
      <c r="X33" s="45"/>
      <c r="Y33" s="45" t="str">
        <f>IFERROR(__xludf.DUMMYFUNCTION("""COMPUTED_VALUE"""),"Osde 60849216603")</f>
        <v>Osde 60849216603</v>
      </c>
      <c r="Z33" s="7" t="str">
        <f>IFERROR(__xludf.DUMMYFUNCTION("""COMPUTED_VALUE"""),"No")</f>
        <v>No</v>
      </c>
      <c r="AA33" s="7" t="str">
        <f>IFERROR(__xludf.DUMMYFUNCTION("""COMPUTED_VALUE"""),"Acepto")</f>
        <v>Acepto</v>
      </c>
      <c r="AB33" s="7" t="str">
        <f>IFERROR(__xludf.DUMMYFUNCTION("""COMPUTED_VALUE"""),"Terminado")</f>
        <v>Terminado</v>
      </c>
      <c r="AC33" s="7">
        <f>IFERROR(__xludf.DUMMYFUNCTION("""COMPUTED_VALUE"""),50000.0)</f>
        <v>50000</v>
      </c>
      <c r="AD33" s="7">
        <f>IFERROR(__xludf.DUMMYFUNCTION("""COMPUTED_VALUE"""),205361.0)</f>
        <v>205361</v>
      </c>
      <c r="AE33" s="7" t="str">
        <f>IFERROR(__xludf.DUMMYFUNCTION("""COMPUTED_VALUE"""),"TRF 31-08")</f>
        <v>TRF 31-08</v>
      </c>
      <c r="AF33" s="7" t="str">
        <f>IFERROR(__xludf.DUMMYFUNCTION("""COMPUTED_VALUE"""),"OK")</f>
        <v>OK</v>
      </c>
      <c r="AG33" s="45" t="str">
        <f>IFERROR(__xludf.DUMMYFUNCTION("""COMPUTED_VALUE"""),"SI")</f>
        <v>SI</v>
      </c>
    </row>
    <row r="34" ht="15.75" customHeight="1">
      <c r="B34" s="42">
        <f>IFERROR(__xludf.DUMMYFUNCTION("""COMPUTED_VALUE"""),45536.91886533565)</f>
        <v>45536.91887</v>
      </c>
      <c r="C34" s="43" t="str">
        <f>IFERROR(__xludf.DUMMYFUNCTION("""COMPUTED_VALUE"""),"Indiana")</f>
        <v>Indiana</v>
      </c>
      <c r="D34" s="43" t="str">
        <f>IFERROR(__xludf.DUMMYFUNCTION("""COMPUTED_VALUE"""),"Garro")</f>
        <v>Garro</v>
      </c>
      <c r="E34" s="43" t="str">
        <f>IFERROR(__xludf.DUMMYFUNCTION("""COMPUTED_VALUE"""),"Tigre")</f>
        <v>Tigre</v>
      </c>
      <c r="F34" s="7" t="str">
        <f>IFERROR(__xludf.DUMMYFUNCTION("""COMPUTED_VALUE"""),"ARG")</f>
        <v>ARG</v>
      </c>
      <c r="G34" s="7">
        <f>IFERROR(__xludf.DUMMYFUNCTION("""COMPUTED_VALUE"""),5.1330536E7)</f>
        <v>51330536</v>
      </c>
      <c r="H34" s="44">
        <f>IFERROR(__xludf.DUMMYFUNCTION("""COMPUTED_VALUE"""),40823.0)</f>
        <v>40823</v>
      </c>
      <c r="I34" s="45">
        <f>IFERROR(__xludf.DUMMYFUNCTION("""COMPUTED_VALUE"""),1.134070484E9)</f>
        <v>1134070484</v>
      </c>
      <c r="J34" s="45"/>
      <c r="K34" s="45" t="str">
        <f>IFERROR(__xludf.DUMMYFUNCTION("""COMPUTED_VALUE"""),"ani1407@yahoo.com.ar")</f>
        <v>ani1407@yahoo.com.ar</v>
      </c>
      <c r="L34" s="45" t="str">
        <f>IFERROR(__xludf.DUMMYFUNCTION("""COMPUTED_VALUE"""),"Femenino")</f>
        <v>Femenino</v>
      </c>
      <c r="M34" s="45" t="str">
        <f>IFERROR(__xludf.DUMMYFUNCTION("""COMPUTED_VALUE"""),"CVB")</f>
        <v>CVB</v>
      </c>
      <c r="N34" s="45" t="str">
        <f>IFERROR(__xludf.DUMMYFUNCTION("""COMPUTED_VALUE"""),"Femenino")</f>
        <v>Femenino</v>
      </c>
      <c r="O34" s="45" t="str">
        <f>IFERROR(__xludf.DUMMYFUNCTION("""COMPUTED_VALUE"""),"OPTIMIST PRINCIPIANTES")</f>
        <v>OPTIMIST PRINCIPIANTES</v>
      </c>
      <c r="P34" s="45"/>
      <c r="Q34" s="45">
        <f>IFERROR(__xludf.DUMMYFUNCTION("""COMPUTED_VALUE"""),3630.0)</f>
        <v>3630</v>
      </c>
      <c r="R34" s="45" t="str">
        <f>IFERROR(__xludf.DUMMYFUNCTION("""COMPUTED_VALUE"""),"Aloha")</f>
        <v>Aloha</v>
      </c>
      <c r="S34" s="45"/>
      <c r="T34" s="45"/>
      <c r="U34" s="45"/>
      <c r="V34" s="45"/>
      <c r="W34" s="45"/>
      <c r="X34" s="45"/>
      <c r="Y34" s="45"/>
      <c r="Z34" s="7" t="str">
        <f>IFERROR(__xludf.DUMMYFUNCTION("""COMPUTED_VALUE"""),"No")</f>
        <v>No</v>
      </c>
      <c r="AA34" s="7" t="str">
        <f>IFERROR(__xludf.DUMMYFUNCTION("""COMPUTED_VALUE"""),"Acepto")</f>
        <v>Acepto</v>
      </c>
      <c r="AB34" s="7" t="str">
        <f>IFERROR(__xludf.DUMMYFUNCTION("""COMPUTED_VALUE"""),"Terminado")</f>
        <v>Terminado</v>
      </c>
      <c r="AC34" s="7">
        <f>IFERROR(__xludf.DUMMYFUNCTION("""COMPUTED_VALUE"""),50000.0)</f>
        <v>50000</v>
      </c>
      <c r="AD34" s="7">
        <f>IFERROR(__xludf.DUMMYFUNCTION("""COMPUTED_VALUE"""),205393.0)</f>
        <v>205393</v>
      </c>
      <c r="AE34" s="7" t="str">
        <f>IFERROR(__xludf.DUMMYFUNCTION("""COMPUTED_VALUE"""),"TRF 02-09")</f>
        <v>TRF 02-09</v>
      </c>
      <c r="AF34" s="7" t="str">
        <f>IFERROR(__xludf.DUMMYFUNCTION("""COMPUTED_VALUE"""),"OK")</f>
        <v>OK</v>
      </c>
      <c r="AG34" s="45" t="str">
        <f>IFERROR(__xludf.DUMMYFUNCTION("""COMPUTED_VALUE"""),"SI")</f>
        <v>SI</v>
      </c>
    </row>
    <row r="35" ht="15.75" customHeight="1">
      <c r="B35" s="42">
        <f>IFERROR(__xludf.DUMMYFUNCTION("""COMPUTED_VALUE"""),45535.89684209491)</f>
        <v>45535.89684</v>
      </c>
      <c r="C35" s="43" t="str">
        <f>IFERROR(__xludf.DUMMYFUNCTION("""COMPUTED_VALUE"""),"Santiago Gaspar")</f>
        <v>Santiago Gaspar</v>
      </c>
      <c r="D35" s="43" t="str">
        <f>IFERROR(__xludf.DUMMYFUNCTION("""COMPUTED_VALUE"""),"Gonzalez")</f>
        <v>Gonzalez</v>
      </c>
      <c r="E35" s="43" t="str">
        <f>IFERROR(__xludf.DUMMYFUNCTION("""COMPUTED_VALUE"""),"Buenos aires")</f>
        <v>Buenos aires</v>
      </c>
      <c r="F35" s="7" t="str">
        <f>IFERROR(__xludf.DUMMYFUNCTION("""COMPUTED_VALUE"""),"ARG")</f>
        <v>ARG</v>
      </c>
      <c r="G35" s="7">
        <f>IFERROR(__xludf.DUMMYFUNCTION("""COMPUTED_VALUE"""),5.1390049E7)</f>
        <v>51390049</v>
      </c>
      <c r="H35" s="44">
        <f>IFERROR(__xludf.DUMMYFUNCTION("""COMPUTED_VALUE"""),40773.0)</f>
        <v>40773</v>
      </c>
      <c r="I35" s="45">
        <f>IFERROR(__xludf.DUMMYFUNCTION("""COMPUTED_VALUE"""),1.1670493E9)</f>
        <v>1167049300</v>
      </c>
      <c r="J35" s="45">
        <f>IFERROR(__xludf.DUMMYFUNCTION("""COMPUTED_VALUE"""),1.5670495E9)</f>
        <v>1567049500</v>
      </c>
      <c r="K35" s="45" t="str">
        <f>IFERROR(__xludf.DUMMYFUNCTION("""COMPUTED_VALUE"""),"hdibatista@gmail.com")</f>
        <v>hdibatista@gmail.com</v>
      </c>
      <c r="L35" s="45" t="str">
        <f>IFERROR(__xludf.DUMMYFUNCTION("""COMPUTED_VALUE"""),"Masculino")</f>
        <v>Masculino</v>
      </c>
      <c r="M35" s="45" t="str">
        <f>IFERROR(__xludf.DUMMYFUNCTION("""COMPUTED_VALUE"""),"Cnas")</f>
        <v>Cnas</v>
      </c>
      <c r="N35" s="45"/>
      <c r="O35" s="45" t="str">
        <f>IFERROR(__xludf.DUMMYFUNCTION("""COMPUTED_VALUE"""),"OPTIMIST PRINCIPIANTES")</f>
        <v>OPTIMIST PRINCIPIANTES</v>
      </c>
      <c r="P35" s="45"/>
      <c r="Q35" s="45">
        <f>IFERROR(__xludf.DUMMYFUNCTION("""COMPUTED_VALUE"""),4161.0)</f>
        <v>4161</v>
      </c>
      <c r="R35" s="45"/>
      <c r="S35" s="45"/>
      <c r="T35" s="45"/>
      <c r="U35" s="45"/>
      <c r="V35" s="45"/>
      <c r="W35" s="45"/>
      <c r="X35" s="45"/>
      <c r="Y35" s="45" t="str">
        <f>IFERROR(__xludf.DUMMYFUNCTION("""COMPUTED_VALUE"""),"Galeno Oro")</f>
        <v>Galeno Oro</v>
      </c>
      <c r="Z35" s="7" t="str">
        <f>IFERROR(__xludf.DUMMYFUNCTION("""COMPUTED_VALUE"""),"Si")</f>
        <v>Si</v>
      </c>
      <c r="AA35" s="7" t="str">
        <f>IFERROR(__xludf.DUMMYFUNCTION("""COMPUTED_VALUE"""),"Acepto")</f>
        <v>Acepto</v>
      </c>
      <c r="AB35" s="7" t="str">
        <f>IFERROR(__xludf.DUMMYFUNCTION("""COMPUTED_VALUE"""),"Pendiente")</f>
        <v>Pendiente</v>
      </c>
      <c r="AC35" s="7"/>
      <c r="AD35" s="7"/>
      <c r="AE35" s="7"/>
      <c r="AF35" s="7" t="str">
        <f>IFERROR(__xludf.DUMMYFUNCTION("""COMPUTED_VALUE"""),"Pendiente")</f>
        <v>Pendiente</v>
      </c>
      <c r="AG35" s="45"/>
    </row>
    <row r="36" ht="15.75" customHeight="1">
      <c r="B36" s="42">
        <f>IFERROR(__xludf.DUMMYFUNCTION("""COMPUTED_VALUE"""),45534.663229108795)</f>
        <v>45534.66323</v>
      </c>
      <c r="C36" s="43" t="str">
        <f>IFERROR(__xludf.DUMMYFUNCTION("""COMPUTED_VALUE"""),"Juan Sebastian")</f>
        <v>Juan Sebastian</v>
      </c>
      <c r="D36" s="43" t="str">
        <f>IFERROR(__xludf.DUMMYFUNCTION("""COMPUTED_VALUE"""),"Gonzalez Espinola")</f>
        <v>Gonzalez Espinola</v>
      </c>
      <c r="E36" s="43" t="str">
        <f>IFERROR(__xludf.DUMMYFUNCTION("""COMPUTED_VALUE"""),"C.a.b.a")</f>
        <v>C.a.b.a</v>
      </c>
      <c r="F36" s="7" t="str">
        <f>IFERROR(__xludf.DUMMYFUNCTION("""COMPUTED_VALUE"""),"ARG")</f>
        <v>ARG</v>
      </c>
      <c r="G36" s="7">
        <f>IFERROR(__xludf.DUMMYFUNCTION("""COMPUTED_VALUE"""),5.2764512E7)</f>
        <v>52764512</v>
      </c>
      <c r="H36" s="44">
        <f>IFERROR(__xludf.DUMMYFUNCTION("""COMPUTED_VALUE"""),41194.0)</f>
        <v>41194</v>
      </c>
      <c r="I36" s="45">
        <f>IFERROR(__xludf.DUMMYFUNCTION("""COMPUTED_VALUE"""),1.151014498E9)</f>
        <v>1151014498</v>
      </c>
      <c r="J36" s="45">
        <f>IFERROR(__xludf.DUMMYFUNCTION("""COMPUTED_VALUE"""),1.151082053E9)</f>
        <v>1151082053</v>
      </c>
      <c r="K36" s="45" t="str">
        <f>IFERROR(__xludf.DUMMYFUNCTION("""COMPUTED_VALUE"""),"lidiaespinola12@gmail.com")</f>
        <v>lidiaespinola12@gmail.com</v>
      </c>
      <c r="L36" s="45" t="str">
        <f>IFERROR(__xludf.DUMMYFUNCTION("""COMPUTED_VALUE"""),"Masculino")</f>
        <v>Masculino</v>
      </c>
      <c r="M36" s="45" t="str">
        <f>IFERROR(__xludf.DUMMYFUNCTION("""COMPUTED_VALUE"""),"CGLNM")</f>
        <v>CGLNM</v>
      </c>
      <c r="N36" s="45" t="str">
        <f>IFERROR(__xludf.DUMMYFUNCTION("""COMPUTED_VALUE"""),"Interior (Optimist)")</f>
        <v>Interior (Optimist)</v>
      </c>
      <c r="O36" s="45" t="str">
        <f>IFERROR(__xludf.DUMMYFUNCTION("""COMPUTED_VALUE"""),"OPTIMIST PRINCIPIANTES")</f>
        <v>OPTIMIST PRINCIPIANTES</v>
      </c>
      <c r="P36" s="45"/>
      <c r="Q36" s="45">
        <f>IFERROR(__xludf.DUMMYFUNCTION("""COMPUTED_VALUE"""),3782.0)</f>
        <v>3782</v>
      </c>
      <c r="R36" s="45" t="str">
        <f>IFERROR(__xludf.DUMMYFUNCTION("""COMPUTED_VALUE"""),"Tormenta")</f>
        <v>Tormenta</v>
      </c>
      <c r="S36" s="45"/>
      <c r="T36" s="45"/>
      <c r="U36" s="45"/>
      <c r="V36" s="45"/>
      <c r="W36" s="45"/>
      <c r="X36" s="45"/>
      <c r="Y36" s="45" t="str">
        <f>IFERROR(__xludf.DUMMYFUNCTION("""COMPUTED_VALUE"""),"OMINT")</f>
        <v>OMINT</v>
      </c>
      <c r="Z36" s="7" t="str">
        <f>IFERROR(__xludf.DUMMYFUNCTION("""COMPUTED_VALUE"""),"Si")</f>
        <v>Si</v>
      </c>
      <c r="AA36" s="7" t="str">
        <f>IFERROR(__xludf.DUMMYFUNCTION("""COMPUTED_VALUE"""),"Acepto")</f>
        <v>Acepto</v>
      </c>
      <c r="AB36" s="7" t="str">
        <f>IFERROR(__xludf.DUMMYFUNCTION("""COMPUTED_VALUE"""),"Terminado")</f>
        <v>Terminado</v>
      </c>
      <c r="AC36" s="7">
        <f>IFERROR(__xludf.DUMMYFUNCTION("""COMPUTED_VALUE"""),50000.0)</f>
        <v>50000</v>
      </c>
      <c r="AD36" s="7">
        <f>IFERROR(__xludf.DUMMYFUNCTION("""COMPUTED_VALUE"""),205363.0)</f>
        <v>205363</v>
      </c>
      <c r="AE36" s="7" t="str">
        <f>IFERROR(__xludf.DUMMYFUNCTION("""COMPUTED_VALUE"""),"TRF 31-08")</f>
        <v>TRF 31-08</v>
      </c>
      <c r="AF36" s="7" t="str">
        <f>IFERROR(__xludf.DUMMYFUNCTION("""COMPUTED_VALUE"""),"OK")</f>
        <v>OK</v>
      </c>
      <c r="AG36" s="45"/>
    </row>
    <row r="37" ht="15.75" customHeight="1">
      <c r="B37" s="42">
        <f>IFERROR(__xludf.DUMMYFUNCTION("""COMPUTED_VALUE"""),45539.82775200231)</f>
        <v>45539.82775</v>
      </c>
      <c r="C37" s="43" t="str">
        <f>IFERROR(__xludf.DUMMYFUNCTION("""COMPUTED_VALUE"""),"Quinto")</f>
        <v>Quinto</v>
      </c>
      <c r="D37" s="43" t="str">
        <f>IFERROR(__xludf.DUMMYFUNCTION("""COMPUTED_VALUE"""),"Graham")</f>
        <v>Graham</v>
      </c>
      <c r="E37" s="43" t="str">
        <f>IFERROR(__xludf.DUMMYFUNCTION("""COMPUTED_VALUE"""),"San Isidro")</f>
        <v>San Isidro</v>
      </c>
      <c r="F37" s="7" t="str">
        <f>IFERROR(__xludf.DUMMYFUNCTION("""COMPUTED_VALUE"""),"ARG")</f>
        <v>ARG</v>
      </c>
      <c r="G37" s="7">
        <f>IFERROR(__xludf.DUMMYFUNCTION("""COMPUTED_VALUE"""),5.3240593E7)</f>
        <v>53240593</v>
      </c>
      <c r="H37" s="44">
        <f>IFERROR(__xludf.DUMMYFUNCTION("""COMPUTED_VALUE"""),41417.0)</f>
        <v>41417</v>
      </c>
      <c r="I37" s="45">
        <f>IFERROR(__xludf.DUMMYFUNCTION("""COMPUTED_VALUE"""),4.4017277E7)</f>
        <v>44017277</v>
      </c>
      <c r="J37" s="45">
        <f>IFERROR(__xludf.DUMMYFUNCTION("""COMPUTED_VALUE"""),4.0427317E7)</f>
        <v>40427317</v>
      </c>
      <c r="K37" s="45" t="str">
        <f>IFERROR(__xludf.DUMMYFUNCTION("""COMPUTED_VALUE"""),"luciograham@hotmail.com")</f>
        <v>luciograham@hotmail.com</v>
      </c>
      <c r="L37" s="45" t="str">
        <f>IFERROR(__xludf.DUMMYFUNCTION("""COMPUTED_VALUE"""),"Masculino")</f>
        <v>Masculino</v>
      </c>
      <c r="M37" s="45" t="str">
        <f>IFERROR(__xludf.DUMMYFUNCTION("""COMPUTED_VALUE"""),"CNSI")</f>
        <v>CNSI</v>
      </c>
      <c r="N37" s="45"/>
      <c r="O37" s="45" t="str">
        <f>IFERROR(__xludf.DUMMYFUNCTION("""COMPUTED_VALUE"""),"OPTIMIST PRINCIPIANTES")</f>
        <v>OPTIMIST PRINCIPIANTES</v>
      </c>
      <c r="P37" s="45"/>
      <c r="Q37" s="45">
        <f>IFERROR(__xludf.DUMMYFUNCTION("""COMPUTED_VALUE"""),3969.0)</f>
        <v>3969</v>
      </c>
      <c r="R37" s="45"/>
      <c r="S37" s="45"/>
      <c r="T37" s="45"/>
      <c r="U37" s="45"/>
      <c r="V37" s="45"/>
      <c r="W37" s="45"/>
      <c r="X37" s="45"/>
      <c r="Y37" s="45" t="str">
        <f>IFERROR(__xludf.DUMMYFUNCTION("""COMPUTED_VALUE"""),"Medicus")</f>
        <v>Medicus</v>
      </c>
      <c r="Z37" s="7" t="str">
        <f>IFERROR(__xludf.DUMMYFUNCTION("""COMPUTED_VALUE"""),"Si")</f>
        <v>Si</v>
      </c>
      <c r="AA37" s="7" t="str">
        <f>IFERROR(__xludf.DUMMYFUNCTION("""COMPUTED_VALUE"""),"Acepto")</f>
        <v>Acepto</v>
      </c>
      <c r="AB37" s="7" t="str">
        <f>IFERROR(__xludf.DUMMYFUNCTION("""COMPUTED_VALUE"""),"Terminado")</f>
        <v>Terminado</v>
      </c>
      <c r="AC37" s="7">
        <f>IFERROR(__xludf.DUMMYFUNCTION("""COMPUTED_VALUE"""),50000.0)</f>
        <v>50000</v>
      </c>
      <c r="AD37" s="7">
        <f>IFERROR(__xludf.DUMMYFUNCTION("""COMPUTED_VALUE"""),205453.0)</f>
        <v>205453</v>
      </c>
      <c r="AE37" s="7" t="str">
        <f>IFERROR(__xludf.DUMMYFUNCTION("""COMPUTED_VALUE"""),"TRF 04-09")</f>
        <v>TRF 04-09</v>
      </c>
      <c r="AF37" s="7" t="str">
        <f>IFERROR(__xludf.DUMMYFUNCTION("""COMPUTED_VALUE"""),"OK")</f>
        <v>OK</v>
      </c>
      <c r="AG37" s="45"/>
    </row>
    <row r="38" ht="15.75" customHeight="1">
      <c r="B38" s="42">
        <f>IFERROR(__xludf.DUMMYFUNCTION("""COMPUTED_VALUE"""),45539.88504734954)</f>
        <v>45539.88505</v>
      </c>
      <c r="C38" s="43" t="str">
        <f>IFERROR(__xludf.DUMMYFUNCTION("""COMPUTED_VALUE"""),"Tobías")</f>
        <v>Tobías</v>
      </c>
      <c r="D38" s="43" t="str">
        <f>IFERROR(__xludf.DUMMYFUNCTION("""COMPUTED_VALUE"""),"Grinblat Dermgerd")</f>
        <v>Grinblat Dermgerd</v>
      </c>
      <c r="E38" s="43" t="str">
        <f>IFERROR(__xludf.DUMMYFUNCTION("""COMPUTED_VALUE"""),"San Fernando ")</f>
        <v>San Fernando </v>
      </c>
      <c r="F38" s="7" t="str">
        <f>IFERROR(__xludf.DUMMYFUNCTION("""COMPUTED_VALUE"""),"ARG")</f>
        <v>ARG</v>
      </c>
      <c r="G38" s="7">
        <f>IFERROR(__xludf.DUMMYFUNCTION("""COMPUTED_VALUE"""),5.170038E7)</f>
        <v>51700380</v>
      </c>
      <c r="H38" s="44">
        <f>IFERROR(__xludf.DUMMYFUNCTION("""COMPUTED_VALUE"""),41089.0)</f>
        <v>41089</v>
      </c>
      <c r="I38" s="45" t="str">
        <f>IFERROR(__xludf.DUMMYFUNCTION("""COMPUTED_VALUE"""),"+5491154565555")</f>
        <v>+5491154565555</v>
      </c>
      <c r="J38" s="45" t="str">
        <f>IFERROR(__xludf.DUMMYFUNCTION("""COMPUTED_VALUE"""),"+5491155992222")</f>
        <v>+5491155992222</v>
      </c>
      <c r="K38" s="45" t="str">
        <f>IFERROR(__xludf.DUMMYFUNCTION("""COMPUTED_VALUE"""),"alegrinblat@gmail.com")</f>
        <v>alegrinblat@gmail.com</v>
      </c>
      <c r="L38" s="45" t="str">
        <f>IFERROR(__xludf.DUMMYFUNCTION("""COMPUTED_VALUE"""),"Masculino")</f>
        <v>Masculino</v>
      </c>
      <c r="M38" s="45" t="str">
        <f>IFERROR(__xludf.DUMMYFUNCTION("""COMPUTED_VALUE"""),"CNAS")</f>
        <v>CNAS</v>
      </c>
      <c r="N38" s="45"/>
      <c r="O38" s="45" t="str">
        <f>IFERROR(__xludf.DUMMYFUNCTION("""COMPUTED_VALUE"""),"OPTIMIST PRINCIPIANTES")</f>
        <v>OPTIMIST PRINCIPIANTES</v>
      </c>
      <c r="P38" s="45"/>
      <c r="Q38" s="45">
        <f>IFERROR(__xludf.DUMMYFUNCTION("""COMPUTED_VALUE"""),9536.0)</f>
        <v>9536</v>
      </c>
      <c r="R38" s="45" t="str">
        <f>IFERROR(__xludf.DUMMYFUNCTION("""COMPUTED_VALUE"""),"Sin nombre")</f>
        <v>Sin nombre</v>
      </c>
      <c r="S38" s="45" t="str">
        <f>IFERROR(__xludf.DUMMYFUNCTION("""COMPUTED_VALUE"""),"Tobías Grinblat Dermgerd")</f>
        <v>Tobías Grinblat Dermgerd</v>
      </c>
      <c r="T38" s="45"/>
      <c r="U38" s="45"/>
      <c r="V38" s="45"/>
      <c r="W38" s="45"/>
      <c r="X38" s="45"/>
      <c r="Y38" s="45" t="str">
        <f>IFERROR(__xludf.DUMMYFUNCTION("""COMPUTED_VALUE"""),"Swiss")</f>
        <v>Swiss</v>
      </c>
      <c r="Z38" s="7" t="str">
        <f>IFERROR(__xludf.DUMMYFUNCTION("""COMPUTED_VALUE"""),"Si")</f>
        <v>Si</v>
      </c>
      <c r="AA38" s="7" t="str">
        <f>IFERROR(__xludf.DUMMYFUNCTION("""COMPUTED_VALUE"""),"Acepto")</f>
        <v>Acepto</v>
      </c>
      <c r="AB38" s="7" t="str">
        <f>IFERROR(__xludf.DUMMYFUNCTION("""COMPUTED_VALUE"""),"Terminado")</f>
        <v>Terminado</v>
      </c>
      <c r="AC38" s="7">
        <f>IFERROR(__xludf.DUMMYFUNCTION("""COMPUTED_VALUE"""),70000.0)</f>
        <v>70000</v>
      </c>
      <c r="AD38" s="7">
        <f>IFERROR(__xludf.DUMMYFUNCTION("""COMPUTED_VALUE"""),205497.0)</f>
        <v>205497</v>
      </c>
      <c r="AE38" s="7" t="str">
        <f>IFERROR(__xludf.DUMMYFUNCTION("""COMPUTED_VALUE"""),"TRF 05-09")</f>
        <v>TRF 05-09</v>
      </c>
      <c r="AF38" s="7" t="str">
        <f>IFERROR(__xludf.DUMMYFUNCTION("""COMPUTED_VALUE"""),"Pendiente")</f>
        <v>Pendiente</v>
      </c>
      <c r="AG38" s="45"/>
    </row>
    <row r="39" ht="15.75" customHeight="1">
      <c r="B39" s="42">
        <f>IFERROR(__xludf.DUMMYFUNCTION("""COMPUTED_VALUE"""),45535.53196037037)</f>
        <v>45535.53196</v>
      </c>
      <c r="C39" s="43" t="str">
        <f>IFERROR(__xludf.DUMMYFUNCTION("""COMPUTED_VALUE"""),"ESTEFANIA")</f>
        <v>ESTEFANIA</v>
      </c>
      <c r="D39" s="43" t="str">
        <f>IFERROR(__xludf.DUMMYFUNCTION("""COMPUTED_VALUE"""),"GUERRA WEDER")</f>
        <v>GUERRA WEDER</v>
      </c>
      <c r="E39" s="43" t="str">
        <f>IFERROR(__xludf.DUMMYFUNCTION("""COMPUTED_VALUE"""),"ROSARIO")</f>
        <v>ROSARIO</v>
      </c>
      <c r="F39" s="7" t="str">
        <f>IFERROR(__xludf.DUMMYFUNCTION("""COMPUTED_VALUE"""),"ARG")</f>
        <v>ARG</v>
      </c>
      <c r="G39" s="7">
        <f>IFERROR(__xludf.DUMMYFUNCTION("""COMPUTED_VALUE"""),5.3618936E7)</f>
        <v>53618936</v>
      </c>
      <c r="H39" s="44">
        <f>IFERROR(__xludf.DUMMYFUNCTION("""COMPUTED_VALUE"""),41599.0)</f>
        <v>41599</v>
      </c>
      <c r="I39" s="45">
        <f>IFERROR(__xludf.DUMMYFUNCTION("""COMPUTED_VALUE"""),3.413195438E9)</f>
        <v>3413195438</v>
      </c>
      <c r="J39" s="45">
        <f>IFERROR(__xludf.DUMMYFUNCTION("""COMPUTED_VALUE"""),3.413195438E9)</f>
        <v>3413195438</v>
      </c>
      <c r="K39" s="45" t="str">
        <f>IFERROR(__xludf.DUMMYFUNCTION("""COMPUTED_VALUE"""),"florchus_guerra@hotmail.com")</f>
        <v>florchus_guerra@hotmail.com</v>
      </c>
      <c r="L39" s="45" t="str">
        <f>IFERROR(__xludf.DUMMYFUNCTION("""COMPUTED_VALUE"""),"Femenino")</f>
        <v>Femenino</v>
      </c>
      <c r="M39" s="45" t="str">
        <f>IFERROR(__xludf.DUMMYFUNCTION("""COMPUTED_VALUE"""),"CVR")</f>
        <v>CVR</v>
      </c>
      <c r="N39" s="45" t="str">
        <f>IFERROR(__xludf.DUMMYFUNCTION("""COMPUTED_VALUE"""),"Femenino, Interior (Optimist)")</f>
        <v>Femenino, Interior (Optimist)</v>
      </c>
      <c r="O39" s="45" t="str">
        <f>IFERROR(__xludf.DUMMYFUNCTION("""COMPUTED_VALUE"""),"OPTIMIST PRINCIPIANTES")</f>
        <v>OPTIMIST PRINCIPIANTES</v>
      </c>
      <c r="P39" s="45"/>
      <c r="Q39" s="45">
        <f>IFERROR(__xludf.DUMMYFUNCTION("""COMPUTED_VALUE"""),4159.0)</f>
        <v>4159</v>
      </c>
      <c r="R39" s="45" t="str">
        <f>IFERROR(__xludf.DUMMYFUNCTION("""COMPUTED_VALUE"""),"FLECHA")</f>
        <v>FLECHA</v>
      </c>
      <c r="S39" s="45"/>
      <c r="T39" s="45"/>
      <c r="U39" s="45"/>
      <c r="V39" s="45"/>
      <c r="W39" s="45"/>
      <c r="X39" s="45"/>
      <c r="Y39" s="45"/>
      <c r="Z39" s="7" t="str">
        <f>IFERROR(__xludf.DUMMYFUNCTION("""COMPUTED_VALUE"""),"No")</f>
        <v>No</v>
      </c>
      <c r="AA39" s="7" t="str">
        <f>IFERROR(__xludf.DUMMYFUNCTION("""COMPUTED_VALUE"""),"Acepto")</f>
        <v>Acepto</v>
      </c>
      <c r="AB39" s="7" t="str">
        <f>IFERROR(__xludf.DUMMYFUNCTION("""COMPUTED_VALUE"""),"Terminado")</f>
        <v>Terminado</v>
      </c>
      <c r="AC39" s="7">
        <f>IFERROR(__xludf.DUMMYFUNCTION("""COMPUTED_VALUE"""),60000.0)</f>
        <v>60000</v>
      </c>
      <c r="AD39" s="7">
        <f>IFERROR(__xludf.DUMMYFUNCTION("""COMPUTED_VALUE"""),205358.0)</f>
        <v>205358</v>
      </c>
      <c r="AE39" s="7" t="str">
        <f>IFERROR(__xludf.DUMMYFUNCTION("""COMPUTED_VALUE"""),"TRF 31-08")</f>
        <v>TRF 31-08</v>
      </c>
      <c r="AF39" s="7" t="str">
        <f>IFERROR(__xludf.DUMMYFUNCTION("""COMPUTED_VALUE"""),"Pendiente")</f>
        <v>Pendiente</v>
      </c>
      <c r="AG39" s="45"/>
    </row>
    <row r="40" ht="15.75" customHeight="1">
      <c r="B40" s="42">
        <f>IFERROR(__xludf.DUMMYFUNCTION("""COMPUTED_VALUE"""),45535.59291368056)</f>
        <v>45535.59291</v>
      </c>
      <c r="C40" s="43" t="str">
        <f>IFERROR(__xludf.DUMMYFUNCTION("""COMPUTED_VALUE"""),"Sofía")</f>
        <v>Sofía</v>
      </c>
      <c r="D40" s="43" t="str">
        <f>IFERROR(__xludf.DUMMYFUNCTION("""COMPUTED_VALUE"""),"Guille")</f>
        <v>Guille</v>
      </c>
      <c r="E40" s="43" t="str">
        <f>IFERROR(__xludf.DUMMYFUNCTION("""COMPUTED_VALUE"""),"Zárate")</f>
        <v>Zárate</v>
      </c>
      <c r="F40" s="7" t="str">
        <f>IFERROR(__xludf.DUMMYFUNCTION("""COMPUTED_VALUE"""),"ARG")</f>
        <v>ARG</v>
      </c>
      <c r="G40" s="7">
        <f>IFERROR(__xludf.DUMMYFUNCTION("""COMPUTED_VALUE"""),5.4297764E7)</f>
        <v>54297764</v>
      </c>
      <c r="H40" s="44">
        <f>IFERROR(__xludf.DUMMYFUNCTION("""COMPUTED_VALUE"""),41886.0)</f>
        <v>41886</v>
      </c>
      <c r="I40" s="45">
        <f>IFERROR(__xludf.DUMMYFUNCTION("""COMPUTED_VALUE"""),3.487536965E9)</f>
        <v>3487536965</v>
      </c>
      <c r="J40" s="45">
        <f>IFERROR(__xludf.DUMMYFUNCTION("""COMPUTED_VALUE"""),3.487471784E9)</f>
        <v>3487471784</v>
      </c>
      <c r="K40" s="45" t="str">
        <f>IFERROR(__xludf.DUMMYFUNCTION("""COMPUTED_VALUE"""),"mcecih@hotmail.com")</f>
        <v>mcecih@hotmail.com</v>
      </c>
      <c r="L40" s="45" t="str">
        <f>IFERROR(__xludf.DUMMYFUNCTION("""COMPUTED_VALUE"""),"Femenino")</f>
        <v>Femenino</v>
      </c>
      <c r="M40" s="45" t="str">
        <f>IFERROR(__xludf.DUMMYFUNCTION("""COMPUTED_VALUE"""),"CNZ")</f>
        <v>CNZ</v>
      </c>
      <c r="N40" s="45" t="str">
        <f>IFERROR(__xludf.DUMMYFUNCTION("""COMPUTED_VALUE"""),"Interior (Optimist)")</f>
        <v>Interior (Optimist)</v>
      </c>
      <c r="O40" s="45" t="str">
        <f>IFERROR(__xludf.DUMMYFUNCTION("""COMPUTED_VALUE"""),"OPTIMIST PRINCIPIANTES")</f>
        <v>OPTIMIST PRINCIPIANTES</v>
      </c>
      <c r="P40" s="45"/>
      <c r="Q40" s="45">
        <f>IFERROR(__xludf.DUMMYFUNCTION("""COMPUTED_VALUE"""),4064.0)</f>
        <v>4064</v>
      </c>
      <c r="R40" s="45" t="str">
        <f>IFERROR(__xludf.DUMMYFUNCTION("""COMPUTED_VALUE"""),"CHINA")</f>
        <v>CHINA</v>
      </c>
      <c r="S40" s="45"/>
      <c r="T40" s="45"/>
      <c r="U40" s="45"/>
      <c r="V40" s="45"/>
      <c r="W40" s="45"/>
      <c r="X40" s="45"/>
      <c r="Y40" s="45" t="str">
        <f>IFERROR(__xludf.DUMMYFUNCTION("""COMPUTED_VALUE"""),"IOMA ")</f>
        <v>IOMA </v>
      </c>
      <c r="Z40" s="7" t="str">
        <f>IFERROR(__xludf.DUMMYFUNCTION("""COMPUTED_VALUE"""),"Si")</f>
        <v>Si</v>
      </c>
      <c r="AA40" s="7" t="str">
        <f>IFERROR(__xludf.DUMMYFUNCTION("""COMPUTED_VALUE"""),"Acepto")</f>
        <v>Acepto</v>
      </c>
      <c r="AB40" s="7" t="str">
        <f>IFERROR(__xludf.DUMMYFUNCTION("""COMPUTED_VALUE"""),"Terminado")</f>
        <v>Terminado</v>
      </c>
      <c r="AC40" s="7">
        <f>IFERROR(__xludf.DUMMYFUNCTION("""COMPUTED_VALUE"""),50000.0)</f>
        <v>50000</v>
      </c>
      <c r="AD40" s="7">
        <f>IFERROR(__xludf.DUMMYFUNCTION("""COMPUTED_VALUE"""),205337.0)</f>
        <v>205337</v>
      </c>
      <c r="AE40" s="7" t="str">
        <f>IFERROR(__xludf.DUMMYFUNCTION("""COMPUTED_VALUE"""),"TRF01-09")</f>
        <v>TRF01-09</v>
      </c>
      <c r="AF40" s="7" t="str">
        <f>IFERROR(__xludf.DUMMYFUNCTION("""COMPUTED_VALUE"""),"OK")</f>
        <v>OK</v>
      </c>
      <c r="AG40" s="45"/>
    </row>
    <row r="41" ht="15.75" customHeight="1">
      <c r="B41" s="42">
        <f>IFERROR(__xludf.DUMMYFUNCTION("""COMPUTED_VALUE"""),45540.55957469907)</f>
        <v>45540.55957</v>
      </c>
      <c r="C41" s="43" t="str">
        <f>IFERROR(__xludf.DUMMYFUNCTION("""COMPUTED_VALUE"""),"Marcos")</f>
        <v>Marcos</v>
      </c>
      <c r="D41" s="43" t="str">
        <f>IFERROR(__xludf.DUMMYFUNCTION("""COMPUTED_VALUE"""),"Heredia")</f>
        <v>Heredia</v>
      </c>
      <c r="E41" s="43" t="str">
        <f>IFERROR(__xludf.DUMMYFUNCTION("""COMPUTED_VALUE"""),"Buenos Aires")</f>
        <v>Buenos Aires</v>
      </c>
      <c r="F41" s="7" t="str">
        <f>IFERROR(__xludf.DUMMYFUNCTION("""COMPUTED_VALUE"""),"ARG")</f>
        <v>ARG</v>
      </c>
      <c r="G41" s="7">
        <f>IFERROR(__xludf.DUMMYFUNCTION("""COMPUTED_VALUE"""),5.3855489E7)</f>
        <v>53855489</v>
      </c>
      <c r="H41" s="44">
        <f>IFERROR(__xludf.DUMMYFUNCTION("""COMPUTED_VALUE"""),41725.0)</f>
        <v>41725</v>
      </c>
      <c r="I41" s="45" t="str">
        <f>IFERROR(__xludf.DUMMYFUNCTION("""COMPUTED_VALUE"""),"+5491161347543")</f>
        <v>+5491161347543</v>
      </c>
      <c r="J41" s="45" t="str">
        <f>IFERROR(__xludf.DUMMYFUNCTION("""COMPUTED_VALUE"""),"+5491161347543")</f>
        <v>+5491161347543</v>
      </c>
      <c r="K41" s="45" t="str">
        <f>IFERROR(__xludf.DUMMYFUNCTION("""COMPUTED_VALUE"""),"flotalaser@gmail.com")</f>
        <v>flotalaser@gmail.com</v>
      </c>
      <c r="L41" s="45" t="str">
        <f>IFERROR(__xludf.DUMMYFUNCTION("""COMPUTED_VALUE"""),"Masculino")</f>
        <v>Masculino</v>
      </c>
      <c r="M41" s="45" t="str">
        <f>IFERROR(__xludf.DUMMYFUNCTION("""COMPUTED_VALUE"""),"YCO")</f>
        <v>YCO</v>
      </c>
      <c r="N41" s="45"/>
      <c r="O41" s="45" t="str">
        <f>IFERROR(__xludf.DUMMYFUNCTION("""COMPUTED_VALUE"""),"OPTIMIST PRINCIPIANTES")</f>
        <v>OPTIMIST PRINCIPIANTES</v>
      </c>
      <c r="P41" s="45"/>
      <c r="Q41" s="45">
        <f>IFERROR(__xludf.DUMMYFUNCTION("""COMPUTED_VALUE"""),4011.0)</f>
        <v>4011</v>
      </c>
      <c r="R41" s="45"/>
      <c r="S41" s="45"/>
      <c r="T41" s="45"/>
      <c r="U41" s="45"/>
      <c r="V41" s="45"/>
      <c r="W41" s="45"/>
      <c r="X41" s="45"/>
      <c r="Y41" s="45" t="str">
        <f>IFERROR(__xludf.DUMMYFUNCTION("""COMPUTED_VALUE"""),"OSDE")</f>
        <v>OSDE</v>
      </c>
      <c r="Z41" s="7" t="str">
        <f>IFERROR(__xludf.DUMMYFUNCTION("""COMPUTED_VALUE"""),"Si")</f>
        <v>Si</v>
      </c>
      <c r="AA41" s="7" t="str">
        <f>IFERROR(__xludf.DUMMYFUNCTION("""COMPUTED_VALUE"""),"Acepto")</f>
        <v>Acepto</v>
      </c>
      <c r="AB41" s="7" t="str">
        <f>IFERROR(__xludf.DUMMYFUNCTION("""COMPUTED_VALUE"""),"Terminado")</f>
        <v>Terminado</v>
      </c>
      <c r="AC41" s="7">
        <f>IFERROR(__xludf.DUMMYFUNCTION("""COMPUTED_VALUE"""),50000.0)</f>
        <v>50000</v>
      </c>
      <c r="AD41" s="7">
        <f>IFERROR(__xludf.DUMMYFUNCTION("""COMPUTED_VALUE"""),205479.0)</f>
        <v>205479</v>
      </c>
      <c r="AE41" s="7" t="str">
        <f>IFERROR(__xludf.DUMMYFUNCTION("""COMPUTED_VALUE"""),"TRF 05-09")</f>
        <v>TRF 05-09</v>
      </c>
      <c r="AF41" s="7" t="str">
        <f>IFERROR(__xludf.DUMMYFUNCTION("""COMPUTED_VALUE"""),"Pendiente")</f>
        <v>Pendiente</v>
      </c>
      <c r="AG41" s="45"/>
    </row>
    <row r="42" ht="15.75" customHeight="1">
      <c r="B42" s="42">
        <f>IFERROR(__xludf.DUMMYFUNCTION("""COMPUTED_VALUE"""),45535.48876015046)</f>
        <v>45535.48876</v>
      </c>
      <c r="C42" s="43" t="str">
        <f>IFERROR(__xludf.DUMMYFUNCTION("""COMPUTED_VALUE"""),"Thaya")</f>
        <v>Thaya</v>
      </c>
      <c r="D42" s="43" t="str">
        <f>IFERROR(__xludf.DUMMYFUNCTION("""COMPUTED_VALUE"""),"Jaimovich Landeo")</f>
        <v>Jaimovich Landeo</v>
      </c>
      <c r="E42" s="43" t="str">
        <f>IFERROR(__xludf.DUMMYFUNCTION("""COMPUTED_VALUE"""),"CABA")</f>
        <v>CABA</v>
      </c>
      <c r="F42" s="7" t="str">
        <f>IFERROR(__xludf.DUMMYFUNCTION("""COMPUTED_VALUE"""),"ARG")</f>
        <v>ARG</v>
      </c>
      <c r="G42" s="7">
        <f>IFERROR(__xludf.DUMMYFUNCTION("""COMPUTED_VALUE"""),5.3236008E7)</f>
        <v>53236008</v>
      </c>
      <c r="H42" s="44">
        <f>IFERROR(__xludf.DUMMYFUNCTION("""COMPUTED_VALUE"""),41388.0)</f>
        <v>41388</v>
      </c>
      <c r="I42" s="45">
        <f>IFERROR(__xludf.DUMMYFUNCTION("""COMPUTED_VALUE"""),1.140883466E9)</f>
        <v>1140883466</v>
      </c>
      <c r="J42" s="45">
        <f>IFERROR(__xludf.DUMMYFUNCTION("""COMPUTED_VALUE"""),1.1658290733E10)</f>
        <v>11658290733</v>
      </c>
      <c r="K42" s="45" t="str">
        <f>IFERROR(__xludf.DUMMYFUNCTION("""COMPUTED_VALUE"""),"Damianjaimovichdrive@gmail.com")</f>
        <v>Damianjaimovichdrive@gmail.com</v>
      </c>
      <c r="L42" s="45" t="str">
        <f>IFERROR(__xludf.DUMMYFUNCTION("""COMPUTED_VALUE"""),"Femenino")</f>
        <v>Femenino</v>
      </c>
      <c r="M42" s="45" t="str">
        <f>IFERROR(__xludf.DUMMYFUNCTION("""COMPUTED_VALUE"""),"CPNLB")</f>
        <v>CPNLB</v>
      </c>
      <c r="N42" s="45" t="str">
        <f>IFERROR(__xludf.DUMMYFUNCTION("""COMPUTED_VALUE"""),"Femenino")</f>
        <v>Femenino</v>
      </c>
      <c r="O42" s="45" t="str">
        <f>IFERROR(__xludf.DUMMYFUNCTION("""COMPUTED_VALUE"""),"OPTIMIST PRINCIPIANTES")</f>
        <v>OPTIMIST PRINCIPIANTES</v>
      </c>
      <c r="P42" s="45"/>
      <c r="Q42" s="45">
        <f>IFERROR(__xludf.DUMMYFUNCTION("""COMPUTED_VALUE"""),2793.0)</f>
        <v>2793</v>
      </c>
      <c r="R42" s="45"/>
      <c r="S42" s="45"/>
      <c r="T42" s="45"/>
      <c r="U42" s="45"/>
      <c r="V42" s="45"/>
      <c r="W42" s="45"/>
      <c r="X42" s="45"/>
      <c r="Y42" s="45" t="str">
        <f>IFERROR(__xludf.DUMMYFUNCTION("""COMPUTED_VALUE"""),"Medicus 14084892001")</f>
        <v>Medicus 14084892001</v>
      </c>
      <c r="Z42" s="7" t="str">
        <f>IFERROR(__xludf.DUMMYFUNCTION("""COMPUTED_VALUE"""),"Si")</f>
        <v>Si</v>
      </c>
      <c r="AA42" s="7" t="str">
        <f>IFERROR(__xludf.DUMMYFUNCTION("""COMPUTED_VALUE"""),"Acepto")</f>
        <v>Acepto</v>
      </c>
      <c r="AB42" s="7" t="str">
        <f>IFERROR(__xludf.DUMMYFUNCTION("""COMPUTED_VALUE"""),"Terminado")</f>
        <v>Terminado</v>
      </c>
      <c r="AC42" s="7">
        <f>IFERROR(__xludf.DUMMYFUNCTION("""COMPUTED_VALUE"""),50000.0)</f>
        <v>50000</v>
      </c>
      <c r="AD42" s="7">
        <f>IFERROR(__xludf.DUMMYFUNCTION("""COMPUTED_VALUE"""),205157.0)</f>
        <v>205157</v>
      </c>
      <c r="AE42" s="7" t="str">
        <f>IFERROR(__xludf.DUMMYFUNCTION("""COMPUTED_VALUE"""),"TRF 31-08")</f>
        <v>TRF 31-08</v>
      </c>
      <c r="AF42" s="7" t="str">
        <f>IFERROR(__xludf.DUMMYFUNCTION("""COMPUTED_VALUE"""),"OK")</f>
        <v>OK</v>
      </c>
      <c r="AG42" s="45" t="str">
        <f>IFERROR(__xludf.DUMMYFUNCTION("""COMPUTED_VALUE"""),"SI")</f>
        <v>SI</v>
      </c>
    </row>
    <row r="43" ht="15.75" customHeight="1">
      <c r="B43" s="42">
        <f>IFERROR(__xludf.DUMMYFUNCTION("""COMPUTED_VALUE"""),45535.64085170139)</f>
        <v>45535.64085</v>
      </c>
      <c r="C43" s="43" t="str">
        <f>IFERROR(__xludf.DUMMYFUNCTION("""COMPUTED_VALUE"""),"Ciro")</f>
        <v>Ciro</v>
      </c>
      <c r="D43" s="43" t="str">
        <f>IFERROR(__xludf.DUMMYFUNCTION("""COMPUTED_VALUE"""),"Juan de Paz")</f>
        <v>Juan de Paz</v>
      </c>
      <c r="E43" s="43" t="str">
        <f>IFERROR(__xludf.DUMMYFUNCTION("""COMPUTED_VALUE"""),"Zarate")</f>
        <v>Zarate</v>
      </c>
      <c r="F43" s="7" t="str">
        <f>IFERROR(__xludf.DUMMYFUNCTION("""COMPUTED_VALUE"""),"ARG")</f>
        <v>ARG</v>
      </c>
      <c r="G43" s="7">
        <f>IFERROR(__xludf.DUMMYFUNCTION("""COMPUTED_VALUE"""),5.3595476E7)</f>
        <v>53595476</v>
      </c>
      <c r="H43" s="44">
        <f>IFERROR(__xludf.DUMMYFUNCTION("""COMPUTED_VALUE"""),41624.0)</f>
        <v>41624</v>
      </c>
      <c r="I43" s="45">
        <f>IFERROR(__xludf.DUMMYFUNCTION("""COMPUTED_VALUE"""),1.141749061E9)</f>
        <v>1141749061</v>
      </c>
      <c r="J43" s="45">
        <f>IFERROR(__xludf.DUMMYFUNCTION("""COMPUTED_VALUE"""),1.141749061E9)</f>
        <v>1141749061</v>
      </c>
      <c r="K43" s="45" t="str">
        <f>IFERROR(__xludf.DUMMYFUNCTION("""COMPUTED_VALUE"""),"Alejdepaz@hotmail.com")</f>
        <v>Alejdepaz@hotmail.com</v>
      </c>
      <c r="L43" s="45" t="str">
        <f>IFERROR(__xludf.DUMMYFUNCTION("""COMPUTED_VALUE"""),"Masculino")</f>
        <v>Masculino</v>
      </c>
      <c r="M43" s="45" t="str">
        <f>IFERROR(__xludf.DUMMYFUNCTION("""COMPUTED_VALUE"""),"CNZ")</f>
        <v>CNZ</v>
      </c>
      <c r="N43" s="45" t="str">
        <f>IFERROR(__xludf.DUMMYFUNCTION("""COMPUTED_VALUE"""),"Interior (Optimist)")</f>
        <v>Interior (Optimist)</v>
      </c>
      <c r="O43" s="45" t="str">
        <f>IFERROR(__xludf.DUMMYFUNCTION("""COMPUTED_VALUE"""),"OPTIMIST PRINCIPIANTES")</f>
        <v>OPTIMIST PRINCIPIANTES</v>
      </c>
      <c r="P43" s="45">
        <f>IFERROR(__xludf.DUMMYFUNCTION("""COMPUTED_VALUE"""),0.0)</f>
        <v>0</v>
      </c>
      <c r="Q43" s="45" t="str">
        <f>IFERROR(__xludf.DUMMYFUNCTION("""COMPUTED_VALUE"""),"ARG4053")</f>
        <v>ARG4053</v>
      </c>
      <c r="R43" s="45" t="str">
        <f>IFERROR(__xludf.DUMMYFUNCTION("""COMPUTED_VALUE"""),"Supra")</f>
        <v>Supra</v>
      </c>
      <c r="S43" s="45"/>
      <c r="T43" s="45"/>
      <c r="U43" s="45"/>
      <c r="V43" s="45"/>
      <c r="W43" s="45"/>
      <c r="X43" s="45"/>
      <c r="Y43" s="45"/>
      <c r="Z43" s="7" t="str">
        <f>IFERROR(__xludf.DUMMYFUNCTION("""COMPUTED_VALUE"""),"Si")</f>
        <v>Si</v>
      </c>
      <c r="AA43" s="7" t="str">
        <f>IFERROR(__xludf.DUMMYFUNCTION("""COMPUTED_VALUE"""),"Acepto")</f>
        <v>Acepto</v>
      </c>
      <c r="AB43" s="7" t="str">
        <f>IFERROR(__xludf.DUMMYFUNCTION("""COMPUTED_VALUE"""),"Terminado")</f>
        <v>Terminado</v>
      </c>
      <c r="AC43" s="7">
        <f>IFERROR(__xludf.DUMMYFUNCTION("""COMPUTED_VALUE"""),50000.0)</f>
        <v>50000</v>
      </c>
      <c r="AD43" s="7">
        <f>IFERROR(__xludf.DUMMYFUNCTION("""COMPUTED_VALUE"""),205380.0)</f>
        <v>205380</v>
      </c>
      <c r="AE43" s="7" t="str">
        <f>IFERROR(__xludf.DUMMYFUNCTION("""COMPUTED_VALUE"""),"TRF 02-09")</f>
        <v>TRF 02-09</v>
      </c>
      <c r="AF43" s="7" t="str">
        <f>IFERROR(__xludf.DUMMYFUNCTION("""COMPUTED_VALUE"""),"OK")</f>
        <v>OK</v>
      </c>
      <c r="AG43" s="45"/>
    </row>
    <row r="44" ht="15.75" customHeight="1">
      <c r="B44" s="42">
        <f>IFERROR(__xludf.DUMMYFUNCTION("""COMPUTED_VALUE"""),45531.43804915509)</f>
        <v>45531.43805</v>
      </c>
      <c r="C44" s="43" t="str">
        <f>IFERROR(__xludf.DUMMYFUNCTION("""COMPUTED_VALUE"""),"Tiziano")</f>
        <v>Tiziano</v>
      </c>
      <c r="D44" s="43" t="str">
        <f>IFERROR(__xludf.DUMMYFUNCTION("""COMPUTED_VALUE"""),"Laise")</f>
        <v>Laise</v>
      </c>
      <c r="E44" s="43" t="str">
        <f>IFERROR(__xludf.DUMMYFUNCTION("""COMPUTED_VALUE"""),"CABA")</f>
        <v>CABA</v>
      </c>
      <c r="F44" s="7" t="str">
        <f>IFERROR(__xludf.DUMMYFUNCTION("""COMPUTED_VALUE"""),"ARG")</f>
        <v>ARG</v>
      </c>
      <c r="G44" s="7">
        <f>IFERROR(__xludf.DUMMYFUNCTION("""COMPUTED_VALUE"""),5.3957972E7)</f>
        <v>53957972</v>
      </c>
      <c r="H44" s="44">
        <f>IFERROR(__xludf.DUMMYFUNCTION("""COMPUTED_VALUE"""),41776.0)</f>
        <v>41776</v>
      </c>
      <c r="I44" s="45">
        <f>IFERROR(__xludf.DUMMYFUNCTION("""COMPUTED_VALUE"""),1.140759121E9)</f>
        <v>1140759121</v>
      </c>
      <c r="J44" s="45">
        <f>IFERROR(__xludf.DUMMYFUNCTION("""COMPUTED_VALUE"""),1.140444113E9)</f>
        <v>1140444113</v>
      </c>
      <c r="K44" s="45" t="str">
        <f>IFERROR(__xludf.DUMMYFUNCTION("""COMPUTED_VALUE"""),"Andreafriedlander@hotmail.com")</f>
        <v>Andreafriedlander@hotmail.com</v>
      </c>
      <c r="L44" s="45" t="str">
        <f>IFERROR(__xludf.DUMMYFUNCTION("""COMPUTED_VALUE"""),"Masculino")</f>
        <v>Masculino</v>
      </c>
      <c r="M44" s="45" t="str">
        <f>IFERROR(__xludf.DUMMYFUNCTION("""COMPUTED_VALUE"""),"YCA")</f>
        <v>YCA</v>
      </c>
      <c r="N44" s="45"/>
      <c r="O44" s="45" t="str">
        <f>IFERROR(__xludf.DUMMYFUNCTION("""COMPUTED_VALUE"""),"OPTIMIST PRINCIPIANTES")</f>
        <v>OPTIMIST PRINCIPIANTES</v>
      </c>
      <c r="P44" s="45"/>
      <c r="Q44" s="45" t="str">
        <f>IFERROR(__xludf.DUMMYFUNCTION("""COMPUTED_VALUE"""),"ARG 3946")</f>
        <v>ARG 3946</v>
      </c>
      <c r="R44" s="45" t="str">
        <f>IFERROR(__xludf.DUMMYFUNCTION("""COMPUTED_VALUE"""),"Seductor")</f>
        <v>Seductor</v>
      </c>
      <c r="S44" s="45" t="str">
        <f>IFERROR(__xludf.DUMMYFUNCTION("""COMPUTED_VALUE"""),"Tiziano Laise")</f>
        <v>Tiziano Laise</v>
      </c>
      <c r="T44" s="45"/>
      <c r="U44" s="45"/>
      <c r="V44" s="45"/>
      <c r="W44" s="45"/>
      <c r="X44" s="45"/>
      <c r="Y44" s="45" t="str">
        <f>IFERROR(__xludf.DUMMYFUNCTION("""COMPUTED_VALUE"""),"OSDE 310")</f>
        <v>OSDE 310</v>
      </c>
      <c r="Z44" s="7" t="str">
        <f>IFERROR(__xludf.DUMMYFUNCTION("""COMPUTED_VALUE"""),"Si")</f>
        <v>Si</v>
      </c>
      <c r="AA44" s="7" t="str">
        <f>IFERROR(__xludf.DUMMYFUNCTION("""COMPUTED_VALUE"""),"Acepto")</f>
        <v>Acepto</v>
      </c>
      <c r="AB44" s="7" t="str">
        <f>IFERROR(__xludf.DUMMYFUNCTION("""COMPUTED_VALUE"""),"Terminado")</f>
        <v>Terminado</v>
      </c>
      <c r="AC44" s="7">
        <f>IFERROR(__xludf.DUMMYFUNCTION("""COMPUTED_VALUE"""),50000.0)</f>
        <v>50000</v>
      </c>
      <c r="AD44" s="7">
        <f>IFERROR(__xludf.DUMMYFUNCTION("""COMPUTED_VALUE"""),205055.0)</f>
        <v>205055</v>
      </c>
      <c r="AE44" s="7" t="str">
        <f>IFERROR(__xludf.DUMMYFUNCTION("""COMPUTED_VALUE"""),"TRF 27-08")</f>
        <v>TRF 27-08</v>
      </c>
      <c r="AF44" s="7" t="str">
        <f>IFERROR(__xludf.DUMMYFUNCTION("""COMPUTED_VALUE"""),"OK")</f>
        <v>OK</v>
      </c>
      <c r="AG44" s="45"/>
    </row>
    <row r="45" ht="15.75" customHeight="1">
      <c r="B45" s="42">
        <f>IFERROR(__xludf.DUMMYFUNCTION("""COMPUTED_VALUE"""),45531.79245790509)</f>
        <v>45531.79246</v>
      </c>
      <c r="C45" s="43" t="str">
        <f>IFERROR(__xludf.DUMMYFUNCTION("""COMPUTED_VALUE"""),"Agustin")</f>
        <v>Agustin</v>
      </c>
      <c r="D45" s="43" t="str">
        <f>IFERROR(__xludf.DUMMYFUNCTION("""COMPUTED_VALUE"""),"Lemos Viviant")</f>
        <v>Lemos Viviant</v>
      </c>
      <c r="E45" s="43" t="str">
        <f>IFERROR(__xludf.DUMMYFUNCTION("""COMPUTED_VALUE"""),"CABA")</f>
        <v>CABA</v>
      </c>
      <c r="F45" s="7" t="str">
        <f>IFERROR(__xludf.DUMMYFUNCTION("""COMPUTED_VALUE"""),"ARG")</f>
        <v>ARG</v>
      </c>
      <c r="G45" s="7">
        <f>IFERROR(__xludf.DUMMYFUNCTION("""COMPUTED_VALUE"""),2.0185318E7)</f>
        <v>20185318</v>
      </c>
      <c r="H45" s="44">
        <f>IFERROR(__xludf.DUMMYFUNCTION("""COMPUTED_VALUE"""),40754.0)</f>
        <v>40754</v>
      </c>
      <c r="I45" s="45">
        <f>IFERROR(__xludf.DUMMYFUNCTION("""COMPUTED_VALUE"""),1.122407512E9)</f>
        <v>1122407512</v>
      </c>
      <c r="J45" s="45" t="str">
        <f>IFERROR(__xludf.DUMMYFUNCTION("""COMPUTED_VALUE"""),"01122407512")</f>
        <v>01122407512</v>
      </c>
      <c r="K45" s="45" t="str">
        <f>IFERROR(__xludf.DUMMYFUNCTION("""COMPUTED_VALUE"""),"jlemos@cema.edu.ar")</f>
        <v>jlemos@cema.edu.ar</v>
      </c>
      <c r="L45" s="45" t="str">
        <f>IFERROR(__xludf.DUMMYFUNCTION("""COMPUTED_VALUE"""),"Masculino")</f>
        <v>Masculino</v>
      </c>
      <c r="M45" s="45" t="str">
        <f>IFERROR(__xludf.DUMMYFUNCTION("""COMPUTED_VALUE"""),"CVB")</f>
        <v>CVB</v>
      </c>
      <c r="N45" s="45" t="str">
        <f>IFERROR(__xludf.DUMMYFUNCTION("""COMPUTED_VALUE"""),"Interior (Optimist)")</f>
        <v>Interior (Optimist)</v>
      </c>
      <c r="O45" s="45" t="str">
        <f>IFERROR(__xludf.DUMMYFUNCTION("""COMPUTED_VALUE"""),"OPTIMIST PRINCIPIANTES")</f>
        <v>OPTIMIST PRINCIPIANTES</v>
      </c>
      <c r="P45" s="45"/>
      <c r="Q45" s="45">
        <f>IFERROR(__xludf.DUMMYFUNCTION("""COMPUTED_VALUE"""),3856.0)</f>
        <v>3856</v>
      </c>
      <c r="R45" s="45" t="str">
        <f>IFERROR(__xludf.DUMMYFUNCTION("""COMPUTED_VALUE"""),"Agustin lemos viviant")</f>
        <v>Agustin lemos viviant</v>
      </c>
      <c r="S45" s="45"/>
      <c r="T45" s="45"/>
      <c r="U45" s="45"/>
      <c r="V45" s="45"/>
      <c r="W45" s="45"/>
      <c r="X45" s="45"/>
      <c r="Y45" s="45" t="str">
        <f>IFERROR(__xludf.DUMMYFUNCTION("""COMPUTED_VALUE"""),"Swiss medical")</f>
        <v>Swiss medical</v>
      </c>
      <c r="Z45" s="7" t="str">
        <f>IFERROR(__xludf.DUMMYFUNCTION("""COMPUTED_VALUE"""),"Si")</f>
        <v>Si</v>
      </c>
      <c r="AA45" s="7" t="str">
        <f>IFERROR(__xludf.DUMMYFUNCTION("""COMPUTED_VALUE"""),"Acepto")</f>
        <v>Acepto</v>
      </c>
      <c r="AB45" s="7" t="str">
        <f>IFERROR(__xludf.DUMMYFUNCTION("""COMPUTED_VALUE"""),"Terminado")</f>
        <v>Terminado</v>
      </c>
      <c r="AC45" s="7">
        <f>IFERROR(__xludf.DUMMYFUNCTION("""COMPUTED_VALUE"""),50000.0)</f>
        <v>50000</v>
      </c>
      <c r="AD45" s="7">
        <f>IFERROR(__xludf.DUMMYFUNCTION("""COMPUTED_VALUE"""),205062.0)</f>
        <v>205062</v>
      </c>
      <c r="AE45" s="7" t="str">
        <f>IFERROR(__xludf.DUMMYFUNCTION("""COMPUTED_VALUE"""),"TRF 27-08")</f>
        <v>TRF 27-08</v>
      </c>
      <c r="AF45" s="7" t="str">
        <f>IFERROR(__xludf.DUMMYFUNCTION("""COMPUTED_VALUE"""),"OK")</f>
        <v>OK</v>
      </c>
      <c r="AG45" s="45" t="str">
        <f>IFERROR(__xludf.DUMMYFUNCTION("""COMPUTED_VALUE"""),"SI")</f>
        <v>SI</v>
      </c>
    </row>
    <row r="46" ht="15.75" customHeight="1">
      <c r="B46" s="42">
        <f>IFERROR(__xludf.DUMMYFUNCTION("""COMPUTED_VALUE"""),45536.57251096064)</f>
        <v>45536.57251</v>
      </c>
      <c r="C46" s="43" t="str">
        <f>IFERROR(__xludf.DUMMYFUNCTION("""COMPUTED_VALUE"""),"Felipe")</f>
        <v>Felipe</v>
      </c>
      <c r="D46" s="43" t="str">
        <f>IFERROR(__xludf.DUMMYFUNCTION("""COMPUTED_VALUE"""),"Lerner")</f>
        <v>Lerner</v>
      </c>
      <c r="E46" s="43" t="str">
        <f>IFERROR(__xludf.DUMMYFUNCTION("""COMPUTED_VALUE"""),"Buenos Aires")</f>
        <v>Buenos Aires</v>
      </c>
      <c r="F46" s="7" t="str">
        <f>IFERROR(__xludf.DUMMYFUNCTION("""COMPUTED_VALUE"""),"ARG")</f>
        <v>ARG</v>
      </c>
      <c r="G46" s="7">
        <f>IFERROR(__xludf.DUMMYFUNCTION("""COMPUTED_VALUE"""),5.0419847E7)</f>
        <v>50419847</v>
      </c>
      <c r="H46" s="44">
        <f>IFERROR(__xludf.DUMMYFUNCTION("""COMPUTED_VALUE"""),40408.0)</f>
        <v>40408</v>
      </c>
      <c r="I46" s="45">
        <f>IFERROR(__xludf.DUMMYFUNCTION("""COMPUTED_VALUE"""),1.155813709E9)</f>
        <v>1155813709</v>
      </c>
      <c r="J46" s="45">
        <f>IFERROR(__xludf.DUMMYFUNCTION("""COMPUTED_VALUE"""),1.136512492E9)</f>
        <v>1136512492</v>
      </c>
      <c r="K46" s="45" t="str">
        <f>IFERROR(__xludf.DUMMYFUNCTION("""COMPUTED_VALUE"""),"nitoler@gmail.com")</f>
        <v>nitoler@gmail.com</v>
      </c>
      <c r="L46" s="45" t="str">
        <f>IFERROR(__xludf.DUMMYFUNCTION("""COMPUTED_VALUE"""),"Masculino")</f>
        <v>Masculino</v>
      </c>
      <c r="M46" s="45" t="str">
        <f>IFERROR(__xludf.DUMMYFUNCTION("""COMPUTED_VALUE"""),"CNAz")</f>
        <v>CNAz</v>
      </c>
      <c r="N46" s="45" t="str">
        <f>IFERROR(__xludf.DUMMYFUNCTION("""COMPUTED_VALUE"""),"Interior (Optimist)")</f>
        <v>Interior (Optimist)</v>
      </c>
      <c r="O46" s="45" t="str">
        <f>IFERROR(__xludf.DUMMYFUNCTION("""COMPUTED_VALUE"""),"OPTIMIST PRINCIPIANTES")</f>
        <v>OPTIMIST PRINCIPIANTES</v>
      </c>
      <c r="P46" s="45"/>
      <c r="Q46" s="45">
        <f>IFERROR(__xludf.DUMMYFUNCTION("""COMPUTED_VALUE"""),3405.0)</f>
        <v>3405</v>
      </c>
      <c r="R46" s="45" t="str">
        <f>IFERROR(__xludf.DUMMYFUNCTION("""COMPUTED_VALUE"""),"VALTRIEK")</f>
        <v>VALTRIEK</v>
      </c>
      <c r="S46" s="45"/>
      <c r="T46" s="45"/>
      <c r="U46" s="45"/>
      <c r="V46" s="45"/>
      <c r="W46" s="45"/>
      <c r="X46" s="45"/>
      <c r="Y46" s="45" t="str">
        <f>IFERROR(__xludf.DUMMYFUNCTION("""COMPUTED_VALUE"""),"OSDE")</f>
        <v>OSDE</v>
      </c>
      <c r="Z46" s="7" t="str">
        <f>IFERROR(__xludf.DUMMYFUNCTION("""COMPUTED_VALUE"""),"Si")</f>
        <v>Si</v>
      </c>
      <c r="AA46" s="7" t="str">
        <f>IFERROR(__xludf.DUMMYFUNCTION("""COMPUTED_VALUE"""),"Acepto")</f>
        <v>Acepto</v>
      </c>
      <c r="AB46" s="7" t="str">
        <f>IFERROR(__xludf.DUMMYFUNCTION("""COMPUTED_VALUE"""),"Terminado")</f>
        <v>Terminado</v>
      </c>
      <c r="AC46" s="7">
        <f>IFERROR(__xludf.DUMMYFUNCTION("""COMPUTED_VALUE"""),50000.0)</f>
        <v>50000</v>
      </c>
      <c r="AD46" s="7">
        <f>IFERROR(__xludf.DUMMYFUNCTION("""COMPUTED_VALUE"""),205612.0)</f>
        <v>205612</v>
      </c>
      <c r="AE46" s="7" t="str">
        <f>IFERROR(__xludf.DUMMYFUNCTION("""COMPUTED_VALUE"""),"TRF 09-09")</f>
        <v>TRF 09-09</v>
      </c>
      <c r="AF46" s="7" t="str">
        <f>IFERROR(__xludf.DUMMYFUNCTION("""COMPUTED_VALUE"""),"OK")</f>
        <v>OK</v>
      </c>
      <c r="AG46" s="45"/>
    </row>
    <row r="47" ht="15.75" customHeight="1">
      <c r="B47" s="42">
        <f>IFERROR(__xludf.DUMMYFUNCTION("""COMPUTED_VALUE"""),45530.63979071759)</f>
        <v>45530.63979</v>
      </c>
      <c r="C47" s="43" t="str">
        <f>IFERROR(__xludf.DUMMYFUNCTION("""COMPUTED_VALUE"""),"JOAQUINA")</f>
        <v>JOAQUINA</v>
      </c>
      <c r="D47" s="43" t="str">
        <f>IFERROR(__xludf.DUMMYFUNCTION("""COMPUTED_VALUE"""),"LOUREYRO MORGENSTERN")</f>
        <v>LOUREYRO MORGENSTERN</v>
      </c>
      <c r="E47" s="43" t="str">
        <f>IFERROR(__xludf.DUMMYFUNCTION("""COMPUTED_VALUE"""),"NUÑEZ")</f>
        <v>NUÑEZ</v>
      </c>
      <c r="F47" s="7" t="str">
        <f>IFERROR(__xludf.DUMMYFUNCTION("""COMPUTED_VALUE"""),"ARG")</f>
        <v>ARG</v>
      </c>
      <c r="G47" s="7">
        <f>IFERROR(__xludf.DUMMYFUNCTION("""COMPUTED_VALUE"""),5.4383455E7)</f>
        <v>54383455</v>
      </c>
      <c r="H47" s="44">
        <f>IFERROR(__xludf.DUMMYFUNCTION("""COMPUTED_VALUE"""),41935.0)</f>
        <v>41935</v>
      </c>
      <c r="I47" s="45">
        <f>IFERROR(__xludf.DUMMYFUNCTION("""COMPUTED_VALUE"""),1.552210801E9)</f>
        <v>1552210801</v>
      </c>
      <c r="J47" s="45">
        <f>IFERROR(__xludf.DUMMYFUNCTION("""COMPUTED_VALUE"""),1.552210801E9)</f>
        <v>1552210801</v>
      </c>
      <c r="K47" s="45" t="str">
        <f>IFERROR(__xludf.DUMMYFUNCTION("""COMPUTED_VALUE"""),"laspenelopes2011@gmail.com")</f>
        <v>laspenelopes2011@gmail.com</v>
      </c>
      <c r="L47" s="45" t="str">
        <f>IFERROR(__xludf.DUMMYFUNCTION("""COMPUTED_VALUE"""),"Femenino")</f>
        <v>Femenino</v>
      </c>
      <c r="M47" s="45" t="str">
        <f>IFERROR(__xludf.DUMMYFUNCTION("""COMPUTED_VALUE"""),"CVB")</f>
        <v>CVB</v>
      </c>
      <c r="N47" s="45" t="str">
        <f>IFERROR(__xludf.DUMMYFUNCTION("""COMPUTED_VALUE"""),"Femenino")</f>
        <v>Femenino</v>
      </c>
      <c r="O47" s="45" t="str">
        <f>IFERROR(__xludf.DUMMYFUNCTION("""COMPUTED_VALUE"""),"OPTIMIST PRINCIPIANTES")</f>
        <v>OPTIMIST PRINCIPIANTES</v>
      </c>
      <c r="P47" s="45"/>
      <c r="Q47" s="45">
        <f>IFERROR(__xludf.DUMMYFUNCTION("""COMPUTED_VALUE"""),3431.0)</f>
        <v>3431</v>
      </c>
      <c r="R47" s="45" t="str">
        <f>IFERROR(__xludf.DUMMYFUNCTION("""COMPUTED_VALUE"""),"REMOLINO")</f>
        <v>REMOLINO</v>
      </c>
      <c r="S47" s="45"/>
      <c r="T47" s="45"/>
      <c r="U47" s="45"/>
      <c r="V47" s="45"/>
      <c r="W47" s="45"/>
      <c r="X47" s="45"/>
      <c r="Y47" s="45" t="str">
        <f>IFERROR(__xludf.DUMMYFUNCTION("""COMPUTED_VALUE"""),"OSDE CREDENCIAL 61758693304")</f>
        <v>OSDE CREDENCIAL 61758693304</v>
      </c>
      <c r="Z47" s="7" t="str">
        <f>IFERROR(__xludf.DUMMYFUNCTION("""COMPUTED_VALUE"""),"Si")</f>
        <v>Si</v>
      </c>
      <c r="AA47" s="7" t="str">
        <f>IFERROR(__xludf.DUMMYFUNCTION("""COMPUTED_VALUE"""),"Acepto")</f>
        <v>Acepto</v>
      </c>
      <c r="AB47" s="7" t="str">
        <f>IFERROR(__xludf.DUMMYFUNCTION("""COMPUTED_VALUE"""),"Terminado")</f>
        <v>Terminado</v>
      </c>
      <c r="AC47" s="7">
        <f>IFERROR(__xludf.DUMMYFUNCTION("""COMPUTED_VALUE"""),50000.0)</f>
        <v>50000</v>
      </c>
      <c r="AD47" s="7">
        <f>IFERROR(__xludf.DUMMYFUNCTION("""COMPUTED_VALUE"""),205071.0)</f>
        <v>205071</v>
      </c>
      <c r="AE47" s="7" t="str">
        <f>IFERROR(__xludf.DUMMYFUNCTION("""COMPUTED_VALUE"""),"TRF 28-08")</f>
        <v>TRF 28-08</v>
      </c>
      <c r="AF47" s="7" t="str">
        <f>IFERROR(__xludf.DUMMYFUNCTION("""COMPUTED_VALUE"""),"OK")</f>
        <v>OK</v>
      </c>
      <c r="AG47" s="45" t="str">
        <f>IFERROR(__xludf.DUMMYFUNCTION("""COMPUTED_VALUE"""),"SI")</f>
        <v>SI</v>
      </c>
    </row>
    <row r="48" ht="15.75" customHeight="1">
      <c r="B48" s="42">
        <f>IFERROR(__xludf.DUMMYFUNCTION("""COMPUTED_VALUE"""),45530.63520409723)</f>
        <v>45530.6352</v>
      </c>
      <c r="C48" s="43" t="str">
        <f>IFERROR(__xludf.DUMMYFUNCTION("""COMPUTED_VALUE"""),"Lorenzo Agustín")</f>
        <v>Lorenzo Agustín</v>
      </c>
      <c r="D48" s="43" t="str">
        <f>IFERROR(__xludf.DUMMYFUNCTION("""COMPUTED_VALUE"""),"Luzuriaga")</f>
        <v>Luzuriaga</v>
      </c>
      <c r="E48" s="43" t="str">
        <f>IFERROR(__xludf.DUMMYFUNCTION("""COMPUTED_VALUE"""),"CABA")</f>
        <v>CABA</v>
      </c>
      <c r="F48" s="7" t="str">
        <f>IFERROR(__xludf.DUMMYFUNCTION("""COMPUTED_VALUE"""),"ARG")</f>
        <v>ARG</v>
      </c>
      <c r="G48" s="7">
        <f>IFERROR(__xludf.DUMMYFUNCTION("""COMPUTED_VALUE"""),5.3412958E7)</f>
        <v>53412958</v>
      </c>
      <c r="H48" s="44">
        <f>IFERROR(__xludf.DUMMYFUNCTION("""COMPUTED_VALUE"""),41501.0)</f>
        <v>41501</v>
      </c>
      <c r="I48" s="45">
        <f>IFERROR(__xludf.DUMMYFUNCTION("""COMPUTED_VALUE"""),1.155882998E9)</f>
        <v>1155882998</v>
      </c>
      <c r="J48" s="45">
        <f>IFERROR(__xludf.DUMMYFUNCTION("""COMPUTED_VALUE"""),1.155882998E9)</f>
        <v>1155882998</v>
      </c>
      <c r="K48" s="45" t="str">
        <f>IFERROR(__xludf.DUMMYFUNCTION("""COMPUTED_VALUE"""),"matiasluzuriaga@gmail.com")</f>
        <v>matiasluzuriaga@gmail.com</v>
      </c>
      <c r="L48" s="45" t="str">
        <f>IFERROR(__xludf.DUMMYFUNCTION("""COMPUTED_VALUE"""),"Masculino")</f>
        <v>Masculino</v>
      </c>
      <c r="M48" s="45" t="str">
        <f>IFERROR(__xludf.DUMMYFUNCTION("""COMPUTED_VALUE"""),"CUBA")</f>
        <v>CUBA</v>
      </c>
      <c r="N48" s="45" t="str">
        <f>IFERROR(__xludf.DUMMYFUNCTION("""COMPUTED_VALUE"""),"Optimist Principiantes")</f>
        <v>Optimist Principiantes</v>
      </c>
      <c r="O48" s="45" t="str">
        <f>IFERROR(__xludf.DUMMYFUNCTION("""COMPUTED_VALUE"""),"OPTIMIST PRINCIPIANTES")</f>
        <v>OPTIMIST PRINCIPIANTES</v>
      </c>
      <c r="P48" s="45"/>
      <c r="Q48" s="45">
        <f>IFERROR(__xludf.DUMMYFUNCTION("""COMPUTED_VALUE"""),3749.0)</f>
        <v>3749</v>
      </c>
      <c r="R48" s="45" t="str">
        <f>IFERROR(__xludf.DUMMYFUNCTION("""COMPUTED_VALUE"""),"POLAR")</f>
        <v>POLAR</v>
      </c>
      <c r="S48" s="45" t="str">
        <f>IFERROR(__xludf.DUMMYFUNCTION("""COMPUTED_VALUE"""),"Lorenzo Agustín Luzuriaga")</f>
        <v>Lorenzo Agustín Luzuriaga</v>
      </c>
      <c r="T48" s="45"/>
      <c r="U48" s="45"/>
      <c r="V48" s="45"/>
      <c r="W48" s="45"/>
      <c r="X48" s="45"/>
      <c r="Y48" s="45" t="str">
        <f>IFERROR(__xludf.DUMMYFUNCTION("""COMPUTED_VALUE"""),"Accord Salud nº 00649274 020")</f>
        <v>Accord Salud nº 00649274 020</v>
      </c>
      <c r="Z48" s="7" t="str">
        <f>IFERROR(__xludf.DUMMYFUNCTION("""COMPUTED_VALUE"""),"Si")</f>
        <v>Si</v>
      </c>
      <c r="AA48" s="7" t="str">
        <f>IFERROR(__xludf.DUMMYFUNCTION("""COMPUTED_VALUE"""),"Acepto")</f>
        <v>Acepto</v>
      </c>
      <c r="AB48" s="7" t="str">
        <f>IFERROR(__xludf.DUMMYFUNCTION("""COMPUTED_VALUE"""),"Terminado")</f>
        <v>Terminado</v>
      </c>
      <c r="AC48" s="7">
        <f>IFERROR(__xludf.DUMMYFUNCTION("""COMPUTED_VALUE"""),60000.0)</f>
        <v>60000</v>
      </c>
      <c r="AD48" s="7">
        <f>IFERROR(__xludf.DUMMYFUNCTION("""COMPUTED_VALUE"""),205511.0)</f>
        <v>205511</v>
      </c>
      <c r="AE48" s="7" t="str">
        <f>IFERROR(__xludf.DUMMYFUNCTION("""COMPUTED_VALUE"""),"TRF 05-09")</f>
        <v>TRF 05-09</v>
      </c>
      <c r="AF48" s="7" t="str">
        <f>IFERROR(__xludf.DUMMYFUNCTION("""COMPUTED_VALUE"""),"OK")</f>
        <v>OK</v>
      </c>
      <c r="AG48" s="45"/>
    </row>
    <row r="49" ht="15.75" customHeight="1">
      <c r="B49" s="42">
        <f>IFERROR(__xludf.DUMMYFUNCTION("""COMPUTED_VALUE"""),45535.70011805555)</f>
        <v>45535.70012</v>
      </c>
      <c r="C49" s="43" t="str">
        <f>IFERROR(__xludf.DUMMYFUNCTION("""COMPUTED_VALUE"""),"Evangelina")</f>
        <v>Evangelina</v>
      </c>
      <c r="D49" s="43" t="str">
        <f>IFERROR(__xludf.DUMMYFUNCTION("""COMPUTED_VALUE"""),"Maeso")</f>
        <v>Maeso</v>
      </c>
      <c r="E49" s="43" t="str">
        <f>IFERROR(__xludf.DUMMYFUNCTION("""COMPUTED_VALUE"""),"Buenos Aires")</f>
        <v>Buenos Aires</v>
      </c>
      <c r="F49" s="7" t="str">
        <f>IFERROR(__xludf.DUMMYFUNCTION("""COMPUTED_VALUE"""),"ARG")</f>
        <v>ARG</v>
      </c>
      <c r="G49" s="7">
        <f>IFERROR(__xludf.DUMMYFUNCTION("""COMPUTED_VALUE"""),5.1069814E7)</f>
        <v>51069814</v>
      </c>
      <c r="H49" s="44">
        <f>IFERROR(__xludf.DUMMYFUNCTION("""COMPUTED_VALUE"""),40635.0)</f>
        <v>40635</v>
      </c>
      <c r="I49" s="45">
        <f>IFERROR(__xludf.DUMMYFUNCTION("""COMPUTED_VALUE"""),1.131501011E9)</f>
        <v>1131501011</v>
      </c>
      <c r="J49" s="45">
        <f>IFERROR(__xludf.DUMMYFUNCTION("""COMPUTED_VALUE"""),1.131501011E9)</f>
        <v>1131501011</v>
      </c>
      <c r="K49" s="45" t="str">
        <f>IFERROR(__xludf.DUMMYFUNCTION("""COMPUTED_VALUE"""),"Emiliastrunz@hotmail.com")</f>
        <v>Emiliastrunz@hotmail.com</v>
      </c>
      <c r="L49" s="45" t="str">
        <f>IFERROR(__xludf.DUMMYFUNCTION("""COMPUTED_VALUE"""),"Femenino")</f>
        <v>Femenino</v>
      </c>
      <c r="M49" s="45" t="str">
        <f>IFERROR(__xludf.DUMMYFUNCTION("""COMPUTED_VALUE"""),"CUBA")</f>
        <v>CUBA</v>
      </c>
      <c r="N49" s="45" t="str">
        <f>IFERROR(__xludf.DUMMYFUNCTION("""COMPUTED_VALUE"""),"Interior (Optimist)")</f>
        <v>Interior (Optimist)</v>
      </c>
      <c r="O49" s="45" t="str">
        <f>IFERROR(__xludf.DUMMYFUNCTION("""COMPUTED_VALUE"""),"OPTIMIST PRINCIPIANTES")</f>
        <v>OPTIMIST PRINCIPIANTES</v>
      </c>
      <c r="P49" s="45"/>
      <c r="Q49" s="45">
        <f>IFERROR(__xludf.DUMMYFUNCTION("""COMPUTED_VALUE"""),4091.0)</f>
        <v>4091</v>
      </c>
      <c r="R49" s="45"/>
      <c r="S49" s="45"/>
      <c r="T49" s="45"/>
      <c r="U49" s="45"/>
      <c r="V49" s="45"/>
      <c r="W49" s="45"/>
      <c r="X49" s="45"/>
      <c r="Y49" s="45">
        <f>IFERROR(__xludf.DUMMYFUNCTION("""COMPUTED_VALUE"""),6.1142218103E10)</f>
        <v>61142218103</v>
      </c>
      <c r="Z49" s="7" t="str">
        <f>IFERROR(__xludf.DUMMYFUNCTION("""COMPUTED_VALUE"""),"No")</f>
        <v>No</v>
      </c>
      <c r="AA49" s="7" t="str">
        <f>IFERROR(__xludf.DUMMYFUNCTION("""COMPUTED_VALUE"""),"Acepto")</f>
        <v>Acepto</v>
      </c>
      <c r="AB49" s="7" t="str">
        <f>IFERROR(__xludf.DUMMYFUNCTION("""COMPUTED_VALUE"""),"Terminado")</f>
        <v>Terminado</v>
      </c>
      <c r="AC49" s="7">
        <f>IFERROR(__xludf.DUMMYFUNCTION("""COMPUTED_VALUE"""),50000.0)</f>
        <v>50000</v>
      </c>
      <c r="AD49" s="7">
        <f>IFERROR(__xludf.DUMMYFUNCTION("""COMPUTED_VALUE"""),205366.0)</f>
        <v>205366</v>
      </c>
      <c r="AE49" s="7" t="str">
        <f>IFERROR(__xludf.DUMMYFUNCTION("""COMPUTED_VALUE"""),"TRF 31-08")</f>
        <v>TRF 31-08</v>
      </c>
      <c r="AF49" s="7" t="str">
        <f>IFERROR(__xludf.DUMMYFUNCTION("""COMPUTED_VALUE"""),"OK")</f>
        <v>OK</v>
      </c>
      <c r="AG49" s="45"/>
    </row>
    <row r="50" ht="15.75" customHeight="1">
      <c r="B50" s="42">
        <f>IFERROR(__xludf.DUMMYFUNCTION("""COMPUTED_VALUE"""),45535.97408208333)</f>
        <v>45535.97408</v>
      </c>
      <c r="C50" s="43" t="str">
        <f>IFERROR(__xludf.DUMMYFUNCTION("""COMPUTED_VALUE"""),"Maria Victoria")</f>
        <v>Maria Victoria</v>
      </c>
      <c r="D50" s="43" t="str">
        <f>IFERROR(__xludf.DUMMYFUNCTION("""COMPUTED_VALUE"""),"Maffei")</f>
        <v>Maffei</v>
      </c>
      <c r="E50" s="43" t="str">
        <f>IFERROR(__xludf.DUMMYFUNCTION("""COMPUTED_VALUE"""),"CABA")</f>
        <v>CABA</v>
      </c>
      <c r="F50" s="7" t="str">
        <f>IFERROR(__xludf.DUMMYFUNCTION("""COMPUTED_VALUE"""),"ARG")</f>
        <v>ARG</v>
      </c>
      <c r="G50" s="7">
        <f>IFERROR(__xludf.DUMMYFUNCTION("""COMPUTED_VALUE"""),5.244015E7)</f>
        <v>52440150</v>
      </c>
      <c r="H50" s="44">
        <f>IFERROR(__xludf.DUMMYFUNCTION("""COMPUTED_VALUE"""),41011.0)</f>
        <v>41011</v>
      </c>
      <c r="I50" s="45">
        <f>IFERROR(__xludf.DUMMYFUNCTION("""COMPUTED_VALUE"""),1.153638464E9)</f>
        <v>1153638464</v>
      </c>
      <c r="J50" s="45">
        <f>IFERROR(__xludf.DUMMYFUNCTION("""COMPUTED_VALUE"""),1.121894758E9)</f>
        <v>1121894758</v>
      </c>
      <c r="K50" s="45" t="str">
        <f>IFERROR(__xludf.DUMMYFUNCTION("""COMPUTED_VALUE"""),"dmemergencias@gmail.com")</f>
        <v>dmemergencias@gmail.com</v>
      </c>
      <c r="L50" s="45" t="str">
        <f>IFERROR(__xludf.DUMMYFUNCTION("""COMPUTED_VALUE"""),"Femenino")</f>
        <v>Femenino</v>
      </c>
      <c r="M50" s="45" t="str">
        <f>IFERROR(__xludf.DUMMYFUNCTION("""COMPUTED_VALUE"""),"CVB")</f>
        <v>CVB</v>
      </c>
      <c r="N50" s="45" t="str">
        <f>IFERROR(__xludf.DUMMYFUNCTION("""COMPUTED_VALUE"""),"Femenino")</f>
        <v>Femenino</v>
      </c>
      <c r="O50" s="45" t="str">
        <f>IFERROR(__xludf.DUMMYFUNCTION("""COMPUTED_VALUE"""),"OPTIMIST PRINCIPIANTES")</f>
        <v>OPTIMIST PRINCIPIANTES</v>
      </c>
      <c r="P50" s="45"/>
      <c r="Q50" s="45">
        <f>IFERROR(__xludf.DUMMYFUNCTION("""COMPUTED_VALUE"""),3950.0)</f>
        <v>3950</v>
      </c>
      <c r="R50" s="45"/>
      <c r="S50" s="45"/>
      <c r="T50" s="45"/>
      <c r="U50" s="45"/>
      <c r="V50" s="45"/>
      <c r="W50" s="45"/>
      <c r="X50" s="45"/>
      <c r="Y50" s="45" t="str">
        <f>IFERROR(__xludf.DUMMYFUNCTION("""COMPUTED_VALUE"""),"MEDICUS")</f>
        <v>MEDICUS</v>
      </c>
      <c r="Z50" s="7" t="str">
        <f>IFERROR(__xludf.DUMMYFUNCTION("""COMPUTED_VALUE"""),"No")</f>
        <v>No</v>
      </c>
      <c r="AA50" s="7" t="str">
        <f>IFERROR(__xludf.DUMMYFUNCTION("""COMPUTED_VALUE"""),"Acepto")</f>
        <v>Acepto</v>
      </c>
      <c r="AB50" s="7" t="str">
        <f>IFERROR(__xludf.DUMMYFUNCTION("""COMPUTED_VALUE"""),"Terminado")</f>
        <v>Terminado</v>
      </c>
      <c r="AC50" s="7">
        <f>IFERROR(__xludf.DUMMYFUNCTION("""COMPUTED_VALUE"""),50000.0)</f>
        <v>50000</v>
      </c>
      <c r="AD50" s="7">
        <f>IFERROR(__xludf.DUMMYFUNCTION("""COMPUTED_VALUE"""),205339.0)</f>
        <v>205339</v>
      </c>
      <c r="AE50" s="7" t="str">
        <f>IFERROR(__xludf.DUMMYFUNCTION("""COMPUTED_VALUE"""),"TRF 31-08")</f>
        <v>TRF 31-08</v>
      </c>
      <c r="AF50" s="7" t="str">
        <f>IFERROR(__xludf.DUMMYFUNCTION("""COMPUTED_VALUE"""),"OK")</f>
        <v>OK</v>
      </c>
      <c r="AG50" s="45" t="str">
        <f>IFERROR(__xludf.DUMMYFUNCTION("""COMPUTED_VALUE"""),"SI")</f>
        <v>SI</v>
      </c>
    </row>
    <row r="51" ht="15.75" customHeight="1">
      <c r="B51" s="42">
        <f>IFERROR(__xludf.DUMMYFUNCTION("""COMPUTED_VALUE"""),45538.81068623843)</f>
        <v>45538.81069</v>
      </c>
      <c r="C51" s="43" t="str">
        <f>IFERROR(__xludf.DUMMYFUNCTION("""COMPUTED_VALUE"""),"Francesco")</f>
        <v>Francesco</v>
      </c>
      <c r="D51" s="43" t="str">
        <f>IFERROR(__xludf.DUMMYFUNCTION("""COMPUTED_VALUE"""),"Maffei")</f>
        <v>Maffei</v>
      </c>
      <c r="E51" s="43" t="str">
        <f>IFERROR(__xludf.DUMMYFUNCTION("""COMPUTED_VALUE"""),"Buenos Aires")</f>
        <v>Buenos Aires</v>
      </c>
      <c r="F51" s="7" t="str">
        <f>IFERROR(__xludf.DUMMYFUNCTION("""COMPUTED_VALUE"""),"ARG")</f>
        <v>ARG</v>
      </c>
      <c r="G51" s="7">
        <f>IFERROR(__xludf.DUMMYFUNCTION("""COMPUTED_VALUE"""),5.4055585E7)</f>
        <v>54055585</v>
      </c>
      <c r="H51" s="44">
        <f>IFERROR(__xludf.DUMMYFUNCTION("""COMPUTED_VALUE"""),41801.0)</f>
        <v>41801</v>
      </c>
      <c r="I51" s="45">
        <f>IFERROR(__xludf.DUMMYFUNCTION("""COMPUTED_VALUE"""),1.159763843E9)</f>
        <v>1159763843</v>
      </c>
      <c r="J51" s="45">
        <f>IFERROR(__xludf.DUMMYFUNCTION("""COMPUTED_VALUE"""),1.1512611E9)</f>
        <v>1151261100</v>
      </c>
      <c r="K51" s="45" t="str">
        <f>IFERROR(__xludf.DUMMYFUNCTION("""COMPUTED_VALUE"""),"carinafarinelli@hotmail.com")</f>
        <v>carinafarinelli@hotmail.com</v>
      </c>
      <c r="L51" s="45" t="str">
        <f>IFERROR(__xludf.DUMMYFUNCTION("""COMPUTED_VALUE"""),"Masculino")</f>
        <v>Masculino</v>
      </c>
      <c r="M51" s="45" t="str">
        <f>IFERROR(__xludf.DUMMYFUNCTION("""COMPUTED_VALUE"""),"CPNLB")</f>
        <v>CPNLB</v>
      </c>
      <c r="N51" s="45" t="str">
        <f>IFERROR(__xludf.DUMMYFUNCTION("""COMPUTED_VALUE"""),"Sub 12")</f>
        <v>Sub 12</v>
      </c>
      <c r="O51" s="45" t="str">
        <f>IFERROR(__xludf.DUMMYFUNCTION("""COMPUTED_VALUE"""),"OPTIMIST PRINCIPIANTES")</f>
        <v>OPTIMIST PRINCIPIANTES</v>
      </c>
      <c r="P51" s="45"/>
      <c r="Q51" s="45">
        <f>IFERROR(__xludf.DUMMYFUNCTION("""COMPUTED_VALUE"""),3602.0)</f>
        <v>3602</v>
      </c>
      <c r="R51" s="45" t="str">
        <f>IFERROR(__xludf.DUMMYFUNCTION("""COMPUTED_VALUE"""),"Phoenixheart")</f>
        <v>Phoenixheart</v>
      </c>
      <c r="S51" s="45"/>
      <c r="T51" s="45"/>
      <c r="U51" s="45"/>
      <c r="V51" s="45"/>
      <c r="W51" s="45"/>
      <c r="X51" s="45"/>
      <c r="Y51" s="45" t="str">
        <f>IFERROR(__xludf.DUMMYFUNCTION("""COMPUTED_VALUE"""),"OSDE 310")</f>
        <v>OSDE 310</v>
      </c>
      <c r="Z51" s="7" t="str">
        <f>IFERROR(__xludf.DUMMYFUNCTION("""COMPUTED_VALUE"""),"Si")</f>
        <v>Si</v>
      </c>
      <c r="AA51" s="7" t="str">
        <f>IFERROR(__xludf.DUMMYFUNCTION("""COMPUTED_VALUE"""),"Acepto")</f>
        <v>Acepto</v>
      </c>
      <c r="AB51" s="7" t="str">
        <f>IFERROR(__xludf.DUMMYFUNCTION("""COMPUTED_VALUE"""),"Terminado")</f>
        <v>Terminado</v>
      </c>
      <c r="AC51" s="7">
        <f>IFERROR(__xludf.DUMMYFUNCTION("""COMPUTED_VALUE"""),50000.0)</f>
        <v>50000</v>
      </c>
      <c r="AD51" s="7">
        <f>IFERROR(__xludf.DUMMYFUNCTION("""COMPUTED_VALUE"""),205571.0)</f>
        <v>205571</v>
      </c>
      <c r="AE51" s="7" t="str">
        <f>IFERROR(__xludf.DUMMYFUNCTION("""COMPUTED_VALUE"""),"TRF 07-09")</f>
        <v>TRF 07-09</v>
      </c>
      <c r="AF51" s="7" t="str">
        <f>IFERROR(__xludf.DUMMYFUNCTION("""COMPUTED_VALUE"""),"OK")</f>
        <v>OK</v>
      </c>
      <c r="AG51" s="45" t="str">
        <f>IFERROR(__xludf.DUMMYFUNCTION("""COMPUTED_VALUE"""),"SI")</f>
        <v>SI</v>
      </c>
    </row>
    <row r="52" ht="15.75" customHeight="1">
      <c r="B52" s="42">
        <f>IFERROR(__xludf.DUMMYFUNCTION("""COMPUTED_VALUE"""),45533.836279375)</f>
        <v>45533.83628</v>
      </c>
      <c r="C52" s="43" t="str">
        <f>IFERROR(__xludf.DUMMYFUNCTION("""COMPUTED_VALUE"""),"Nicolás María ")</f>
        <v>Nicolás María </v>
      </c>
      <c r="D52" s="43" t="str">
        <f>IFERROR(__xludf.DUMMYFUNCTION("""COMPUTED_VALUE"""),"Marchegiani ")</f>
        <v>Marchegiani </v>
      </c>
      <c r="E52" s="43" t="str">
        <f>IFERROR(__xludf.DUMMYFUNCTION("""COMPUTED_VALUE"""),"Caba")</f>
        <v>Caba</v>
      </c>
      <c r="F52" s="7" t="str">
        <f>IFERROR(__xludf.DUMMYFUNCTION("""COMPUTED_VALUE"""),"ARG")</f>
        <v>ARG</v>
      </c>
      <c r="G52" s="7">
        <f>IFERROR(__xludf.DUMMYFUNCTION("""COMPUTED_VALUE"""),5.2445954E7)</f>
        <v>52445954</v>
      </c>
      <c r="H52" s="44">
        <f>IFERROR(__xludf.DUMMYFUNCTION("""COMPUTED_VALUE"""),41017.0)</f>
        <v>41017</v>
      </c>
      <c r="I52" s="45">
        <f>IFERROR(__xludf.DUMMYFUNCTION("""COMPUTED_VALUE"""),1.131991095E9)</f>
        <v>1131991095</v>
      </c>
      <c r="J52" s="45" t="str">
        <f>IFERROR(__xludf.DUMMYFUNCTION("""COMPUTED_VALUE"""),"+54 9 11 5601-3069")</f>
        <v>+54 9 11 5601-3069</v>
      </c>
      <c r="K52" s="45" t="str">
        <f>IFERROR(__xludf.DUMMYFUNCTION("""COMPUTED_VALUE"""),"emarchegiani@outlook.com")</f>
        <v>emarchegiani@outlook.com</v>
      </c>
      <c r="L52" s="45" t="str">
        <f>IFERROR(__xludf.DUMMYFUNCTION("""COMPUTED_VALUE"""),"Masculino")</f>
        <v>Masculino</v>
      </c>
      <c r="M52" s="45" t="str">
        <f>IFERROR(__xludf.DUMMYFUNCTION("""COMPUTED_VALUE"""),"YCA")</f>
        <v>YCA</v>
      </c>
      <c r="N52" s="45"/>
      <c r="O52" s="45" t="str">
        <f>IFERROR(__xludf.DUMMYFUNCTION("""COMPUTED_VALUE"""),"OPTIMIST PRINCIPIANTES")</f>
        <v>OPTIMIST PRINCIPIANTES</v>
      </c>
      <c r="P52" s="45"/>
      <c r="Q52" s="45">
        <f>IFERROR(__xludf.DUMMYFUNCTION("""COMPUTED_VALUE"""),3820.0)</f>
        <v>3820</v>
      </c>
      <c r="R52" s="45" t="str">
        <f>IFERROR(__xludf.DUMMYFUNCTION("""COMPUTED_VALUE"""),"Veloce")</f>
        <v>Veloce</v>
      </c>
      <c r="S52" s="45"/>
      <c r="T52" s="45"/>
      <c r="U52" s="45"/>
      <c r="V52" s="45"/>
      <c r="W52" s="45"/>
      <c r="X52" s="45"/>
      <c r="Y52" s="45" t="str">
        <f>IFERROR(__xludf.DUMMYFUNCTION("""COMPUTED_VALUE"""),"Plan Médico H.Aleman 530204942503 5 OI")</f>
        <v>Plan Médico H.Aleman 530204942503 5 OI</v>
      </c>
      <c r="Z52" s="7" t="str">
        <f>IFERROR(__xludf.DUMMYFUNCTION("""COMPUTED_VALUE"""),"No")</f>
        <v>No</v>
      </c>
      <c r="AA52" s="7" t="str">
        <f>IFERROR(__xludf.DUMMYFUNCTION("""COMPUTED_VALUE"""),"Acepto")</f>
        <v>Acepto</v>
      </c>
      <c r="AB52" s="7" t="str">
        <f>IFERROR(__xludf.DUMMYFUNCTION("""COMPUTED_VALUE"""),"Pendiente")</f>
        <v>Pendiente</v>
      </c>
      <c r="AC52" s="7"/>
      <c r="AD52" s="7"/>
      <c r="AE52" s="7"/>
      <c r="AF52" s="7" t="str">
        <f>IFERROR(__xludf.DUMMYFUNCTION("""COMPUTED_VALUE"""),"OK")</f>
        <v>OK</v>
      </c>
      <c r="AG52" s="45"/>
    </row>
    <row r="53">
      <c r="B53" s="42">
        <f>IFERROR(__xludf.DUMMYFUNCTION("""COMPUTED_VALUE"""),45533.42631243056)</f>
        <v>45533.42631</v>
      </c>
      <c r="C53" s="43" t="str">
        <f>IFERROR(__xludf.DUMMYFUNCTION("""COMPUTED_VALUE"""),"Eugenia")</f>
        <v>Eugenia</v>
      </c>
      <c r="D53" s="43" t="str">
        <f>IFERROR(__xludf.DUMMYFUNCTION("""COMPUTED_VALUE"""),"Mazzone")</f>
        <v>Mazzone</v>
      </c>
      <c r="E53" s="43" t="str">
        <f>IFERROR(__xludf.DUMMYFUNCTION("""COMPUTED_VALUE"""),"Quilmes")</f>
        <v>Quilmes</v>
      </c>
      <c r="F53" s="7" t="str">
        <f>IFERROR(__xludf.DUMMYFUNCTION("""COMPUTED_VALUE"""),"ARG")</f>
        <v>ARG</v>
      </c>
      <c r="G53" s="7">
        <f>IFERROR(__xludf.DUMMYFUNCTION("""COMPUTED_VALUE"""),4.9918962E7)</f>
        <v>49918962</v>
      </c>
      <c r="H53" s="44">
        <f>IFERROR(__xludf.DUMMYFUNCTION("""COMPUTED_VALUE"""),40119.0)</f>
        <v>40119</v>
      </c>
      <c r="I53" s="45" t="str">
        <f>IFERROR(__xludf.DUMMYFUNCTION("""COMPUTED_VALUE"""),"113055 3942")</f>
        <v>113055 3942</v>
      </c>
      <c r="J53" s="45" t="str">
        <f>IFERROR(__xludf.DUMMYFUNCTION("""COMPUTED_VALUE"""),"113055 3942")</f>
        <v>113055 3942</v>
      </c>
      <c r="K53" s="45" t="str">
        <f>IFERROR(__xludf.DUMMYFUNCTION("""COMPUTED_VALUE"""),"arianapro@hotmail.com")</f>
        <v>arianapro@hotmail.com</v>
      </c>
      <c r="L53" s="45" t="str">
        <f>IFERROR(__xludf.DUMMYFUNCTION("""COMPUTED_VALUE"""),"Femenino")</f>
        <v>Femenino</v>
      </c>
      <c r="M53" s="45" t="str">
        <f>IFERROR(__xludf.DUMMYFUNCTION("""COMPUTED_VALUE"""),"CNQ")</f>
        <v>CNQ</v>
      </c>
      <c r="N53" s="45" t="str">
        <f>IFERROR(__xludf.DUMMYFUNCTION("""COMPUTED_VALUE"""),"Femenino")</f>
        <v>Femenino</v>
      </c>
      <c r="O53" s="45" t="str">
        <f>IFERROR(__xludf.DUMMYFUNCTION("""COMPUTED_VALUE"""),"OPTIMIST PRINCIPIANTES")</f>
        <v>OPTIMIST PRINCIPIANTES</v>
      </c>
      <c r="P53" s="45"/>
      <c r="Q53" s="45">
        <f>IFERROR(__xludf.DUMMYFUNCTION("""COMPUTED_VALUE"""),3714.0)</f>
        <v>3714</v>
      </c>
      <c r="R53" s="45"/>
      <c r="S53" s="45"/>
      <c r="T53" s="45"/>
      <c r="U53" s="45"/>
      <c r="V53" s="45"/>
      <c r="W53" s="45"/>
      <c r="X53" s="45"/>
      <c r="Y53" s="45" t="str">
        <f>IFERROR(__xludf.DUMMYFUNCTION("""COMPUTED_VALUE"""),"Galeno ")</f>
        <v>Galeno </v>
      </c>
      <c r="Z53" s="7" t="str">
        <f>IFERROR(__xludf.DUMMYFUNCTION("""COMPUTED_VALUE"""),"Si")</f>
        <v>Si</v>
      </c>
      <c r="AA53" s="7" t="str">
        <f>IFERROR(__xludf.DUMMYFUNCTION("""COMPUTED_VALUE"""),"Acepto")</f>
        <v>Acepto</v>
      </c>
      <c r="AB53" s="7" t="str">
        <f>IFERROR(__xludf.DUMMYFUNCTION("""COMPUTED_VALUE"""),"Terminado")</f>
        <v>Terminado</v>
      </c>
      <c r="AC53" s="7">
        <f>IFERROR(__xludf.DUMMYFUNCTION("""COMPUTED_VALUE"""),50000.0)</f>
        <v>50000</v>
      </c>
      <c r="AD53" s="7">
        <f>IFERROR(__xludf.DUMMYFUNCTION("""COMPUTED_VALUE"""),205372.0)</f>
        <v>205372</v>
      </c>
      <c r="AE53" s="7" t="str">
        <f>IFERROR(__xludf.DUMMYFUNCTION("""COMPUTED_VALUE"""),"TRF 02-09")</f>
        <v>TRF 02-09</v>
      </c>
      <c r="AF53" s="7" t="str">
        <f>IFERROR(__xludf.DUMMYFUNCTION("""COMPUTED_VALUE"""),"OK")</f>
        <v>OK</v>
      </c>
      <c r="AG53" s="45" t="str">
        <f>IFERROR(__xludf.DUMMYFUNCTION("""COMPUTED_VALUE"""),"SI")</f>
        <v>SI</v>
      </c>
    </row>
    <row r="54">
      <c r="B54" s="42">
        <f>IFERROR(__xludf.DUMMYFUNCTION("""COMPUTED_VALUE"""),45532.53685788195)</f>
        <v>45532.53686</v>
      </c>
      <c r="C54" s="43" t="str">
        <f>IFERROR(__xludf.DUMMYFUNCTION("""COMPUTED_VALUE"""),"Bernarda")</f>
        <v>Bernarda</v>
      </c>
      <c r="D54" s="43" t="str">
        <f>IFERROR(__xludf.DUMMYFUNCTION("""COMPUTED_VALUE"""),"Mercerat")</f>
        <v>Mercerat</v>
      </c>
      <c r="E54" s="43" t="str">
        <f>IFERROR(__xludf.DUMMYFUNCTION("""COMPUTED_VALUE"""),"LA Plata")</f>
        <v>LA Plata</v>
      </c>
      <c r="F54" s="7" t="str">
        <f>IFERROR(__xludf.DUMMYFUNCTION("""COMPUTED_VALUE"""),"ARG")</f>
        <v>ARG</v>
      </c>
      <c r="G54" s="7">
        <f>IFERROR(__xludf.DUMMYFUNCTION("""COMPUTED_VALUE"""),5.2725071E7)</f>
        <v>52725071</v>
      </c>
      <c r="H54" s="44">
        <f>IFERROR(__xludf.DUMMYFUNCTION("""COMPUTED_VALUE"""),41200.0)</f>
        <v>41200</v>
      </c>
      <c r="I54" s="45">
        <f>IFERROR(__xludf.DUMMYFUNCTION("""COMPUTED_VALUE"""),1.125860224E9)</f>
        <v>1125860224</v>
      </c>
      <c r="J54" s="45">
        <f>IFERROR(__xludf.DUMMYFUNCTION("""COMPUTED_VALUE"""),1.125860224E9)</f>
        <v>1125860224</v>
      </c>
      <c r="K54" s="45" t="str">
        <f>IFERROR(__xludf.DUMMYFUNCTION("""COMPUTED_VALUE"""),"noeliafmartinez@gmail.com")</f>
        <v>noeliafmartinez@gmail.com</v>
      </c>
      <c r="L54" s="45" t="str">
        <f>IFERROR(__xludf.DUMMYFUNCTION("""COMPUTED_VALUE"""),"Femenino")</f>
        <v>Femenino</v>
      </c>
      <c r="M54" s="45" t="str">
        <f>IFERROR(__xludf.DUMMYFUNCTION("""COMPUTED_VALUE"""),"CRLP")</f>
        <v>CRLP</v>
      </c>
      <c r="N54" s="45" t="str">
        <f>IFERROR(__xludf.DUMMYFUNCTION("""COMPUTED_VALUE"""),"Femenino")</f>
        <v>Femenino</v>
      </c>
      <c r="O54" s="45" t="str">
        <f>IFERROR(__xludf.DUMMYFUNCTION("""COMPUTED_VALUE"""),"OPTIMIST PRINCIPIANTES")</f>
        <v>OPTIMIST PRINCIPIANTES</v>
      </c>
      <c r="P54" s="45"/>
      <c r="Q54" s="45">
        <f>IFERROR(__xludf.DUMMYFUNCTION("""COMPUTED_VALUE"""),2695.0)</f>
        <v>2695</v>
      </c>
      <c r="R54" s="45" t="str">
        <f>IFERROR(__xludf.DUMMYFUNCTION("""COMPUTED_VALUE"""),"Eternauta")</f>
        <v>Eternauta</v>
      </c>
      <c r="S54" s="45"/>
      <c r="T54" s="45"/>
      <c r="U54" s="45"/>
      <c r="V54" s="45"/>
      <c r="W54" s="45"/>
      <c r="X54" s="45"/>
      <c r="Y54" s="45" t="str">
        <f>IFERROR(__xludf.DUMMYFUNCTION("""COMPUTED_VALUE"""),"IOMA - 2271464756/02")</f>
        <v>IOMA - 2271464756/02</v>
      </c>
      <c r="Z54" s="7" t="str">
        <f>IFERROR(__xludf.DUMMYFUNCTION("""COMPUTED_VALUE"""),"Si")</f>
        <v>Si</v>
      </c>
      <c r="AA54" s="7" t="str">
        <f>IFERROR(__xludf.DUMMYFUNCTION("""COMPUTED_VALUE"""),"Acepto")</f>
        <v>Acepto</v>
      </c>
      <c r="AB54" s="7" t="str">
        <f>IFERROR(__xludf.DUMMYFUNCTION("""COMPUTED_VALUE"""),"Terminado")</f>
        <v>Terminado</v>
      </c>
      <c r="AC54" s="7">
        <f>IFERROR(__xludf.DUMMYFUNCTION("""COMPUTED_VALUE"""),60000.0)</f>
        <v>60000</v>
      </c>
      <c r="AD54" s="7">
        <f>IFERROR(__xludf.DUMMYFUNCTION("""COMPUTED_VALUE"""),205401.0)</f>
        <v>205401</v>
      </c>
      <c r="AE54" s="7" t="str">
        <f>IFERROR(__xludf.DUMMYFUNCTION("""COMPUTED_VALUE"""),"TRF02-09")</f>
        <v>TRF02-09</v>
      </c>
      <c r="AF54" s="7" t="str">
        <f>IFERROR(__xludf.DUMMYFUNCTION("""COMPUTED_VALUE"""),"OK")</f>
        <v>OK</v>
      </c>
      <c r="AG54" s="45"/>
    </row>
    <row r="55">
      <c r="B55" s="42">
        <f>IFERROR(__xludf.DUMMYFUNCTION("""COMPUTED_VALUE"""),45535.59046265046)</f>
        <v>45535.59046</v>
      </c>
      <c r="C55" s="43" t="str">
        <f>IFERROR(__xludf.DUMMYFUNCTION("""COMPUTED_VALUE"""),"Juan Francisco ")</f>
        <v>Juan Francisco </v>
      </c>
      <c r="D55" s="43" t="str">
        <f>IFERROR(__xludf.DUMMYFUNCTION("""COMPUTED_VALUE"""),"Mirey")</f>
        <v>Mirey</v>
      </c>
      <c r="E55" s="43" t="str">
        <f>IFERROR(__xludf.DUMMYFUNCTION("""COMPUTED_VALUE"""),"Zarate")</f>
        <v>Zarate</v>
      </c>
      <c r="F55" s="7" t="str">
        <f>IFERROR(__xludf.DUMMYFUNCTION("""COMPUTED_VALUE"""),"ARG")</f>
        <v>ARG</v>
      </c>
      <c r="G55" s="7">
        <f>IFERROR(__xludf.DUMMYFUNCTION("""COMPUTED_VALUE"""),5.3610165E7)</f>
        <v>53610165</v>
      </c>
      <c r="H55" s="44">
        <f>IFERROR(__xludf.DUMMYFUNCTION("""COMPUTED_VALUE"""),41594.0)</f>
        <v>41594</v>
      </c>
      <c r="I55" s="45" t="str">
        <f>IFERROR(__xludf.DUMMYFUNCTION("""COMPUTED_VALUE"""),"3487-308488")</f>
        <v>3487-308488</v>
      </c>
      <c r="J55" s="45" t="str">
        <f>IFERROR(__xludf.DUMMYFUNCTION("""COMPUTED_VALUE"""),"3487-308487")</f>
        <v>3487-308487</v>
      </c>
      <c r="K55" s="45" t="str">
        <f>IFERROR(__xludf.DUMMYFUNCTION("""COMPUTED_VALUE"""),"marcelomirey@hotmail.com")</f>
        <v>marcelomirey@hotmail.com</v>
      </c>
      <c r="L55" s="45" t="str">
        <f>IFERROR(__xludf.DUMMYFUNCTION("""COMPUTED_VALUE"""),"Masculino")</f>
        <v>Masculino</v>
      </c>
      <c r="M55" s="45" t="str">
        <f>IFERROR(__xludf.DUMMYFUNCTION("""COMPUTED_VALUE"""),"CNZ")</f>
        <v>CNZ</v>
      </c>
      <c r="N55" s="45"/>
      <c r="O55" s="45" t="str">
        <f>IFERROR(__xludf.DUMMYFUNCTION("""COMPUTED_VALUE"""),"OPTIMIST PRINCIPIANTES")</f>
        <v>OPTIMIST PRINCIPIANTES</v>
      </c>
      <c r="P55" s="45"/>
      <c r="Q55" s="45">
        <f>IFERROR(__xludf.DUMMYFUNCTION("""COMPUTED_VALUE"""),3538.0)</f>
        <v>3538</v>
      </c>
      <c r="R55" s="45" t="str">
        <f>IFERROR(__xludf.DUMMYFUNCTION("""COMPUTED_VALUE"""),"Infinito")</f>
        <v>Infinito</v>
      </c>
      <c r="S55" s="45"/>
      <c r="T55" s="45"/>
      <c r="U55" s="45"/>
      <c r="V55" s="45"/>
      <c r="W55" s="45"/>
      <c r="X55" s="45"/>
      <c r="Y55" s="45" t="str">
        <f>IFERROR(__xludf.DUMMYFUNCTION("""COMPUTED_VALUE"""),"COMEI 050863-03-7 ")</f>
        <v>COMEI 050863-03-7 </v>
      </c>
      <c r="Z55" s="7" t="str">
        <f>IFERROR(__xludf.DUMMYFUNCTION("""COMPUTED_VALUE"""),"Si")</f>
        <v>Si</v>
      </c>
      <c r="AA55" s="7" t="str">
        <f>IFERROR(__xludf.DUMMYFUNCTION("""COMPUTED_VALUE"""),"Acepto")</f>
        <v>Acepto</v>
      </c>
      <c r="AB55" s="7" t="str">
        <f>IFERROR(__xludf.DUMMYFUNCTION("""COMPUTED_VALUE"""),"Terminado")</f>
        <v>Terminado</v>
      </c>
      <c r="AC55" s="7">
        <f>IFERROR(__xludf.DUMMYFUNCTION("""COMPUTED_VALUE"""),50000.0)</f>
        <v>50000</v>
      </c>
      <c r="AD55" s="7">
        <f>IFERROR(__xludf.DUMMYFUNCTION("""COMPUTED_VALUE"""),205151.0)</f>
        <v>205151</v>
      </c>
      <c r="AE55" s="7" t="str">
        <f>IFERROR(__xludf.DUMMYFUNCTION("""COMPUTED_VALUE"""),"TRF 31-08")</f>
        <v>TRF 31-08</v>
      </c>
      <c r="AF55" s="7" t="str">
        <f>IFERROR(__xludf.DUMMYFUNCTION("""COMPUTED_VALUE"""),"OK")</f>
        <v>OK</v>
      </c>
      <c r="AG55" s="45"/>
    </row>
    <row r="56">
      <c r="B56" s="42">
        <f>IFERROR(__xludf.DUMMYFUNCTION("""COMPUTED_VALUE"""),45536.5266219676)</f>
        <v>45536.52662</v>
      </c>
      <c r="C56" s="43" t="str">
        <f>IFERROR(__xludf.DUMMYFUNCTION("""COMPUTED_VALUE"""),"Rafael")</f>
        <v>Rafael</v>
      </c>
      <c r="D56" s="43" t="str">
        <f>IFERROR(__xludf.DUMMYFUNCTION("""COMPUTED_VALUE"""),"Mones")</f>
        <v>Mones</v>
      </c>
      <c r="E56" s="43" t="str">
        <f>IFERROR(__xludf.DUMMYFUNCTION("""COMPUTED_VALUE"""),"Buenos Aires")</f>
        <v>Buenos Aires</v>
      </c>
      <c r="F56" s="7" t="str">
        <f>IFERROR(__xludf.DUMMYFUNCTION("""COMPUTED_VALUE"""),"ARG")</f>
        <v>ARG</v>
      </c>
      <c r="G56" s="7">
        <f>IFERROR(__xludf.DUMMYFUNCTION("""COMPUTED_VALUE"""),5.1723975E7)</f>
        <v>51723975</v>
      </c>
      <c r="H56" s="44">
        <f>IFERROR(__xludf.DUMMYFUNCTION("""COMPUTED_VALUE"""),41808.0)</f>
        <v>41808</v>
      </c>
      <c r="I56" s="45">
        <f>IFERROR(__xludf.DUMMYFUNCTION("""COMPUTED_VALUE"""),1.305793388E10)</f>
        <v>13057933880</v>
      </c>
      <c r="J56" s="45">
        <f>IFERROR(__xludf.DUMMYFUNCTION("""COMPUTED_VALUE"""),1.171632121E9)</f>
        <v>1171632121</v>
      </c>
      <c r="K56" s="45" t="str">
        <f>IFERROR(__xludf.DUMMYFUNCTION("""COMPUTED_VALUE"""),"Mones1050@gmail.com")</f>
        <v>Mones1050@gmail.com</v>
      </c>
      <c r="L56" s="45" t="str">
        <f>IFERROR(__xludf.DUMMYFUNCTION("""COMPUTED_VALUE"""),"Masculino")</f>
        <v>Masculino</v>
      </c>
      <c r="M56" s="45" t="str">
        <f>IFERROR(__xludf.DUMMYFUNCTION("""COMPUTED_VALUE"""),"YCA")</f>
        <v>YCA</v>
      </c>
      <c r="N56" s="45"/>
      <c r="O56" s="45" t="str">
        <f>IFERROR(__xludf.DUMMYFUNCTION("""COMPUTED_VALUE"""),"OPTIMIST PRINCIPIANTES")</f>
        <v>OPTIMIST PRINCIPIANTES</v>
      </c>
      <c r="P56" s="45"/>
      <c r="Q56" s="45">
        <f>IFERROR(__xludf.DUMMYFUNCTION("""COMPUTED_VALUE"""),4118.0)</f>
        <v>4118</v>
      </c>
      <c r="R56" s="45"/>
      <c r="S56" s="45"/>
      <c r="T56" s="45"/>
      <c r="U56" s="45"/>
      <c r="V56" s="45"/>
      <c r="W56" s="45"/>
      <c r="X56" s="45"/>
      <c r="Y56" s="45" t="str">
        <f>IFERROR(__xludf.DUMMYFUNCTION("""COMPUTED_VALUE"""),"Swiss Medical")</f>
        <v>Swiss Medical</v>
      </c>
      <c r="Z56" s="7" t="str">
        <f>IFERROR(__xludf.DUMMYFUNCTION("""COMPUTED_VALUE"""),"No")</f>
        <v>No</v>
      </c>
      <c r="AA56" s="7" t="str">
        <f>IFERROR(__xludf.DUMMYFUNCTION("""COMPUTED_VALUE"""),"Acepto")</f>
        <v>Acepto</v>
      </c>
      <c r="AB56" s="7" t="str">
        <f>IFERROR(__xludf.DUMMYFUNCTION("""COMPUTED_VALUE"""),"Terminado")</f>
        <v>Terminado</v>
      </c>
      <c r="AC56" s="7">
        <f>IFERROR(__xludf.DUMMYFUNCTION("""COMPUTED_VALUE"""),50000.0)</f>
        <v>50000</v>
      </c>
      <c r="AD56" s="7">
        <f>IFERROR(__xludf.DUMMYFUNCTION("""COMPUTED_VALUE"""),205385.0)</f>
        <v>205385</v>
      </c>
      <c r="AE56" s="7" t="str">
        <f>IFERROR(__xludf.DUMMYFUNCTION("""COMPUTED_VALUE"""),"TRF 02-09")</f>
        <v>TRF 02-09</v>
      </c>
      <c r="AF56" s="7" t="str">
        <f>IFERROR(__xludf.DUMMYFUNCTION("""COMPUTED_VALUE"""),"OK")</f>
        <v>OK</v>
      </c>
      <c r="AG56" s="45"/>
    </row>
    <row r="57">
      <c r="B57" s="42">
        <f>IFERROR(__xludf.DUMMYFUNCTION("""COMPUTED_VALUE"""),45535.850385729165)</f>
        <v>45535.85039</v>
      </c>
      <c r="C57" s="43" t="str">
        <f>IFERROR(__xludf.DUMMYFUNCTION("""COMPUTED_VALUE"""),"Carlota")</f>
        <v>Carlota</v>
      </c>
      <c r="D57" s="43" t="str">
        <f>IFERROR(__xludf.DUMMYFUNCTION("""COMPUTED_VALUE"""),"Moreno Cantillana")</f>
        <v>Moreno Cantillana</v>
      </c>
      <c r="E57" s="43" t="str">
        <f>IFERROR(__xludf.DUMMYFUNCTION("""COMPUTED_VALUE"""),"Buenos Aires")</f>
        <v>Buenos Aires</v>
      </c>
      <c r="F57" s="7" t="str">
        <f>IFERROR(__xludf.DUMMYFUNCTION("""COMPUTED_VALUE"""),"ARG")</f>
        <v>ARG</v>
      </c>
      <c r="G57" s="7">
        <f>IFERROR(__xludf.DUMMYFUNCTION("""COMPUTED_VALUE"""),9.5632462E7)</f>
        <v>95632462</v>
      </c>
      <c r="H57" s="44">
        <f>IFERROR(__xludf.DUMMYFUNCTION("""COMPUTED_VALUE"""),41462.0)</f>
        <v>41462</v>
      </c>
      <c r="I57" s="45">
        <f>IFERROR(__xludf.DUMMYFUNCTION("""COMPUTED_VALUE"""),1.16355946E9)</f>
        <v>1163559460</v>
      </c>
      <c r="J57" s="45">
        <f>IFERROR(__xludf.DUMMYFUNCTION("""COMPUTED_VALUE"""),1.139075016E9)</f>
        <v>1139075016</v>
      </c>
      <c r="K57" s="45" t="str">
        <f>IFERROR(__xludf.DUMMYFUNCTION("""COMPUTED_VALUE"""),"barbaracantillana@gmail.com")</f>
        <v>barbaracantillana@gmail.com</v>
      </c>
      <c r="L57" s="45" t="str">
        <f>IFERROR(__xludf.DUMMYFUNCTION("""COMPUTED_VALUE"""),"Femenino")</f>
        <v>Femenino</v>
      </c>
      <c r="M57" s="45" t="str">
        <f>IFERROR(__xludf.DUMMYFUNCTION("""COMPUTED_VALUE"""),"YCCN")</f>
        <v>YCCN</v>
      </c>
      <c r="N57" s="45" t="str">
        <f>IFERROR(__xludf.DUMMYFUNCTION("""COMPUTED_VALUE"""),"Femenino, Interior (Optimist)")</f>
        <v>Femenino, Interior (Optimist)</v>
      </c>
      <c r="O57" s="45" t="str">
        <f>IFERROR(__xludf.DUMMYFUNCTION("""COMPUTED_VALUE"""),"OPTIMIST PRINCIPIANTES")</f>
        <v>OPTIMIST PRINCIPIANTES</v>
      </c>
      <c r="P57" s="45"/>
      <c r="Q57" s="45">
        <f>IFERROR(__xludf.DUMMYFUNCTION("""COMPUTED_VALUE"""),4090.0)</f>
        <v>4090</v>
      </c>
      <c r="R57" s="45" t="str">
        <f>IFERROR(__xludf.DUMMYFUNCTION("""COMPUTED_VALUE"""),"Bala")</f>
        <v>Bala</v>
      </c>
      <c r="S57" s="45"/>
      <c r="T57" s="45"/>
      <c r="U57" s="45"/>
      <c r="V57" s="45"/>
      <c r="W57" s="45"/>
      <c r="X57" s="45"/>
      <c r="Y57" s="45">
        <f>IFERROR(__xludf.DUMMYFUNCTION("""COMPUTED_VALUE"""),6.2792242104E10)</f>
        <v>62792242104</v>
      </c>
      <c r="Z57" s="7" t="str">
        <f>IFERROR(__xludf.DUMMYFUNCTION("""COMPUTED_VALUE"""),"Si")</f>
        <v>Si</v>
      </c>
      <c r="AA57" s="7" t="str">
        <f>IFERROR(__xludf.DUMMYFUNCTION("""COMPUTED_VALUE"""),"Acepto")</f>
        <v>Acepto</v>
      </c>
      <c r="AB57" s="7" t="str">
        <f>IFERROR(__xludf.DUMMYFUNCTION("""COMPUTED_VALUE"""),"Terminado")</f>
        <v>Terminado</v>
      </c>
      <c r="AC57" s="7">
        <f>IFERROR(__xludf.DUMMYFUNCTION("""COMPUTED_VALUE"""),60000.0)</f>
        <v>60000</v>
      </c>
      <c r="AD57" s="7">
        <f>IFERROR(__xludf.DUMMYFUNCTION("""COMPUTED_VALUE"""),205356.0)</f>
        <v>205356</v>
      </c>
      <c r="AE57" s="7" t="str">
        <f>IFERROR(__xludf.DUMMYFUNCTION("""COMPUTED_VALUE"""),"TRF 02-09")</f>
        <v>TRF 02-09</v>
      </c>
      <c r="AF57" s="7" t="str">
        <f>IFERROR(__xludf.DUMMYFUNCTION("""COMPUTED_VALUE"""),"OK")</f>
        <v>OK</v>
      </c>
      <c r="AG57" s="45"/>
    </row>
    <row r="58">
      <c r="B58" s="42">
        <f>IFERROR(__xludf.DUMMYFUNCTION("""COMPUTED_VALUE"""),45537.540315254635)</f>
        <v>45537.54032</v>
      </c>
      <c r="C58" s="43" t="str">
        <f>IFERROR(__xludf.DUMMYFUNCTION("""COMPUTED_VALUE"""),"Michelle ")</f>
        <v>Michelle </v>
      </c>
      <c r="D58" s="43" t="str">
        <f>IFERROR(__xludf.DUMMYFUNCTION("""COMPUTED_VALUE"""),"Moriceau")</f>
        <v>Moriceau</v>
      </c>
      <c r="E58" s="43" t="str">
        <f>IFERROR(__xludf.DUMMYFUNCTION("""COMPUTED_VALUE"""),"Olivos ")</f>
        <v>Olivos </v>
      </c>
      <c r="F58" s="7" t="str">
        <f>IFERROR(__xludf.DUMMYFUNCTION("""COMPUTED_VALUE"""),"ARG")</f>
        <v>ARG</v>
      </c>
      <c r="G58" s="7">
        <f>IFERROR(__xludf.DUMMYFUNCTION("""COMPUTED_VALUE"""),5.4300994E7)</f>
        <v>54300994</v>
      </c>
      <c r="H58" s="44">
        <f>IFERROR(__xludf.DUMMYFUNCTION("""COMPUTED_VALUE"""),41915.0)</f>
        <v>41915</v>
      </c>
      <c r="I58" s="45">
        <f>IFERROR(__xludf.DUMMYFUNCTION("""COMPUTED_VALUE"""),1.156454666E9)</f>
        <v>1156454666</v>
      </c>
      <c r="J58" s="45">
        <f>IFERROR(__xludf.DUMMYFUNCTION("""COMPUTED_VALUE"""),1.156454666E9)</f>
        <v>1156454666</v>
      </c>
      <c r="K58" s="45" t="str">
        <f>IFERROR(__xludf.DUMMYFUNCTION("""COMPUTED_VALUE"""),"karengreniuk@gmail.com")</f>
        <v>karengreniuk@gmail.com</v>
      </c>
      <c r="L58" s="45" t="str">
        <f>IFERROR(__xludf.DUMMYFUNCTION("""COMPUTED_VALUE"""),"Femenino")</f>
        <v>Femenino</v>
      </c>
      <c r="M58" s="45" t="str">
        <f>IFERROR(__xludf.DUMMYFUNCTION("""COMPUTED_VALUE"""),"YCA")</f>
        <v>YCA</v>
      </c>
      <c r="N58" s="45" t="str">
        <f>IFERROR(__xludf.DUMMYFUNCTION("""COMPUTED_VALUE"""),"Femenino")</f>
        <v>Femenino</v>
      </c>
      <c r="O58" s="45" t="str">
        <f>IFERROR(__xludf.DUMMYFUNCTION("""COMPUTED_VALUE"""),"OPTIMIST PRINCIPIANTES")</f>
        <v>OPTIMIST PRINCIPIANTES</v>
      </c>
      <c r="P58" s="45"/>
      <c r="Q58" s="45">
        <f>IFERROR(__xludf.DUMMYFUNCTION("""COMPUTED_VALUE"""),3523.0)</f>
        <v>3523</v>
      </c>
      <c r="R58" s="45" t="str">
        <f>IFERROR(__xludf.DUMMYFUNCTION("""COMPUTED_VALUE"""),"Michirena")</f>
        <v>Michirena</v>
      </c>
      <c r="S58" s="45"/>
      <c r="T58" s="45"/>
      <c r="U58" s="45"/>
      <c r="V58" s="45"/>
      <c r="W58" s="45"/>
      <c r="X58" s="45"/>
      <c r="Y58" s="45" t="str">
        <f>IFERROR(__xludf.DUMMYFUNCTION("""COMPUTED_VALUE"""),"Medicus MC 14730220000")</f>
        <v>Medicus MC 14730220000</v>
      </c>
      <c r="Z58" s="7" t="str">
        <f>IFERROR(__xludf.DUMMYFUNCTION("""COMPUTED_VALUE"""),"No")</f>
        <v>No</v>
      </c>
      <c r="AA58" s="7" t="str">
        <f>IFERROR(__xludf.DUMMYFUNCTION("""COMPUTED_VALUE"""),"Acepto")</f>
        <v>Acepto</v>
      </c>
      <c r="AB58" s="7" t="str">
        <f>IFERROR(__xludf.DUMMYFUNCTION("""COMPUTED_VALUE"""),"Terminado")</f>
        <v>Terminado</v>
      </c>
      <c r="AC58" s="7">
        <f>IFERROR(__xludf.DUMMYFUNCTION("""COMPUTED_VALUE"""),50000.0)</f>
        <v>50000</v>
      </c>
      <c r="AD58" s="7">
        <f>IFERROR(__xludf.DUMMYFUNCTION("""COMPUTED_VALUE"""),205565.0)</f>
        <v>205565</v>
      </c>
      <c r="AE58" s="7" t="str">
        <f>IFERROR(__xludf.DUMMYFUNCTION("""COMPUTED_VALUE"""),"TRF 02-09")</f>
        <v>TRF 02-09</v>
      </c>
      <c r="AF58" s="7" t="str">
        <f>IFERROR(__xludf.DUMMYFUNCTION("""COMPUTED_VALUE"""),"Pendiente")</f>
        <v>Pendiente</v>
      </c>
      <c r="AG58" s="45"/>
    </row>
    <row r="59">
      <c r="B59" s="42">
        <f>IFERROR(__xludf.DUMMYFUNCTION("""COMPUTED_VALUE"""),45535.62656900463)</f>
        <v>45535.62657</v>
      </c>
      <c r="C59" s="43" t="str">
        <f>IFERROR(__xludf.DUMMYFUNCTION("""COMPUTED_VALUE"""),"Martín ")</f>
        <v>Martín </v>
      </c>
      <c r="D59" s="43" t="str">
        <f>IFERROR(__xludf.DUMMYFUNCTION("""COMPUTED_VALUE"""),"Mul")</f>
        <v>Mul</v>
      </c>
      <c r="E59" s="43" t="str">
        <f>IFERROR(__xludf.DUMMYFUNCTION("""COMPUTED_VALUE"""),"Zarate")</f>
        <v>Zarate</v>
      </c>
      <c r="F59" s="7" t="str">
        <f>IFERROR(__xludf.DUMMYFUNCTION("""COMPUTED_VALUE"""),"ARG")</f>
        <v>ARG</v>
      </c>
      <c r="G59" s="7">
        <f>IFERROR(__xludf.DUMMYFUNCTION("""COMPUTED_VALUE"""),5.3417016E7)</f>
        <v>53417016</v>
      </c>
      <c r="H59" s="44">
        <f>IFERROR(__xludf.DUMMYFUNCTION("""COMPUTED_VALUE"""),41536.0)</f>
        <v>41536</v>
      </c>
      <c r="I59" s="45">
        <f>IFERROR(__xludf.DUMMYFUNCTION("""COMPUTED_VALUE"""),3.487330394E9)</f>
        <v>3487330394</v>
      </c>
      <c r="J59" s="45"/>
      <c r="K59" s="45" t="str">
        <f>IFERROR(__xludf.DUMMYFUNCTION("""COMPUTED_VALUE"""),"Malala_18g@hotmail.com")</f>
        <v>Malala_18g@hotmail.com</v>
      </c>
      <c r="L59" s="45" t="str">
        <f>IFERROR(__xludf.DUMMYFUNCTION("""COMPUTED_VALUE"""),"Masculino")</f>
        <v>Masculino</v>
      </c>
      <c r="M59" s="45" t="str">
        <f>IFERROR(__xludf.DUMMYFUNCTION("""COMPUTED_VALUE"""),"CNZ")</f>
        <v>CNZ</v>
      </c>
      <c r="N59" s="45" t="str">
        <f>IFERROR(__xludf.DUMMYFUNCTION("""COMPUTED_VALUE"""),"Interior (Optimist)")</f>
        <v>Interior (Optimist)</v>
      </c>
      <c r="O59" s="45" t="str">
        <f>IFERROR(__xludf.DUMMYFUNCTION("""COMPUTED_VALUE"""),"OPTIMIST PRINCIPIANTES")</f>
        <v>OPTIMIST PRINCIPIANTES</v>
      </c>
      <c r="P59" s="45"/>
      <c r="Q59" s="45">
        <f>IFERROR(__xludf.DUMMYFUNCTION("""COMPUTED_VALUE"""),2865.0)</f>
        <v>2865</v>
      </c>
      <c r="R59" s="45" t="str">
        <f>IFERROR(__xludf.DUMMYFUNCTION("""COMPUTED_VALUE"""),"Rayo")</f>
        <v>Rayo</v>
      </c>
      <c r="S59" s="45"/>
      <c r="T59" s="45"/>
      <c r="U59" s="45"/>
      <c r="V59" s="45"/>
      <c r="W59" s="45"/>
      <c r="X59" s="45"/>
      <c r="Y59" s="45" t="str">
        <f>IFERROR(__xludf.DUMMYFUNCTION("""COMPUTED_VALUE"""),"Osdipp")</f>
        <v>Osdipp</v>
      </c>
      <c r="Z59" s="7" t="str">
        <f>IFERROR(__xludf.DUMMYFUNCTION("""COMPUTED_VALUE"""),"Si")</f>
        <v>Si</v>
      </c>
      <c r="AA59" s="7" t="str">
        <f>IFERROR(__xludf.DUMMYFUNCTION("""COMPUTED_VALUE"""),"Acepto")</f>
        <v>Acepto</v>
      </c>
      <c r="AB59" s="7" t="str">
        <f>IFERROR(__xludf.DUMMYFUNCTION("""COMPUTED_VALUE"""),"Terminado")</f>
        <v>Terminado</v>
      </c>
      <c r="AC59" s="7">
        <f>IFERROR(__xludf.DUMMYFUNCTION("""COMPUTED_VALUE"""),50000.0)</f>
        <v>50000</v>
      </c>
      <c r="AD59" s="7">
        <f>IFERROR(__xludf.DUMMYFUNCTION("""COMPUTED_VALUE"""),205357.0)</f>
        <v>205357</v>
      </c>
      <c r="AE59" s="7" t="str">
        <f>IFERROR(__xludf.DUMMYFUNCTION("""COMPUTED_VALUE"""),"TRF 31-08")</f>
        <v>TRF 31-08</v>
      </c>
      <c r="AF59" s="7" t="str">
        <f>IFERROR(__xludf.DUMMYFUNCTION("""COMPUTED_VALUE"""),"OK")</f>
        <v>OK</v>
      </c>
      <c r="AG59" s="45"/>
    </row>
    <row r="60">
      <c r="B60" s="42">
        <f>IFERROR(__xludf.DUMMYFUNCTION("""COMPUTED_VALUE"""),45535.516484155094)</f>
        <v>45535.51648</v>
      </c>
      <c r="C60" s="43" t="str">
        <f>IFERROR(__xludf.DUMMYFUNCTION("""COMPUTED_VALUE"""),"Olivia ")</f>
        <v>Olivia </v>
      </c>
      <c r="D60" s="43" t="str">
        <f>IFERROR(__xludf.DUMMYFUNCTION("""COMPUTED_VALUE"""),"MUSSEL")</f>
        <v>MUSSEL</v>
      </c>
      <c r="E60" s="43" t="str">
        <f>IFERROR(__xludf.DUMMYFUNCTION("""COMPUTED_VALUE"""),"CABA")</f>
        <v>CABA</v>
      </c>
      <c r="F60" s="7" t="str">
        <f>IFERROR(__xludf.DUMMYFUNCTION("""COMPUTED_VALUE"""),"ARG")</f>
        <v>ARG</v>
      </c>
      <c r="G60" s="7">
        <f>IFERROR(__xludf.DUMMYFUNCTION("""COMPUTED_VALUE"""),5.1269548E7)</f>
        <v>51269548</v>
      </c>
      <c r="H60" s="44">
        <f>IFERROR(__xludf.DUMMYFUNCTION("""COMPUTED_VALUE"""),40733.0)</f>
        <v>40733</v>
      </c>
      <c r="I60" s="45">
        <f>IFERROR(__xludf.DUMMYFUNCTION("""COMPUTED_VALUE"""),1.158303299E9)</f>
        <v>1158303299</v>
      </c>
      <c r="J60" s="45" t="str">
        <f>IFERROR(__xludf.DUMMYFUNCTION("""COMPUTED_VALUE"""),"01134640808")</f>
        <v>01134640808</v>
      </c>
      <c r="K60" s="45" t="str">
        <f>IFERROR(__xludf.DUMMYFUNCTION("""COMPUTED_VALUE"""),"mpakrause@gmail.com")</f>
        <v>mpakrause@gmail.com</v>
      </c>
      <c r="L60" s="45" t="str">
        <f>IFERROR(__xludf.DUMMYFUNCTION("""COMPUTED_VALUE"""),"Femenino")</f>
        <v>Femenino</v>
      </c>
      <c r="M60" s="45" t="str">
        <f>IFERROR(__xludf.DUMMYFUNCTION("""COMPUTED_VALUE"""),"CUBA")</f>
        <v>CUBA</v>
      </c>
      <c r="N60" s="45" t="str">
        <f>IFERROR(__xludf.DUMMYFUNCTION("""COMPUTED_VALUE"""),"Femenino, Interior (Optimist)")</f>
        <v>Femenino, Interior (Optimist)</v>
      </c>
      <c r="O60" s="45" t="str">
        <f>IFERROR(__xludf.DUMMYFUNCTION("""COMPUTED_VALUE"""),"OPTIMIST PRINCIPIANTES")</f>
        <v>OPTIMIST PRINCIPIANTES</v>
      </c>
      <c r="P60" s="45"/>
      <c r="Q60" s="45" t="str">
        <f>IFERROR(__xludf.DUMMYFUNCTION("""COMPUTED_VALUE"""),"ARG 4132")</f>
        <v>ARG 4132</v>
      </c>
      <c r="R60" s="45"/>
      <c r="S60" s="45"/>
      <c r="T60" s="45"/>
      <c r="U60" s="45"/>
      <c r="V60" s="45"/>
      <c r="W60" s="45"/>
      <c r="X60" s="45"/>
      <c r="Y60" s="45" t="str">
        <f>IFERROR(__xludf.DUMMYFUNCTION("""COMPUTED_VALUE"""),"Swis Medical Docthos ")</f>
        <v>Swis Medical Docthos </v>
      </c>
      <c r="Z60" s="7" t="str">
        <f>IFERROR(__xludf.DUMMYFUNCTION("""COMPUTED_VALUE"""),"No")</f>
        <v>No</v>
      </c>
      <c r="AA60" s="7" t="str">
        <f>IFERROR(__xludf.DUMMYFUNCTION("""COMPUTED_VALUE"""),"Acepto")</f>
        <v>Acepto</v>
      </c>
      <c r="AB60" s="7" t="str">
        <f>IFERROR(__xludf.DUMMYFUNCTION("""COMPUTED_VALUE"""),"Terminado")</f>
        <v>Terminado</v>
      </c>
      <c r="AC60" s="7">
        <f>IFERROR(__xludf.DUMMYFUNCTION("""COMPUTED_VALUE"""),60000.0)</f>
        <v>60000</v>
      </c>
      <c r="AD60" s="7">
        <f>IFERROR(__xludf.DUMMYFUNCTION("""COMPUTED_VALUE"""),205169.0)</f>
        <v>205169</v>
      </c>
      <c r="AE60" s="7" t="str">
        <f>IFERROR(__xludf.DUMMYFUNCTION("""COMPUTED_VALUE"""),"TRF 31-08")</f>
        <v>TRF 31-08</v>
      </c>
      <c r="AF60" s="7" t="str">
        <f>IFERROR(__xludf.DUMMYFUNCTION("""COMPUTED_VALUE"""),"OK")</f>
        <v>OK</v>
      </c>
      <c r="AG60" s="45"/>
    </row>
    <row r="61">
      <c r="B61" s="42">
        <f>IFERROR(__xludf.DUMMYFUNCTION("""COMPUTED_VALUE"""),45538.47825194444)</f>
        <v>45538.47825</v>
      </c>
      <c r="C61" s="43" t="str">
        <f>IFERROR(__xludf.DUMMYFUNCTION("""COMPUTED_VALUE"""),"Romeo")</f>
        <v>Romeo</v>
      </c>
      <c r="D61" s="43" t="str">
        <f>IFERROR(__xludf.DUMMYFUNCTION("""COMPUTED_VALUE"""),"Nieva Orellana")</f>
        <v>Nieva Orellana</v>
      </c>
      <c r="E61" s="43" t="str">
        <f>IFERROR(__xludf.DUMMYFUNCTION("""COMPUTED_VALUE"""),"San Isidro")</f>
        <v>San Isidro</v>
      </c>
      <c r="F61" s="7" t="str">
        <f>IFERROR(__xludf.DUMMYFUNCTION("""COMPUTED_VALUE"""),"ARG")</f>
        <v>ARG</v>
      </c>
      <c r="G61" s="7">
        <f>IFERROR(__xludf.DUMMYFUNCTION("""COMPUTED_VALUE"""),5.3825401E7)</f>
        <v>53825401</v>
      </c>
      <c r="H61" s="44">
        <f>IFERROR(__xludf.DUMMYFUNCTION("""COMPUTED_VALUE"""),41687.0)</f>
        <v>41687</v>
      </c>
      <c r="I61" s="45" t="str">
        <f>IFERROR(__xludf.DUMMYFUNCTION("""COMPUTED_VALUE"""),"+54 9 11 3394-3846")</f>
        <v>+54 9 11 3394-3846</v>
      </c>
      <c r="J61" s="45"/>
      <c r="K61" s="45" t="str">
        <f>IFERROR(__xludf.DUMMYFUNCTION("""COMPUTED_VALUE"""),"ignacio.varisco@gmail.com")</f>
        <v>ignacio.varisco@gmail.com</v>
      </c>
      <c r="L61" s="45" t="str">
        <f>IFERROR(__xludf.DUMMYFUNCTION("""COMPUTED_VALUE"""),"Masculino")</f>
        <v>Masculino</v>
      </c>
      <c r="M61" s="45" t="str">
        <f>IFERROR(__xludf.DUMMYFUNCTION("""COMPUTED_VALUE"""),"CPNLB- CBRIO")</f>
        <v>CPNLB- CBRIO</v>
      </c>
      <c r="N61" s="45"/>
      <c r="O61" s="45" t="str">
        <f>IFERROR(__xludf.DUMMYFUNCTION("""COMPUTED_VALUE"""),"OPTIMIST PRINCIPIANTES")</f>
        <v>OPTIMIST PRINCIPIANTES</v>
      </c>
      <c r="P61" s="45"/>
      <c r="Q61" s="45" t="str">
        <f>IFERROR(__xludf.DUMMYFUNCTION("""COMPUTED_VALUE"""),"USA 23061")</f>
        <v>USA 23061</v>
      </c>
      <c r="R61" s="45" t="str">
        <f>IFERROR(__xludf.DUMMYFUNCTION("""COMPUTED_VALUE"""),"Freddie")</f>
        <v>Freddie</v>
      </c>
      <c r="S61" s="45"/>
      <c r="T61" s="45"/>
      <c r="U61" s="45"/>
      <c r="V61" s="45"/>
      <c r="W61" s="45"/>
      <c r="X61" s="45"/>
      <c r="Y61" s="45"/>
      <c r="Z61" s="7" t="str">
        <f>IFERROR(__xludf.DUMMYFUNCTION("""COMPUTED_VALUE"""),"Si")</f>
        <v>Si</v>
      </c>
      <c r="AA61" s="7" t="str">
        <f>IFERROR(__xludf.DUMMYFUNCTION("""COMPUTED_VALUE"""),"Acepto")</f>
        <v>Acepto</v>
      </c>
      <c r="AB61" s="7" t="str">
        <f>IFERROR(__xludf.DUMMYFUNCTION("""COMPUTED_VALUE"""),"Terminado")</f>
        <v>Terminado</v>
      </c>
      <c r="AC61" s="7"/>
      <c r="AD61" s="7"/>
      <c r="AE61" s="7" t="str">
        <f>IFERROR(__xludf.DUMMYFUNCTION("""COMPUTED_VALUE"""),"Beca CBrrio")</f>
        <v>Beca CBrrio</v>
      </c>
      <c r="AF61" s="7" t="str">
        <f>IFERROR(__xludf.DUMMYFUNCTION("""COMPUTED_VALUE"""),"OK")</f>
        <v>OK</v>
      </c>
      <c r="AG61" s="45" t="str">
        <f>IFERROR(__xludf.DUMMYFUNCTION("""COMPUTED_VALUE"""),"SI")</f>
        <v>SI</v>
      </c>
    </row>
    <row r="62">
      <c r="B62" s="42">
        <f>IFERROR(__xludf.DUMMYFUNCTION("""COMPUTED_VALUE"""),45535.877351331015)</f>
        <v>45535.87735</v>
      </c>
      <c r="C62" s="43" t="str">
        <f>IFERROR(__xludf.DUMMYFUNCTION("""COMPUTED_VALUE"""),"Ignacio")</f>
        <v>Ignacio</v>
      </c>
      <c r="D62" s="43" t="str">
        <f>IFERROR(__xludf.DUMMYFUNCTION("""COMPUTED_VALUE"""),"Ojeda Lois")</f>
        <v>Ojeda Lois</v>
      </c>
      <c r="E62" s="43" t="str">
        <f>IFERROR(__xludf.DUMMYFUNCTION("""COMPUTED_VALUE"""),"Ciudad Autonoma de Buenos Aires")</f>
        <v>Ciudad Autonoma de Buenos Aires</v>
      </c>
      <c r="F62" s="7" t="str">
        <f>IFERROR(__xludf.DUMMYFUNCTION("""COMPUTED_VALUE"""),"ARG")</f>
        <v>ARG</v>
      </c>
      <c r="G62" s="7">
        <f>IFERROR(__xludf.DUMMYFUNCTION("""COMPUTED_VALUE"""),5.2697921E7)</f>
        <v>52697921</v>
      </c>
      <c r="H62" s="44">
        <f>IFERROR(__xludf.DUMMYFUNCTION("""COMPUTED_VALUE"""),41152.0)</f>
        <v>41152</v>
      </c>
      <c r="I62" s="45">
        <f>IFERROR(__xludf.DUMMYFUNCTION("""COMPUTED_VALUE"""),1.156244452E9)</f>
        <v>1156244452</v>
      </c>
      <c r="J62" s="45">
        <f>IFERROR(__xludf.DUMMYFUNCTION("""COMPUTED_VALUE"""),1.156244452E9)</f>
        <v>1156244452</v>
      </c>
      <c r="K62" s="45" t="str">
        <f>IFERROR(__xludf.DUMMYFUNCTION("""COMPUTED_VALUE"""),"ojeda.diego@gmail.com")</f>
        <v>ojeda.diego@gmail.com</v>
      </c>
      <c r="L62" s="45" t="str">
        <f>IFERROR(__xludf.DUMMYFUNCTION("""COMPUTED_VALUE"""),"Masculino")</f>
        <v>Masculino</v>
      </c>
      <c r="M62" s="45" t="str">
        <f>IFERROR(__xludf.DUMMYFUNCTION("""COMPUTED_VALUE"""),"YCCN")</f>
        <v>YCCN</v>
      </c>
      <c r="N62" s="45" t="str">
        <f>IFERROR(__xludf.DUMMYFUNCTION("""COMPUTED_VALUE"""),"Interior (Optimist)")</f>
        <v>Interior (Optimist)</v>
      </c>
      <c r="O62" s="45" t="str">
        <f>IFERROR(__xludf.DUMMYFUNCTION("""COMPUTED_VALUE"""),"OPTIMIST PRINCIPIANTES")</f>
        <v>OPTIMIST PRINCIPIANTES</v>
      </c>
      <c r="P62" s="45"/>
      <c r="Q62" s="45">
        <f>IFERROR(__xludf.DUMMYFUNCTION("""COMPUTED_VALUE"""),4076.0)</f>
        <v>4076</v>
      </c>
      <c r="R62" s="45" t="str">
        <f>IFERROR(__xludf.DUMMYFUNCTION("""COMPUTED_VALUE"""),"Camorrerito")</f>
        <v>Camorrerito</v>
      </c>
      <c r="S62" s="45"/>
      <c r="T62" s="45"/>
      <c r="U62" s="45"/>
      <c r="V62" s="45"/>
      <c r="W62" s="45"/>
      <c r="X62" s="45"/>
      <c r="Y62" s="45" t="str">
        <f>IFERROR(__xludf.DUMMYFUNCTION("""COMPUTED_VALUE"""),"OSDE410 60907365503")</f>
        <v>OSDE410 60907365503</v>
      </c>
      <c r="Z62" s="7" t="str">
        <f>IFERROR(__xludf.DUMMYFUNCTION("""COMPUTED_VALUE"""),"No")</f>
        <v>No</v>
      </c>
      <c r="AA62" s="7" t="str">
        <f>IFERROR(__xludf.DUMMYFUNCTION("""COMPUTED_VALUE"""),"Acepto")</f>
        <v>Acepto</v>
      </c>
      <c r="AB62" s="7" t="str">
        <f>IFERROR(__xludf.DUMMYFUNCTION("""COMPUTED_VALUE"""),"Terminado")</f>
        <v>Terminado</v>
      </c>
      <c r="AC62" s="7">
        <f>IFERROR(__xludf.DUMMYFUNCTION("""COMPUTED_VALUE"""),60000.0)</f>
        <v>60000</v>
      </c>
      <c r="AD62" s="7">
        <f>IFERROR(__xludf.DUMMYFUNCTION("""COMPUTED_VALUE"""),205343.0)</f>
        <v>205343</v>
      </c>
      <c r="AE62" s="7" t="str">
        <f>IFERROR(__xludf.DUMMYFUNCTION("""COMPUTED_VALUE"""),"TRF 31-08")</f>
        <v>TRF 31-08</v>
      </c>
      <c r="AF62" s="7" t="str">
        <f>IFERROR(__xludf.DUMMYFUNCTION("""COMPUTED_VALUE"""),"OK")</f>
        <v>OK</v>
      </c>
      <c r="AG62" s="45"/>
    </row>
    <row r="63">
      <c r="B63" s="42">
        <f>IFERROR(__xludf.DUMMYFUNCTION("""COMPUTED_VALUE"""),45534.89907944444)</f>
        <v>45534.89908</v>
      </c>
      <c r="C63" s="43" t="str">
        <f>IFERROR(__xludf.DUMMYFUNCTION("""COMPUTED_VALUE"""),"Ramiro")</f>
        <v>Ramiro</v>
      </c>
      <c r="D63" s="43" t="str">
        <f>IFERROR(__xludf.DUMMYFUNCTION("""COMPUTED_VALUE"""),"Padilla")</f>
        <v>Padilla</v>
      </c>
      <c r="E63" s="43" t="str">
        <f>IFERROR(__xludf.DUMMYFUNCTION("""COMPUTED_VALUE"""),"San Isidro")</f>
        <v>San Isidro</v>
      </c>
      <c r="F63" s="7" t="str">
        <f>IFERROR(__xludf.DUMMYFUNCTION("""COMPUTED_VALUE"""),"ARG")</f>
        <v>ARG</v>
      </c>
      <c r="G63" s="7">
        <f>IFERROR(__xludf.DUMMYFUNCTION("""COMPUTED_VALUE"""),5.35933E7)</f>
        <v>53593300</v>
      </c>
      <c r="H63" s="44">
        <f>IFERROR(__xludf.DUMMYFUNCTION("""COMPUTED_VALUE"""),41612.0)</f>
        <v>41612</v>
      </c>
      <c r="I63" s="45">
        <f>IFERROR(__xludf.DUMMYFUNCTION("""COMPUTED_VALUE"""),1.162446486E9)</f>
        <v>1162446486</v>
      </c>
      <c r="J63" s="45">
        <f>IFERROR(__xludf.DUMMYFUNCTION("""COMPUTED_VALUE"""),1.130070219E9)</f>
        <v>1130070219</v>
      </c>
      <c r="K63" s="45" t="str">
        <f>IFERROR(__xludf.DUMMYFUNCTION("""COMPUTED_VALUE"""),"javierignaciopadilla@gmail.com")</f>
        <v>javierignaciopadilla@gmail.com</v>
      </c>
      <c r="L63" s="45" t="str">
        <f>IFERROR(__xludf.DUMMYFUNCTION("""COMPUTED_VALUE"""),"Masculino")</f>
        <v>Masculino</v>
      </c>
      <c r="M63" s="45" t="str">
        <f>IFERROR(__xludf.DUMMYFUNCTION("""COMPUTED_VALUE"""),"CNSI")</f>
        <v>CNSI</v>
      </c>
      <c r="N63" s="45"/>
      <c r="O63" s="45" t="str">
        <f>IFERROR(__xludf.DUMMYFUNCTION("""COMPUTED_VALUE"""),"OPTIMIST PRINCIPIANTES")</f>
        <v>OPTIMIST PRINCIPIANTES</v>
      </c>
      <c r="P63" s="45"/>
      <c r="Q63" s="45">
        <f>IFERROR(__xludf.DUMMYFUNCTION("""COMPUTED_VALUE"""),3579.0)</f>
        <v>3579</v>
      </c>
      <c r="R63" s="45" t="str">
        <f>IFERROR(__xludf.DUMMYFUNCTION("""COMPUTED_VALUE"""),"AQUA")</f>
        <v>AQUA</v>
      </c>
      <c r="S63" s="45"/>
      <c r="T63" s="45"/>
      <c r="U63" s="45"/>
      <c r="V63" s="45"/>
      <c r="W63" s="45"/>
      <c r="X63" s="45"/>
      <c r="Y63" s="45">
        <f>IFERROR(__xludf.DUMMYFUNCTION("""COMPUTED_VALUE"""),6.1728138504E10)</f>
        <v>61728138504</v>
      </c>
      <c r="Z63" s="7" t="str">
        <f>IFERROR(__xludf.DUMMYFUNCTION("""COMPUTED_VALUE"""),"No")</f>
        <v>No</v>
      </c>
      <c r="AA63" s="7" t="str">
        <f>IFERROR(__xludf.DUMMYFUNCTION("""COMPUTED_VALUE"""),"Acepto")</f>
        <v>Acepto</v>
      </c>
      <c r="AB63" s="7" t="str">
        <f>IFERROR(__xludf.DUMMYFUNCTION("""COMPUTED_VALUE"""),"Terminado")</f>
        <v>Terminado</v>
      </c>
      <c r="AC63" s="7">
        <f>IFERROR(__xludf.DUMMYFUNCTION("""COMPUTED_VALUE"""),50000.0)</f>
        <v>50000</v>
      </c>
      <c r="AD63" s="7">
        <f>IFERROR(__xludf.DUMMYFUNCTION("""COMPUTED_VALUE"""),205135.0)</f>
        <v>205135</v>
      </c>
      <c r="AE63" s="7" t="str">
        <f>IFERROR(__xludf.DUMMYFUNCTION("""COMPUTED_VALUE"""),"TRF 30-08")</f>
        <v>TRF 30-08</v>
      </c>
      <c r="AF63" s="7" t="str">
        <f>IFERROR(__xludf.DUMMYFUNCTION("""COMPUTED_VALUE"""),"OK")</f>
        <v>OK</v>
      </c>
      <c r="AG63" s="45"/>
    </row>
    <row r="64">
      <c r="B64" s="42">
        <f>IFERROR(__xludf.DUMMYFUNCTION("""COMPUTED_VALUE"""),45537.40147283565)</f>
        <v>45537.40147</v>
      </c>
      <c r="C64" s="43" t="str">
        <f>IFERROR(__xludf.DUMMYFUNCTION("""COMPUTED_VALUE"""),"Tintin")</f>
        <v>Tintin</v>
      </c>
      <c r="D64" s="43" t="str">
        <f>IFERROR(__xludf.DUMMYFUNCTION("""COMPUTED_VALUE"""),"Panasci")</f>
        <v>Panasci</v>
      </c>
      <c r="E64" s="43" t="str">
        <f>IFERROR(__xludf.DUMMYFUNCTION("""COMPUTED_VALUE"""),"caba")</f>
        <v>caba</v>
      </c>
      <c r="F64" s="7" t="str">
        <f>IFERROR(__xludf.DUMMYFUNCTION("""COMPUTED_VALUE"""),"ARG")</f>
        <v>ARG</v>
      </c>
      <c r="G64" s="7">
        <f>IFERROR(__xludf.DUMMYFUNCTION("""COMPUTED_VALUE"""),5.462732E7)</f>
        <v>54627320</v>
      </c>
      <c r="H64" s="44">
        <f>IFERROR(__xludf.DUMMYFUNCTION("""COMPUTED_VALUE"""),42249.0)</f>
        <v>42249</v>
      </c>
      <c r="I64" s="45">
        <f>IFERROR(__xludf.DUMMYFUNCTION("""COMPUTED_VALUE"""),1.162296144E9)</f>
        <v>1162296144</v>
      </c>
      <c r="J64" s="45">
        <f>IFERROR(__xludf.DUMMYFUNCTION("""COMPUTED_VALUE"""),1.162292995E9)</f>
        <v>1162292995</v>
      </c>
      <c r="K64" s="45" t="str">
        <f>IFERROR(__xludf.DUMMYFUNCTION("""COMPUTED_VALUE"""),"cristinadubra@gmail.com")</f>
        <v>cristinadubra@gmail.com</v>
      </c>
      <c r="L64" s="45" t="str">
        <f>IFERROR(__xludf.DUMMYFUNCTION("""COMPUTED_VALUE"""),"Masculino")</f>
        <v>Masculino</v>
      </c>
      <c r="M64" s="45" t="str">
        <f>IFERROR(__xludf.DUMMYFUNCTION("""COMPUTED_VALUE"""),"CUBA")</f>
        <v>CUBA</v>
      </c>
      <c r="N64" s="45"/>
      <c r="O64" s="45" t="str">
        <f>IFERROR(__xludf.DUMMYFUNCTION("""COMPUTED_VALUE"""),"OPTIMIST PRINCIPIANTES")</f>
        <v>OPTIMIST PRINCIPIANTES</v>
      </c>
      <c r="P64" s="45"/>
      <c r="Q64" s="45">
        <f>IFERROR(__xludf.DUMMYFUNCTION("""COMPUTED_VALUE"""),3603.0)</f>
        <v>3603</v>
      </c>
      <c r="R64" s="45"/>
      <c r="S64" s="45"/>
      <c r="T64" s="45"/>
      <c r="U64" s="45"/>
      <c r="V64" s="45"/>
      <c r="W64" s="45"/>
      <c r="X64" s="45"/>
      <c r="Y64" s="45" t="str">
        <f>IFERROR(__xludf.DUMMYFUNCTION("""COMPUTED_VALUE"""),"0447732 05 1034")</f>
        <v>0447732 05 1034</v>
      </c>
      <c r="Z64" s="7" t="str">
        <f>IFERROR(__xludf.DUMMYFUNCTION("""COMPUTED_VALUE"""),"No")</f>
        <v>No</v>
      </c>
      <c r="AA64" s="7" t="str">
        <f>IFERROR(__xludf.DUMMYFUNCTION("""COMPUTED_VALUE"""),"Acepto")</f>
        <v>Acepto</v>
      </c>
      <c r="AB64" s="7" t="str">
        <f>IFERROR(__xludf.DUMMYFUNCTION("""COMPUTED_VALUE"""),"Terminado")</f>
        <v>Terminado</v>
      </c>
      <c r="AC64" s="7">
        <f>IFERROR(__xludf.DUMMYFUNCTION("""COMPUTED_VALUE"""),50000.0)</f>
        <v>50000</v>
      </c>
      <c r="AD64" s="7">
        <f>IFERROR(__xludf.DUMMYFUNCTION("""COMPUTED_VALUE"""),205532.0)</f>
        <v>205532</v>
      </c>
      <c r="AE64" s="7" t="str">
        <f>IFERROR(__xludf.DUMMYFUNCTION("""COMPUTED_VALUE"""),"TRF 06-09")</f>
        <v>TRF 06-09</v>
      </c>
      <c r="AF64" s="7" t="str">
        <f>IFERROR(__xludf.DUMMYFUNCTION("""COMPUTED_VALUE"""),"OK")</f>
        <v>OK</v>
      </c>
      <c r="AG64" s="45"/>
    </row>
    <row r="65">
      <c r="B65" s="42">
        <f>IFERROR(__xludf.DUMMYFUNCTION("""COMPUTED_VALUE"""),45535.46595240741)</f>
        <v>45535.46595</v>
      </c>
      <c r="C65" s="43" t="str">
        <f>IFERROR(__xludf.DUMMYFUNCTION("""COMPUTED_VALUE"""),"Tomas")</f>
        <v>Tomas</v>
      </c>
      <c r="D65" s="43" t="str">
        <f>IFERROR(__xludf.DUMMYFUNCTION("""COMPUTED_VALUE"""),"Paoli")</f>
        <v>Paoli</v>
      </c>
      <c r="E65" s="43" t="str">
        <f>IFERROR(__xludf.DUMMYFUNCTION("""COMPUTED_VALUE"""),"San isidro")</f>
        <v>San isidro</v>
      </c>
      <c r="F65" s="7" t="str">
        <f>IFERROR(__xludf.DUMMYFUNCTION("""COMPUTED_VALUE"""),"ARG")</f>
        <v>ARG</v>
      </c>
      <c r="G65" s="7">
        <f>IFERROR(__xludf.DUMMYFUNCTION("""COMPUTED_VALUE"""),5.2168E7)</f>
        <v>52168000</v>
      </c>
      <c r="H65" s="44">
        <f>IFERROR(__xludf.DUMMYFUNCTION("""COMPUTED_VALUE"""),40986.0)</f>
        <v>40986</v>
      </c>
      <c r="I65" s="45">
        <f>IFERROR(__xludf.DUMMYFUNCTION("""COMPUTED_VALUE"""),1.155770173E9)</f>
        <v>1155770173</v>
      </c>
      <c r="J65" s="45" t="str">
        <f>IFERROR(__xludf.DUMMYFUNCTION("""COMPUTED_VALUE"""),"11-5577-0173 ")</f>
        <v>11-5577-0173 </v>
      </c>
      <c r="K65" s="45" t="str">
        <f>IFERROR(__xludf.DUMMYFUNCTION("""COMPUTED_VALUE"""),"paolilucas@gmail.com")</f>
        <v>paolilucas@gmail.com</v>
      </c>
      <c r="L65" s="45" t="str">
        <f>IFERROR(__xludf.DUMMYFUNCTION("""COMPUTED_VALUE"""),"Masculino")</f>
        <v>Masculino</v>
      </c>
      <c r="M65" s="45" t="str">
        <f>IFERROR(__xludf.DUMMYFUNCTION("""COMPUTED_VALUE"""),"CNSI")</f>
        <v>CNSI</v>
      </c>
      <c r="N65" s="45" t="str">
        <f>IFERROR(__xludf.DUMMYFUNCTION("""COMPUTED_VALUE"""),"Interior (Optimist)")</f>
        <v>Interior (Optimist)</v>
      </c>
      <c r="O65" s="45" t="str">
        <f>IFERROR(__xludf.DUMMYFUNCTION("""COMPUTED_VALUE"""),"OPTIMIST PRINCIPIANTES")</f>
        <v>OPTIMIST PRINCIPIANTES</v>
      </c>
      <c r="P65" s="45"/>
      <c r="Q65" s="45" t="str">
        <f>IFERROR(__xludf.DUMMYFUNCTION("""COMPUTED_VALUE"""),"036")</f>
        <v>036</v>
      </c>
      <c r="R65" s="45"/>
      <c r="S65" s="45"/>
      <c r="T65" s="45"/>
      <c r="U65" s="45"/>
      <c r="V65" s="45"/>
      <c r="W65" s="45"/>
      <c r="X65" s="45"/>
      <c r="Y65" s="45"/>
      <c r="Z65" s="7" t="str">
        <f>IFERROR(__xludf.DUMMYFUNCTION("""COMPUTED_VALUE"""),"No")</f>
        <v>No</v>
      </c>
      <c r="AA65" s="7" t="str">
        <f>IFERROR(__xludf.DUMMYFUNCTION("""COMPUTED_VALUE"""),"Acepto")</f>
        <v>Acepto</v>
      </c>
      <c r="AB65" s="7" t="str">
        <f>IFERROR(__xludf.DUMMYFUNCTION("""COMPUTED_VALUE"""),"Terminado")</f>
        <v>Terminado</v>
      </c>
      <c r="AC65" s="7">
        <f>IFERROR(__xludf.DUMMYFUNCTION("""COMPUTED_VALUE"""),50000.0)</f>
        <v>50000</v>
      </c>
      <c r="AD65" s="7">
        <f>IFERROR(__xludf.DUMMYFUNCTION("""COMPUTED_VALUE"""),205117.0)</f>
        <v>205117</v>
      </c>
      <c r="AE65" s="7" t="str">
        <f>IFERROR(__xludf.DUMMYFUNCTION("""COMPUTED_VALUE"""),"Tarj 31-08")</f>
        <v>Tarj 31-08</v>
      </c>
      <c r="AF65" s="7" t="str">
        <f>IFERROR(__xludf.DUMMYFUNCTION("""COMPUTED_VALUE"""),"OK")</f>
        <v>OK</v>
      </c>
      <c r="AG65" s="45"/>
    </row>
    <row r="66">
      <c r="B66" s="42">
        <f>IFERROR(__xludf.DUMMYFUNCTION("""COMPUTED_VALUE"""),45535.46840246528)</f>
        <v>45535.4684</v>
      </c>
      <c r="C66" s="43" t="str">
        <f>IFERROR(__xludf.DUMMYFUNCTION("""COMPUTED_VALUE"""),"Santiago")</f>
        <v>Santiago</v>
      </c>
      <c r="D66" s="43" t="str">
        <f>IFERROR(__xludf.DUMMYFUNCTION("""COMPUTED_VALUE"""),"Paoli")</f>
        <v>Paoli</v>
      </c>
      <c r="E66" s="43" t="str">
        <f>IFERROR(__xludf.DUMMYFUNCTION("""COMPUTED_VALUE"""),"San isidro")</f>
        <v>San isidro</v>
      </c>
      <c r="F66" s="7" t="str">
        <f>IFERROR(__xludf.DUMMYFUNCTION("""COMPUTED_VALUE"""),"ARG")</f>
        <v>ARG</v>
      </c>
      <c r="G66" s="7">
        <f>IFERROR(__xludf.DUMMYFUNCTION("""COMPUTED_VALUE"""),5.3972454E7)</f>
        <v>53972454</v>
      </c>
      <c r="H66" s="44">
        <f>IFERROR(__xludf.DUMMYFUNCTION("""COMPUTED_VALUE"""),41839.0)</f>
        <v>41839</v>
      </c>
      <c r="I66" s="45">
        <f>IFERROR(__xludf.DUMMYFUNCTION("""COMPUTED_VALUE"""),1.155770173E9)</f>
        <v>1155770173</v>
      </c>
      <c r="J66" s="45">
        <f>IFERROR(__xludf.DUMMYFUNCTION("""COMPUTED_VALUE"""),1.155770173E9)</f>
        <v>1155770173</v>
      </c>
      <c r="K66" s="45" t="str">
        <f>IFERROR(__xludf.DUMMYFUNCTION("""COMPUTED_VALUE"""),"paolilucas@gmail.com")</f>
        <v>paolilucas@gmail.com</v>
      </c>
      <c r="L66" s="45" t="str">
        <f>IFERROR(__xludf.DUMMYFUNCTION("""COMPUTED_VALUE"""),"Masculino")</f>
        <v>Masculino</v>
      </c>
      <c r="M66" s="45" t="str">
        <f>IFERROR(__xludf.DUMMYFUNCTION("""COMPUTED_VALUE"""),"CNSI")</f>
        <v>CNSI</v>
      </c>
      <c r="N66" s="45" t="str">
        <f>IFERROR(__xludf.DUMMYFUNCTION("""COMPUTED_VALUE"""),"Interior (Optimist)")</f>
        <v>Interior (Optimist)</v>
      </c>
      <c r="O66" s="45" t="str">
        <f>IFERROR(__xludf.DUMMYFUNCTION("""COMPUTED_VALUE"""),"OPTIMIST PRINCIPIANTES")</f>
        <v>OPTIMIST PRINCIPIANTES</v>
      </c>
      <c r="P66" s="45"/>
      <c r="Q66" s="45">
        <f>IFERROR(__xludf.DUMMYFUNCTION("""COMPUTED_VALUE"""),3620.0)</f>
        <v>3620</v>
      </c>
      <c r="R66" s="45"/>
      <c r="S66" s="45"/>
      <c r="T66" s="45"/>
      <c r="U66" s="45"/>
      <c r="V66" s="45"/>
      <c r="W66" s="45"/>
      <c r="X66" s="45"/>
      <c r="Y66" s="45"/>
      <c r="Z66" s="7" t="str">
        <f>IFERROR(__xludf.DUMMYFUNCTION("""COMPUTED_VALUE"""),"No")</f>
        <v>No</v>
      </c>
      <c r="AA66" s="7" t="str">
        <f>IFERROR(__xludf.DUMMYFUNCTION("""COMPUTED_VALUE"""),"Acepto")</f>
        <v>Acepto</v>
      </c>
      <c r="AB66" s="7" t="str">
        <f>IFERROR(__xludf.DUMMYFUNCTION("""COMPUTED_VALUE"""),"Terminado")</f>
        <v>Terminado</v>
      </c>
      <c r="AC66" s="7">
        <f>IFERROR(__xludf.DUMMYFUNCTION("""COMPUTED_VALUE"""),50000.0)</f>
        <v>50000</v>
      </c>
      <c r="AD66" s="7">
        <f>IFERROR(__xludf.DUMMYFUNCTION("""COMPUTED_VALUE"""),205117.0)</f>
        <v>205117</v>
      </c>
      <c r="AE66" s="7" t="str">
        <f>IFERROR(__xludf.DUMMYFUNCTION("""COMPUTED_VALUE"""),"Tarj 31-08")</f>
        <v>Tarj 31-08</v>
      </c>
      <c r="AF66" s="7" t="str">
        <f>IFERROR(__xludf.DUMMYFUNCTION("""COMPUTED_VALUE"""),"OK")</f>
        <v>OK</v>
      </c>
      <c r="AG66" s="45"/>
    </row>
    <row r="67">
      <c r="B67" s="42">
        <f>IFERROR(__xludf.DUMMYFUNCTION("""COMPUTED_VALUE"""),45534.70787643519)</f>
        <v>45534.70788</v>
      </c>
      <c r="C67" s="43" t="str">
        <f>IFERROR(__xludf.DUMMYFUNCTION("""COMPUTED_VALUE"""),"Antonella")</f>
        <v>Antonella</v>
      </c>
      <c r="D67" s="43" t="str">
        <f>IFERROR(__xludf.DUMMYFUNCTION("""COMPUTED_VALUE"""),"Pastori")</f>
        <v>Pastori</v>
      </c>
      <c r="E67" s="43" t="str">
        <f>IFERROR(__xludf.DUMMYFUNCTION("""COMPUTED_VALUE"""),"La Plata")</f>
        <v>La Plata</v>
      </c>
      <c r="F67" s="7" t="str">
        <f>IFERROR(__xludf.DUMMYFUNCTION("""COMPUTED_VALUE"""),"ARG")</f>
        <v>ARG</v>
      </c>
      <c r="G67" s="7">
        <f>IFERROR(__xludf.DUMMYFUNCTION("""COMPUTED_VALUE"""),5.126146E7)</f>
        <v>51261460</v>
      </c>
      <c r="H67" s="44">
        <f>IFERROR(__xludf.DUMMYFUNCTION("""COMPUTED_VALUE"""),40791.0)</f>
        <v>40791</v>
      </c>
      <c r="I67" s="45">
        <f>IFERROR(__xludf.DUMMYFUNCTION("""COMPUTED_VALUE"""),2.21614579E9)</f>
        <v>2216145790</v>
      </c>
      <c r="J67" s="45">
        <f>IFERROR(__xludf.DUMMYFUNCTION("""COMPUTED_VALUE"""),2.21614579E9)</f>
        <v>2216145790</v>
      </c>
      <c r="K67" s="45" t="str">
        <f>IFERROR(__xludf.DUMMYFUNCTION("""COMPUTED_VALUE"""),"mpaulavelazco@gmail.com")</f>
        <v>mpaulavelazco@gmail.com</v>
      </c>
      <c r="L67" s="45" t="str">
        <f>IFERROR(__xludf.DUMMYFUNCTION("""COMPUTED_VALUE"""),"Femenino")</f>
        <v>Femenino</v>
      </c>
      <c r="M67" s="45" t="str">
        <f>IFERROR(__xludf.DUMMYFUNCTION("""COMPUTED_VALUE"""),"CRLP")</f>
        <v>CRLP</v>
      </c>
      <c r="N67" s="45" t="str">
        <f>IFERROR(__xludf.DUMMYFUNCTION("""COMPUTED_VALUE"""),"Femenino, Principiantes Optimist ")</f>
        <v>Femenino, Principiantes Optimist </v>
      </c>
      <c r="O67" s="45" t="str">
        <f>IFERROR(__xludf.DUMMYFUNCTION("""COMPUTED_VALUE"""),"OPTIMIST PRINCIPIANTES")</f>
        <v>OPTIMIST PRINCIPIANTES</v>
      </c>
      <c r="P67" s="45"/>
      <c r="Q67" s="45">
        <f>IFERROR(__xludf.DUMMYFUNCTION("""COMPUTED_VALUE"""),3286.0)</f>
        <v>3286</v>
      </c>
      <c r="R67" s="45"/>
      <c r="S67" s="45"/>
      <c r="T67" s="45"/>
      <c r="U67" s="45"/>
      <c r="V67" s="45"/>
      <c r="W67" s="45"/>
      <c r="X67" s="45"/>
      <c r="Y67" s="45" t="str">
        <f>IFERROR(__xludf.DUMMYFUNCTION("""COMPUTED_VALUE"""),"IOMA K255203229/02")</f>
        <v>IOMA K255203229/02</v>
      </c>
      <c r="Z67" s="7" t="str">
        <f>IFERROR(__xludf.DUMMYFUNCTION("""COMPUTED_VALUE"""),"Si")</f>
        <v>Si</v>
      </c>
      <c r="AA67" s="7" t="str">
        <f>IFERROR(__xludf.DUMMYFUNCTION("""COMPUTED_VALUE"""),"Acepto")</f>
        <v>Acepto</v>
      </c>
      <c r="AB67" s="7" t="str">
        <f>IFERROR(__xludf.DUMMYFUNCTION("""COMPUTED_VALUE"""),"Terminado")</f>
        <v>Terminado</v>
      </c>
      <c r="AC67" s="7">
        <f>IFERROR(__xludf.DUMMYFUNCTION("""COMPUTED_VALUE"""),50000.0)</f>
        <v>50000</v>
      </c>
      <c r="AD67" s="7">
        <f>IFERROR(__xludf.DUMMYFUNCTION("""COMPUTED_VALUE"""),205122.0)</f>
        <v>205122</v>
      </c>
      <c r="AE67" s="7" t="str">
        <f>IFERROR(__xludf.DUMMYFUNCTION("""COMPUTED_VALUE"""),"TRF 30-08")</f>
        <v>TRF 30-08</v>
      </c>
      <c r="AF67" s="7" t="str">
        <f>IFERROR(__xludf.DUMMYFUNCTION("""COMPUTED_VALUE"""),"OK")</f>
        <v>OK</v>
      </c>
      <c r="AG67" s="45"/>
    </row>
    <row r="68">
      <c r="B68" s="42">
        <f>IFERROR(__xludf.DUMMYFUNCTION("""COMPUTED_VALUE"""),45536.4677509375)</f>
        <v>45536.46775</v>
      </c>
      <c r="C68" s="43" t="str">
        <f>IFERROR(__xludf.DUMMYFUNCTION("""COMPUTED_VALUE"""),"Matilde")</f>
        <v>Matilde</v>
      </c>
      <c r="D68" s="43" t="str">
        <f>IFERROR(__xludf.DUMMYFUNCTION("""COMPUTED_VALUE"""),"Pini Bellaubi ")</f>
        <v>Pini Bellaubi </v>
      </c>
      <c r="E68" s="43" t="str">
        <f>IFERROR(__xludf.DUMMYFUNCTION("""COMPUTED_VALUE"""),"La plata ")</f>
        <v>La plata </v>
      </c>
      <c r="F68" s="7" t="str">
        <f>IFERROR(__xludf.DUMMYFUNCTION("""COMPUTED_VALUE"""),"ARG")</f>
        <v>ARG</v>
      </c>
      <c r="G68" s="7">
        <f>IFERROR(__xludf.DUMMYFUNCTION("""COMPUTED_VALUE"""),5.2618403E7)</f>
        <v>52618403</v>
      </c>
      <c r="H68" s="44">
        <f>IFERROR(__xludf.DUMMYFUNCTION("""COMPUTED_VALUE"""),41136.0)</f>
        <v>41136</v>
      </c>
      <c r="I68" s="45">
        <f>IFERROR(__xludf.DUMMYFUNCTION("""COMPUTED_VALUE"""),2.215229881E9)</f>
        <v>2215229881</v>
      </c>
      <c r="J68" s="45">
        <f>IFERROR(__xludf.DUMMYFUNCTION("""COMPUTED_VALUE"""),2.214777851E9)</f>
        <v>2214777851</v>
      </c>
      <c r="K68" s="45" t="str">
        <f>IFERROR(__xludf.DUMMYFUNCTION("""COMPUTED_VALUE"""),"mansilla_laura@hotmail.com")</f>
        <v>mansilla_laura@hotmail.com</v>
      </c>
      <c r="L68" s="45" t="str">
        <f>IFERROR(__xludf.DUMMYFUNCTION("""COMPUTED_VALUE"""),"Femenino")</f>
        <v>Femenino</v>
      </c>
      <c r="M68" s="45" t="str">
        <f>IFERROR(__xludf.DUMMYFUNCTION("""COMPUTED_VALUE"""),"CRLP")</f>
        <v>CRLP</v>
      </c>
      <c r="N68" s="45" t="str">
        <f>IFERROR(__xludf.DUMMYFUNCTION("""COMPUTED_VALUE"""),"Interior (Optimist)")</f>
        <v>Interior (Optimist)</v>
      </c>
      <c r="O68" s="45" t="str">
        <f>IFERROR(__xludf.DUMMYFUNCTION("""COMPUTED_VALUE"""),"OPTIMIST PRINCIPIANTES")</f>
        <v>OPTIMIST PRINCIPIANTES</v>
      </c>
      <c r="P68" s="45"/>
      <c r="Q68" s="45">
        <f>IFERROR(__xludf.DUMMYFUNCTION("""COMPUTED_VALUE"""),3754.0)</f>
        <v>3754</v>
      </c>
      <c r="R68" s="45"/>
      <c r="S68" s="45"/>
      <c r="T68" s="45"/>
      <c r="U68" s="45"/>
      <c r="V68" s="45"/>
      <c r="W68" s="45"/>
      <c r="X68" s="45"/>
      <c r="Y68" s="45" t="str">
        <f>IFERROR(__xludf.DUMMYFUNCTION("""COMPUTED_VALUE"""),"IOMA")</f>
        <v>IOMA</v>
      </c>
      <c r="Z68" s="7" t="str">
        <f>IFERROR(__xludf.DUMMYFUNCTION("""COMPUTED_VALUE"""),"Si")</f>
        <v>Si</v>
      </c>
      <c r="AA68" s="7" t="str">
        <f>IFERROR(__xludf.DUMMYFUNCTION("""COMPUTED_VALUE"""),"Acepto")</f>
        <v>Acepto</v>
      </c>
      <c r="AB68" s="7" t="str">
        <f>IFERROR(__xludf.DUMMYFUNCTION("""COMPUTED_VALUE"""),"Terminado")</f>
        <v>Terminado</v>
      </c>
      <c r="AC68" s="7">
        <f>IFERROR(__xludf.DUMMYFUNCTION("""COMPUTED_VALUE"""),60000.0)</f>
        <v>60000</v>
      </c>
      <c r="AD68" s="7">
        <f>IFERROR(__xludf.DUMMYFUNCTION("""COMPUTED_VALUE"""),205384.0)</f>
        <v>205384</v>
      </c>
      <c r="AE68" s="7" t="str">
        <f>IFERROR(__xludf.DUMMYFUNCTION("""COMPUTED_VALUE"""),"TRF 02-09")</f>
        <v>TRF 02-09</v>
      </c>
      <c r="AF68" s="7" t="str">
        <f>IFERROR(__xludf.DUMMYFUNCTION("""COMPUTED_VALUE"""),"OK")</f>
        <v>OK</v>
      </c>
      <c r="AG68" s="45"/>
    </row>
    <row r="69">
      <c r="B69" s="42">
        <f>IFERROR(__xludf.DUMMYFUNCTION("""COMPUTED_VALUE"""),45534.45669899306)</f>
        <v>45534.4567</v>
      </c>
      <c r="C69" s="43" t="str">
        <f>IFERROR(__xludf.DUMMYFUNCTION("""COMPUTED_VALUE"""),"Nicolas ")</f>
        <v>Nicolas </v>
      </c>
      <c r="D69" s="43" t="str">
        <f>IFERROR(__xludf.DUMMYFUNCTION("""COMPUTED_VALUE"""),"Pinosa Percossi")</f>
        <v>Pinosa Percossi</v>
      </c>
      <c r="E69" s="43" t="str">
        <f>IFERROR(__xludf.DUMMYFUNCTION("""COMPUTED_VALUE"""),"bs as ")</f>
        <v>bs as </v>
      </c>
      <c r="F69" s="7" t="str">
        <f>IFERROR(__xludf.DUMMYFUNCTION("""COMPUTED_VALUE"""),"ARG")</f>
        <v>ARG</v>
      </c>
      <c r="G69" s="7">
        <f>IFERROR(__xludf.DUMMYFUNCTION("""COMPUTED_VALUE"""),5.2768323E7)</f>
        <v>52768323</v>
      </c>
      <c r="H69" s="44">
        <f>IFERROR(__xludf.DUMMYFUNCTION("""COMPUTED_VALUE"""),41198.0)</f>
        <v>41198</v>
      </c>
      <c r="I69" s="45" t="str">
        <f>IFERROR(__xludf.DUMMYFUNCTION("""COMPUTED_VALUE"""),"54 9 11 5410 7295")</f>
        <v>54 9 11 5410 7295</v>
      </c>
      <c r="J69" s="45" t="str">
        <f>IFERROR(__xludf.DUMMYFUNCTION("""COMPUTED_VALUE"""),"54 9 11 4417 5793")</f>
        <v>54 9 11 4417 5793</v>
      </c>
      <c r="K69" s="45" t="str">
        <f>IFERROR(__xludf.DUMMYFUNCTION("""COMPUTED_VALUE"""),"dpinosa@hotmail.com")</f>
        <v>dpinosa@hotmail.com</v>
      </c>
      <c r="L69" s="45" t="str">
        <f>IFERROR(__xludf.DUMMYFUNCTION("""COMPUTED_VALUE"""),"Masculino")</f>
        <v>Masculino</v>
      </c>
      <c r="M69" s="45" t="str">
        <f>IFERROR(__xludf.DUMMYFUNCTION("""COMPUTED_VALUE"""),"club nautico olivos ( c.n.o )")</f>
        <v>club nautico olivos ( c.n.o )</v>
      </c>
      <c r="N69" s="45" t="str">
        <f>IFERROR(__xludf.DUMMYFUNCTION("""COMPUTED_VALUE"""),"Interior (Optimist)")</f>
        <v>Interior (Optimist)</v>
      </c>
      <c r="O69" s="45" t="str">
        <f>IFERROR(__xludf.DUMMYFUNCTION("""COMPUTED_VALUE"""),"OPTIMIST PRINCIPIANTES")</f>
        <v>OPTIMIST PRINCIPIANTES</v>
      </c>
      <c r="P69" s="45"/>
      <c r="Q69" s="45">
        <f>IFERROR(__xludf.DUMMYFUNCTION("""COMPUTED_VALUE"""),4170.0)</f>
        <v>4170</v>
      </c>
      <c r="R69" s="45" t="str">
        <f>IFERROR(__xludf.DUMMYFUNCTION("""COMPUTED_VALUE"""),"fofoca junior")</f>
        <v>fofoca junior</v>
      </c>
      <c r="S69" s="45" t="str">
        <f>IFERROR(__xludf.DUMMYFUNCTION("""COMPUTED_VALUE"""),"Nicolas Pinosa Percossi")</f>
        <v>Nicolas Pinosa Percossi</v>
      </c>
      <c r="T69" s="45"/>
      <c r="U69" s="45"/>
      <c r="V69" s="45"/>
      <c r="W69" s="45"/>
      <c r="X69" s="45"/>
      <c r="Y69" s="45" t="str">
        <f>IFERROR(__xludf.DUMMYFUNCTION("""COMPUTED_VALUE"""),"osde 410")</f>
        <v>osde 410</v>
      </c>
      <c r="Z69" s="7" t="str">
        <f>IFERROR(__xludf.DUMMYFUNCTION("""COMPUTED_VALUE"""),"No")</f>
        <v>No</v>
      </c>
      <c r="AA69" s="7" t="str">
        <f>IFERROR(__xludf.DUMMYFUNCTION("""COMPUTED_VALUE"""),"Acepto")</f>
        <v>Acepto</v>
      </c>
      <c r="AB69" s="7" t="str">
        <f>IFERROR(__xludf.DUMMYFUNCTION("""COMPUTED_VALUE"""),"Terminado")</f>
        <v>Terminado</v>
      </c>
      <c r="AC69" s="7">
        <f>IFERROR(__xludf.DUMMYFUNCTION("""COMPUTED_VALUE"""),50000.0)</f>
        <v>50000</v>
      </c>
      <c r="AD69" s="7">
        <f>IFERROR(__xludf.DUMMYFUNCTION("""COMPUTED_VALUE"""),205389.0)</f>
        <v>205389</v>
      </c>
      <c r="AE69" s="7" t="str">
        <f>IFERROR(__xludf.DUMMYFUNCTION("""COMPUTED_VALUE"""),"TRF 30-08")</f>
        <v>TRF 30-08</v>
      </c>
      <c r="AF69" s="7" t="str">
        <f>IFERROR(__xludf.DUMMYFUNCTION("""COMPUTED_VALUE"""),"OK")</f>
        <v>OK</v>
      </c>
      <c r="AG69" s="45" t="str">
        <f>IFERROR(__xludf.DUMMYFUNCTION("""COMPUTED_VALUE"""),"SI")</f>
        <v>SI</v>
      </c>
    </row>
    <row r="70">
      <c r="B70" s="42">
        <f>IFERROR(__xludf.DUMMYFUNCTION("""COMPUTED_VALUE"""),45533.3957129051)</f>
        <v>45533.39571</v>
      </c>
      <c r="C70" s="43" t="str">
        <f>IFERROR(__xludf.DUMMYFUNCTION("""COMPUTED_VALUE"""),"Felicitas")</f>
        <v>Felicitas</v>
      </c>
      <c r="D70" s="43" t="str">
        <f>IFERROR(__xludf.DUMMYFUNCTION("""COMPUTED_VALUE"""),"Rooney")</f>
        <v>Rooney</v>
      </c>
      <c r="E70" s="43" t="str">
        <f>IFERROR(__xludf.DUMMYFUNCTION("""COMPUTED_VALUE"""),"Buenos Aires")</f>
        <v>Buenos Aires</v>
      </c>
      <c r="F70" s="7" t="str">
        <f>IFERROR(__xludf.DUMMYFUNCTION("""COMPUTED_VALUE"""),"ARG")</f>
        <v>ARG</v>
      </c>
      <c r="G70" s="7">
        <f>IFERROR(__xludf.DUMMYFUNCTION("""COMPUTED_VALUE"""),5.2951933E7)</f>
        <v>52951933</v>
      </c>
      <c r="H70" s="44">
        <f>IFERROR(__xludf.DUMMYFUNCTION("""COMPUTED_VALUE"""),41274.0)</f>
        <v>41274</v>
      </c>
      <c r="I70" s="45" t="str">
        <f>IFERROR(__xludf.DUMMYFUNCTION("""COMPUTED_VALUE"""),"011 5514 4722")</f>
        <v>011 5514 4722</v>
      </c>
      <c r="J70" s="45" t="str">
        <f>IFERROR(__xludf.DUMMYFUNCTION("""COMPUTED_VALUE"""),"011 5867 2903")</f>
        <v>011 5867 2903</v>
      </c>
      <c r="K70" s="45" t="str">
        <f>IFERROR(__xludf.DUMMYFUNCTION("""COMPUTED_VALUE"""),"julianrooney@yahoo.com")</f>
        <v>julianrooney@yahoo.com</v>
      </c>
      <c r="L70" s="45" t="str">
        <f>IFERROR(__xludf.DUMMYFUNCTION("""COMPUTED_VALUE"""),"Femenino")</f>
        <v>Femenino</v>
      </c>
      <c r="M70" s="45" t="str">
        <f>IFERROR(__xludf.DUMMYFUNCTION("""COMPUTED_VALUE"""),"CNSI")</f>
        <v>CNSI</v>
      </c>
      <c r="N70" s="45" t="str">
        <f>IFERROR(__xludf.DUMMYFUNCTION("""COMPUTED_VALUE"""),"Femenino")</f>
        <v>Femenino</v>
      </c>
      <c r="O70" s="45" t="str">
        <f>IFERROR(__xludf.DUMMYFUNCTION("""COMPUTED_VALUE"""),"OPTIMIST PRINCIPIANTES")</f>
        <v>OPTIMIST PRINCIPIANTES</v>
      </c>
      <c r="P70" s="45"/>
      <c r="Q70" s="45" t="str">
        <f>IFERROR(__xludf.DUMMYFUNCTION("""COMPUTED_VALUE"""),"ARG 3954")</f>
        <v>ARG 3954</v>
      </c>
      <c r="R70" s="45"/>
      <c r="S70" s="45"/>
      <c r="T70" s="45"/>
      <c r="U70" s="45"/>
      <c r="V70" s="45"/>
      <c r="W70" s="45"/>
      <c r="X70" s="45"/>
      <c r="Y70" s="45" t="str">
        <f>IFERROR(__xludf.DUMMYFUNCTION("""COMPUTED_VALUE"""),"OSDE AZUL")</f>
        <v>OSDE AZUL</v>
      </c>
      <c r="Z70" s="7" t="str">
        <f>IFERROR(__xludf.DUMMYFUNCTION("""COMPUTED_VALUE"""),"Si")</f>
        <v>Si</v>
      </c>
      <c r="AA70" s="7" t="str">
        <f>IFERROR(__xludf.DUMMYFUNCTION("""COMPUTED_VALUE"""),"Acepto")</f>
        <v>Acepto</v>
      </c>
      <c r="AB70" s="7" t="str">
        <f>IFERROR(__xludf.DUMMYFUNCTION("""COMPUTED_VALUE"""),"Terminado")</f>
        <v>Terminado</v>
      </c>
      <c r="AC70" s="7">
        <f>IFERROR(__xludf.DUMMYFUNCTION("""COMPUTED_VALUE"""),50000.0)</f>
        <v>50000</v>
      </c>
      <c r="AD70" s="7">
        <f>IFERROR(__xludf.DUMMYFUNCTION("""COMPUTED_VALUE"""),205072.0)</f>
        <v>205072</v>
      </c>
      <c r="AE70" s="7" t="str">
        <f>IFERROR(__xludf.DUMMYFUNCTION("""COMPUTED_VALUE"""),"TRF 29-08")</f>
        <v>TRF 29-08</v>
      </c>
      <c r="AF70" s="7" t="str">
        <f>IFERROR(__xludf.DUMMYFUNCTION("""COMPUTED_VALUE"""),"OK")</f>
        <v>OK</v>
      </c>
      <c r="AG70" s="45"/>
    </row>
    <row r="71">
      <c r="B71" s="42">
        <f>IFERROR(__xludf.DUMMYFUNCTION("""COMPUTED_VALUE"""),45534.9621542824)</f>
        <v>45534.96215</v>
      </c>
      <c r="C71" s="43" t="str">
        <f>IFERROR(__xludf.DUMMYFUNCTION("""COMPUTED_VALUE"""),"Catalina ")</f>
        <v>Catalina </v>
      </c>
      <c r="D71" s="43" t="str">
        <f>IFERROR(__xludf.DUMMYFUNCTION("""COMPUTED_VALUE"""),"Ruiz Stepancic")</f>
        <v>Ruiz Stepancic</v>
      </c>
      <c r="E71" s="43" t="str">
        <f>IFERROR(__xludf.DUMMYFUNCTION("""COMPUTED_VALUE"""),"Hurlingham ")</f>
        <v>Hurlingham </v>
      </c>
      <c r="F71" s="7" t="str">
        <f>IFERROR(__xludf.DUMMYFUNCTION("""COMPUTED_VALUE"""),"ARG")</f>
        <v>ARG</v>
      </c>
      <c r="G71" s="7">
        <f>IFERROR(__xludf.DUMMYFUNCTION("""COMPUTED_VALUE"""),5.2954005E7)</f>
        <v>52954005</v>
      </c>
      <c r="H71" s="44">
        <f>IFERROR(__xludf.DUMMYFUNCTION("""COMPUTED_VALUE"""),41269.0)</f>
        <v>41269</v>
      </c>
      <c r="I71" s="45">
        <f>IFERROR(__xludf.DUMMYFUNCTION("""COMPUTED_VALUE"""),1.140488904E9)</f>
        <v>1140488904</v>
      </c>
      <c r="J71" s="45">
        <f>IFERROR(__xludf.DUMMYFUNCTION("""COMPUTED_VALUE"""),1.144246342E9)</f>
        <v>1144246342</v>
      </c>
      <c r="K71" s="45" t="str">
        <f>IFERROR(__xludf.DUMMYFUNCTION("""COMPUTED_VALUE"""),"Yesistepancic@hotmail.com ")</f>
        <v>Yesistepancic@hotmail.com </v>
      </c>
      <c r="L71" s="45" t="str">
        <f>IFERROR(__xludf.DUMMYFUNCTION("""COMPUTED_VALUE"""),"Femenino")</f>
        <v>Femenino</v>
      </c>
      <c r="M71" s="45" t="str">
        <f>IFERROR(__xludf.DUMMYFUNCTION("""COMPUTED_VALUE"""),"CVB ")</f>
        <v>CVB </v>
      </c>
      <c r="N71" s="45" t="str">
        <f>IFERROR(__xludf.DUMMYFUNCTION("""COMPUTED_VALUE"""),"Femenino, Sub 12")</f>
        <v>Femenino, Sub 12</v>
      </c>
      <c r="O71" s="45" t="str">
        <f>IFERROR(__xludf.DUMMYFUNCTION("""COMPUTED_VALUE"""),"OPTIMIST PRINCIPIANTES")</f>
        <v>OPTIMIST PRINCIPIANTES</v>
      </c>
      <c r="P71" s="45"/>
      <c r="Q71" s="45">
        <f>IFERROR(__xludf.DUMMYFUNCTION("""COMPUTED_VALUE"""),3596.0)</f>
        <v>3596</v>
      </c>
      <c r="R71" s="45"/>
      <c r="S71" s="45"/>
      <c r="T71" s="45"/>
      <c r="U71" s="45"/>
      <c r="V71" s="45"/>
      <c r="W71" s="45"/>
      <c r="X71" s="45"/>
      <c r="Y71" s="45" t="str">
        <f>IFERROR(__xludf.DUMMYFUNCTION("""COMPUTED_VALUE"""),"Osde 60927005103")</f>
        <v>Osde 60927005103</v>
      </c>
      <c r="Z71" s="7" t="str">
        <f>IFERROR(__xludf.DUMMYFUNCTION("""COMPUTED_VALUE"""),"Si")</f>
        <v>Si</v>
      </c>
      <c r="AA71" s="7" t="str">
        <f>IFERROR(__xludf.DUMMYFUNCTION("""COMPUTED_VALUE"""),"Acepto")</f>
        <v>Acepto</v>
      </c>
      <c r="AB71" s="7" t="str">
        <f>IFERROR(__xludf.DUMMYFUNCTION("""COMPUTED_VALUE"""),"Terminado")</f>
        <v>Terminado</v>
      </c>
      <c r="AC71" s="7">
        <f>IFERROR(__xludf.DUMMYFUNCTION("""COMPUTED_VALUE"""),50000.0)</f>
        <v>50000</v>
      </c>
      <c r="AD71" s="7">
        <f>IFERROR(__xludf.DUMMYFUNCTION("""COMPUTED_VALUE"""),205119.0)</f>
        <v>205119</v>
      </c>
      <c r="AE71" s="7" t="str">
        <f>IFERROR(__xludf.DUMMYFUNCTION("""COMPUTED_VALUE"""),"TRF 30-08")</f>
        <v>TRF 30-08</v>
      </c>
      <c r="AF71" s="7" t="str">
        <f>IFERROR(__xludf.DUMMYFUNCTION("""COMPUTED_VALUE"""),"OK")</f>
        <v>OK</v>
      </c>
      <c r="AG71" s="45" t="str">
        <f>IFERROR(__xludf.DUMMYFUNCTION("""COMPUTED_VALUE"""),"SI")</f>
        <v>SI</v>
      </c>
    </row>
    <row r="72">
      <c r="B72" s="42">
        <f>IFERROR(__xludf.DUMMYFUNCTION("""COMPUTED_VALUE"""),45536.59061159722)</f>
        <v>45536.59061</v>
      </c>
      <c r="C72" s="43" t="str">
        <f>IFERROR(__xludf.DUMMYFUNCTION("""COMPUTED_VALUE"""),"VIOLETA ")</f>
        <v>VIOLETA </v>
      </c>
      <c r="D72" s="43" t="str">
        <f>IFERROR(__xludf.DUMMYFUNCTION("""COMPUTED_VALUE"""),"RUSSO LACERNA ")</f>
        <v>RUSSO LACERNA </v>
      </c>
      <c r="E72" s="43" t="str">
        <f>IFERROR(__xludf.DUMMYFUNCTION("""COMPUTED_VALUE"""),"CABA ")</f>
        <v>CABA </v>
      </c>
      <c r="F72" s="7" t="str">
        <f>IFERROR(__xludf.DUMMYFUNCTION("""COMPUTED_VALUE"""),"ARG")</f>
        <v>ARG</v>
      </c>
      <c r="G72" s="7">
        <f>IFERROR(__xludf.DUMMYFUNCTION("""COMPUTED_VALUE"""),5.0511744E7)</f>
        <v>50511744</v>
      </c>
      <c r="H72" s="44">
        <f>IFERROR(__xludf.DUMMYFUNCTION("""COMPUTED_VALUE"""),40449.0)</f>
        <v>40449</v>
      </c>
      <c r="I72" s="45">
        <f>IFERROR(__xludf.DUMMYFUNCTION("""COMPUTED_VALUE"""),1.156388263E9)</f>
        <v>1156388263</v>
      </c>
      <c r="J72" s="45">
        <f>IFERROR(__xludf.DUMMYFUNCTION("""COMPUTED_VALUE"""),1.166031922E9)</f>
        <v>1166031922</v>
      </c>
      <c r="K72" s="45" t="str">
        <f>IFERROR(__xludf.DUMMYFUNCTION("""COMPUTED_VALUE"""),"vanesaamaro@gmail.com")</f>
        <v>vanesaamaro@gmail.com</v>
      </c>
      <c r="L72" s="45" t="str">
        <f>IFERROR(__xludf.DUMMYFUNCTION("""COMPUTED_VALUE"""),"Femenino")</f>
        <v>Femenino</v>
      </c>
      <c r="M72" s="45" t="str">
        <f>IFERROR(__xludf.DUMMYFUNCTION("""COMPUTED_VALUE"""),"CNAZ")</f>
        <v>CNAZ</v>
      </c>
      <c r="N72" s="45" t="str">
        <f>IFERROR(__xludf.DUMMYFUNCTION("""COMPUTED_VALUE"""),"Interior (Optimist)")</f>
        <v>Interior (Optimist)</v>
      </c>
      <c r="O72" s="45" t="str">
        <f>IFERROR(__xludf.DUMMYFUNCTION("""COMPUTED_VALUE"""),"OPTIMIST PRINCIPIANTES")</f>
        <v>OPTIMIST PRINCIPIANTES</v>
      </c>
      <c r="P72" s="45"/>
      <c r="Q72" s="45">
        <f>IFERROR(__xludf.DUMMYFUNCTION("""COMPUTED_VALUE"""),3729.0)</f>
        <v>3729</v>
      </c>
      <c r="R72" s="45" t="str">
        <f>IFERROR(__xludf.DUMMYFUNCTION("""COMPUTED_VALUE"""),"Amore")</f>
        <v>Amore</v>
      </c>
      <c r="S72" s="45"/>
      <c r="T72" s="45"/>
      <c r="U72" s="45"/>
      <c r="V72" s="45"/>
      <c r="W72" s="45"/>
      <c r="X72" s="45"/>
      <c r="Y72" s="45" t="str">
        <f>IFERROR(__xludf.DUMMYFUNCTION("""COMPUTED_VALUE"""),"OSDE")</f>
        <v>OSDE</v>
      </c>
      <c r="Z72" s="7" t="str">
        <f>IFERROR(__xludf.DUMMYFUNCTION("""COMPUTED_VALUE"""),"Si")</f>
        <v>Si</v>
      </c>
      <c r="AA72" s="7" t="str">
        <f>IFERROR(__xludf.DUMMYFUNCTION("""COMPUTED_VALUE"""),"Acepto")</f>
        <v>Acepto</v>
      </c>
      <c r="AB72" s="7" t="str">
        <f>IFERROR(__xludf.DUMMYFUNCTION("""COMPUTED_VALUE"""),"Pendiente")</f>
        <v>Pendiente</v>
      </c>
      <c r="AC72" s="7"/>
      <c r="AD72" s="7"/>
      <c r="AE72" s="7"/>
      <c r="AF72" s="7" t="str">
        <f>IFERROR(__xludf.DUMMYFUNCTION("""COMPUTED_VALUE"""),"OK")</f>
        <v>OK</v>
      </c>
      <c r="AG72" s="45"/>
    </row>
    <row r="73">
      <c r="B73" s="42">
        <f>IFERROR(__xludf.DUMMYFUNCTION("""COMPUTED_VALUE"""),45532.44288266204)</f>
        <v>45532.44288</v>
      </c>
      <c r="C73" s="43" t="str">
        <f>IFERROR(__xludf.DUMMYFUNCTION("""COMPUTED_VALUE"""),"HILARIO")</f>
        <v>HILARIO</v>
      </c>
      <c r="D73" s="43" t="str">
        <f>IFERROR(__xludf.DUMMYFUNCTION("""COMPUTED_VALUE"""),"SACCHI")</f>
        <v>SACCHI</v>
      </c>
      <c r="E73" s="43" t="str">
        <f>IFERROR(__xludf.DUMMYFUNCTION("""COMPUTED_VALUE"""),"CABA")</f>
        <v>CABA</v>
      </c>
      <c r="F73" s="7" t="str">
        <f>IFERROR(__xludf.DUMMYFUNCTION("""COMPUTED_VALUE"""),"ARG")</f>
        <v>ARG</v>
      </c>
      <c r="G73" s="7">
        <f>IFERROR(__xludf.DUMMYFUNCTION("""COMPUTED_VALUE"""),5.3084239E7)</f>
        <v>53084239</v>
      </c>
      <c r="H73" s="44">
        <f>IFERROR(__xludf.DUMMYFUNCTION("""COMPUTED_VALUE"""),41314.0)</f>
        <v>41314</v>
      </c>
      <c r="I73" s="45">
        <f>IFERROR(__xludf.DUMMYFUNCTION("""COMPUTED_VALUE"""),1.151232356E9)</f>
        <v>1151232356</v>
      </c>
      <c r="J73" s="45">
        <f>IFERROR(__xludf.DUMMYFUNCTION("""COMPUTED_VALUE"""),1.151232356E9)</f>
        <v>1151232356</v>
      </c>
      <c r="K73" s="45" t="str">
        <f>IFERROR(__xludf.DUMMYFUNCTION("""COMPUTED_VALUE"""),"msacchi@gmail.com")</f>
        <v>msacchi@gmail.com</v>
      </c>
      <c r="L73" s="45" t="str">
        <f>IFERROR(__xludf.DUMMYFUNCTION("""COMPUTED_VALUE"""),"Masculino")</f>
        <v>Masculino</v>
      </c>
      <c r="M73" s="45" t="str">
        <f>IFERROR(__xludf.DUMMYFUNCTION("""COMPUTED_VALUE"""),"YCA")</f>
        <v>YCA</v>
      </c>
      <c r="N73" s="45"/>
      <c r="O73" s="45" t="str">
        <f>IFERROR(__xludf.DUMMYFUNCTION("""COMPUTED_VALUE"""),"OPTIMIST PRINCIPIANTES")</f>
        <v>OPTIMIST PRINCIPIANTES</v>
      </c>
      <c r="P73" s="45"/>
      <c r="Q73" s="45" t="str">
        <f>IFERROR(__xludf.DUMMYFUNCTION("""COMPUTED_VALUE"""),"ARG 3885")</f>
        <v>ARG 3885</v>
      </c>
      <c r="R73" s="45" t="str">
        <f>IFERROR(__xludf.DUMMYFUNCTION("""COMPUTED_VALUE"""),"Sejlfisk")</f>
        <v>Sejlfisk</v>
      </c>
      <c r="S73" s="45"/>
      <c r="T73" s="45"/>
      <c r="U73" s="45"/>
      <c r="V73" s="45"/>
      <c r="W73" s="45"/>
      <c r="X73" s="45"/>
      <c r="Y73" s="45" t="str">
        <f>IFERROR(__xludf.DUMMYFUNCTION("""COMPUTED_VALUE"""),"OSDE / 60 767640 9 04")</f>
        <v>OSDE / 60 767640 9 04</v>
      </c>
      <c r="Z73" s="7" t="str">
        <f>IFERROR(__xludf.DUMMYFUNCTION("""COMPUTED_VALUE"""),"Si")</f>
        <v>Si</v>
      </c>
      <c r="AA73" s="7" t="str">
        <f>IFERROR(__xludf.DUMMYFUNCTION("""COMPUTED_VALUE"""),"Acepto")</f>
        <v>Acepto</v>
      </c>
      <c r="AB73" s="7" t="str">
        <f>IFERROR(__xludf.DUMMYFUNCTION("""COMPUTED_VALUE"""),"Terminado")</f>
        <v>Terminado</v>
      </c>
      <c r="AC73" s="7">
        <f>IFERROR(__xludf.DUMMYFUNCTION("""COMPUTED_VALUE"""),50000.0)</f>
        <v>50000</v>
      </c>
      <c r="AD73" s="7">
        <f>IFERROR(__xludf.DUMMYFUNCTION("""COMPUTED_VALUE"""),205066.0)</f>
        <v>205066</v>
      </c>
      <c r="AE73" s="7" t="str">
        <f>IFERROR(__xludf.DUMMYFUNCTION("""COMPUTED_VALUE"""),"TRF 28-08")</f>
        <v>TRF 28-08</v>
      </c>
      <c r="AF73" s="7" t="str">
        <f>IFERROR(__xludf.DUMMYFUNCTION("""COMPUTED_VALUE"""),"OK")</f>
        <v>OK</v>
      </c>
      <c r="AG73" s="45"/>
    </row>
    <row r="74">
      <c r="B74" s="42">
        <f>IFERROR(__xludf.DUMMYFUNCTION("""COMPUTED_VALUE"""),45534.527333819446)</f>
        <v>45534.52733</v>
      </c>
      <c r="C74" s="43" t="str">
        <f>IFERROR(__xludf.DUMMYFUNCTION("""COMPUTED_VALUE"""),"Alessandro Patricio")</f>
        <v>Alessandro Patricio</v>
      </c>
      <c r="D74" s="43" t="str">
        <f>IFERROR(__xludf.DUMMYFUNCTION("""COMPUTED_VALUE"""),"Saggion")</f>
        <v>Saggion</v>
      </c>
      <c r="E74" s="43" t="str">
        <f>IFERROR(__xludf.DUMMYFUNCTION("""COMPUTED_VALUE"""),"Buenos Aires")</f>
        <v>Buenos Aires</v>
      </c>
      <c r="F74" s="7" t="str">
        <f>IFERROR(__xludf.DUMMYFUNCTION("""COMPUTED_VALUE"""),"ARG")</f>
        <v>ARG</v>
      </c>
      <c r="G74" s="7">
        <f>IFERROR(__xludf.DUMMYFUNCTION("""COMPUTED_VALUE"""),5.1267409E7)</f>
        <v>51267409</v>
      </c>
      <c r="H74" s="44">
        <f>IFERROR(__xludf.DUMMYFUNCTION("""COMPUTED_VALUE"""),40705.0)</f>
        <v>40705</v>
      </c>
      <c r="I74" s="45">
        <f>IFERROR(__xludf.DUMMYFUNCTION("""COMPUTED_VALUE"""),1.544705414E9)</f>
        <v>1544705414</v>
      </c>
      <c r="J74" s="45">
        <f>IFERROR(__xludf.DUMMYFUNCTION("""COMPUTED_VALUE"""),1.5351185E9)</f>
        <v>1535118500</v>
      </c>
      <c r="K74" s="45" t="str">
        <f>IFERROR(__xludf.DUMMYFUNCTION("""COMPUTED_VALUE"""),"nancysagg@gmail.com")</f>
        <v>nancysagg@gmail.com</v>
      </c>
      <c r="L74" s="45" t="str">
        <f>IFERROR(__xludf.DUMMYFUNCTION("""COMPUTED_VALUE"""),"Masculino")</f>
        <v>Masculino</v>
      </c>
      <c r="M74" s="45" t="str">
        <f>IFERROR(__xludf.DUMMYFUNCTION("""COMPUTED_VALUE"""),"CNO")</f>
        <v>CNO</v>
      </c>
      <c r="N74" s="45" t="str">
        <f>IFERROR(__xludf.DUMMYFUNCTION("""COMPUTED_VALUE"""),"Interior (Optimist)")</f>
        <v>Interior (Optimist)</v>
      </c>
      <c r="O74" s="45" t="str">
        <f>IFERROR(__xludf.DUMMYFUNCTION("""COMPUTED_VALUE"""),"OPTIMIST PRINCIPIANTES")</f>
        <v>OPTIMIST PRINCIPIANTES</v>
      </c>
      <c r="P74" s="45"/>
      <c r="Q74" s="45">
        <f>IFERROR(__xludf.DUMMYFUNCTION("""COMPUTED_VALUE"""),3969.0)</f>
        <v>3969</v>
      </c>
      <c r="R74" s="45" t="str">
        <f>IFERROR(__xludf.DUMMYFUNCTION("""COMPUTED_VALUE"""),"Chimichurri")</f>
        <v>Chimichurri</v>
      </c>
      <c r="S74" s="45"/>
      <c r="T74" s="45"/>
      <c r="U74" s="45"/>
      <c r="V74" s="45"/>
      <c r="W74" s="45"/>
      <c r="X74" s="45"/>
      <c r="Y74" s="45" t="str">
        <f>IFERROR(__xludf.DUMMYFUNCTION("""COMPUTED_VALUE"""),"Luis Pasteur plan P")</f>
        <v>Luis Pasteur plan P</v>
      </c>
      <c r="Z74" s="7" t="str">
        <f>IFERROR(__xludf.DUMMYFUNCTION("""COMPUTED_VALUE"""),"No")</f>
        <v>No</v>
      </c>
      <c r="AA74" s="7" t="str">
        <f>IFERROR(__xludf.DUMMYFUNCTION("""COMPUTED_VALUE"""),"Acepto")</f>
        <v>Acepto</v>
      </c>
      <c r="AB74" s="7" t="str">
        <f>IFERROR(__xludf.DUMMYFUNCTION("""COMPUTED_VALUE"""),"Terminado")</f>
        <v>Terminado</v>
      </c>
      <c r="AC74" s="7">
        <f>IFERROR(__xludf.DUMMYFUNCTION("""COMPUTED_VALUE"""),50000.0)</f>
        <v>50000</v>
      </c>
      <c r="AD74" s="7">
        <f>IFERROR(__xludf.DUMMYFUNCTION("""COMPUTED_VALUE"""),205097.0)</f>
        <v>205097</v>
      </c>
      <c r="AE74" s="7" t="str">
        <f>IFERROR(__xludf.DUMMYFUNCTION("""COMPUTED_VALUE"""),"TRF 30-08")</f>
        <v>TRF 30-08</v>
      </c>
      <c r="AF74" s="7" t="str">
        <f>IFERROR(__xludf.DUMMYFUNCTION("""COMPUTED_VALUE"""),"OK")</f>
        <v>OK</v>
      </c>
      <c r="AG74" s="45" t="str">
        <f>IFERROR(__xludf.DUMMYFUNCTION("""COMPUTED_VALUE"""),"SI")</f>
        <v>SI</v>
      </c>
    </row>
    <row r="75">
      <c r="B75" s="42">
        <f>IFERROR(__xludf.DUMMYFUNCTION("""COMPUTED_VALUE"""),45536.67926104167)</f>
        <v>45536.67926</v>
      </c>
      <c r="C75" s="43" t="str">
        <f>IFERROR(__xludf.DUMMYFUNCTION("""COMPUTED_VALUE"""),"Lian ")</f>
        <v>Lian </v>
      </c>
      <c r="D75" s="43" t="str">
        <f>IFERROR(__xludf.DUMMYFUNCTION("""COMPUTED_VALUE"""),"Sahlin")</f>
        <v>Sahlin</v>
      </c>
      <c r="E75" s="43" t="str">
        <f>IFERROR(__xludf.DUMMYFUNCTION("""COMPUTED_VALUE"""),"Berisso")</f>
        <v>Berisso</v>
      </c>
      <c r="F75" s="7" t="str">
        <f>IFERROR(__xludf.DUMMYFUNCTION("""COMPUTED_VALUE"""),"ARG")</f>
        <v>ARG</v>
      </c>
      <c r="G75" s="7">
        <f>IFERROR(__xludf.DUMMYFUNCTION("""COMPUTED_VALUE"""),5.0977925E7)</f>
        <v>50977925</v>
      </c>
      <c r="H75" s="44">
        <f>IFERROR(__xludf.DUMMYFUNCTION("""COMPUTED_VALUE"""),40654.0)</f>
        <v>40654</v>
      </c>
      <c r="I75" s="45">
        <f>IFERROR(__xludf.DUMMYFUNCTION("""COMPUTED_VALUE"""),2.213645199E9)</f>
        <v>2213645199</v>
      </c>
      <c r="J75" s="45">
        <f>IFERROR(__xludf.DUMMYFUNCTION("""COMPUTED_VALUE"""),2.215577978E9)</f>
        <v>2215577978</v>
      </c>
      <c r="K75" s="45" t="str">
        <f>IFERROR(__xludf.DUMMYFUNCTION("""COMPUTED_VALUE"""),"Sanchezmariaale@gmail.com")</f>
        <v>Sanchezmariaale@gmail.com</v>
      </c>
      <c r="L75" s="45" t="str">
        <f>IFERROR(__xludf.DUMMYFUNCTION("""COMPUTED_VALUE"""),"Masculino")</f>
        <v>Masculino</v>
      </c>
      <c r="M75" s="45" t="str">
        <f>IFERROR(__xludf.DUMMYFUNCTION("""COMPUTED_VALUE"""),"CRLP")</f>
        <v>CRLP</v>
      </c>
      <c r="N75" s="45" t="str">
        <f>IFERROR(__xludf.DUMMYFUNCTION("""COMPUTED_VALUE"""),"Interior (Optimist)")</f>
        <v>Interior (Optimist)</v>
      </c>
      <c r="O75" s="45" t="str">
        <f>IFERROR(__xludf.DUMMYFUNCTION("""COMPUTED_VALUE"""),"OPTIMIST PRINCIPIANTES")</f>
        <v>OPTIMIST PRINCIPIANTES</v>
      </c>
      <c r="P75" s="45"/>
      <c r="Q75" s="45">
        <f>IFERROR(__xludf.DUMMYFUNCTION("""COMPUTED_VALUE"""),3121.0)</f>
        <v>3121</v>
      </c>
      <c r="R75" s="45"/>
      <c r="S75" s="45" t="str">
        <f>IFERROR(__xludf.DUMMYFUNCTION("""COMPUTED_VALUE"""),"Lian Sahlin Joaquin Ignacio ")</f>
        <v>Lian Sahlin Joaquin Ignacio </v>
      </c>
      <c r="T75" s="45"/>
      <c r="U75" s="45"/>
      <c r="V75" s="45"/>
      <c r="W75" s="45"/>
      <c r="X75" s="45"/>
      <c r="Y75" s="45"/>
      <c r="Z75" s="7" t="str">
        <f>IFERROR(__xludf.DUMMYFUNCTION("""COMPUTED_VALUE"""),"Si")</f>
        <v>Si</v>
      </c>
      <c r="AA75" s="7" t="str">
        <f>IFERROR(__xludf.DUMMYFUNCTION("""COMPUTED_VALUE"""),"Acepto")</f>
        <v>Acepto</v>
      </c>
      <c r="AB75" s="7" t="str">
        <f>IFERROR(__xludf.DUMMYFUNCTION("""COMPUTED_VALUE"""),"Terminado")</f>
        <v>Terminado</v>
      </c>
      <c r="AC75" s="7">
        <f>IFERROR(__xludf.DUMMYFUNCTION("""COMPUTED_VALUE"""),50000.0)</f>
        <v>50000</v>
      </c>
      <c r="AD75" s="7">
        <f>IFERROR(__xludf.DUMMYFUNCTION("""COMPUTED_VALUE"""),205439.0)</f>
        <v>205439</v>
      </c>
      <c r="AE75" s="7" t="str">
        <f>IFERROR(__xludf.DUMMYFUNCTION("""COMPUTED_VALUE"""),"TRF 04-09")</f>
        <v>TRF 04-09</v>
      </c>
      <c r="AF75" s="7" t="str">
        <f>IFERROR(__xludf.DUMMYFUNCTION("""COMPUTED_VALUE"""),"OK")</f>
        <v>OK</v>
      </c>
      <c r="AG75" s="45"/>
    </row>
    <row r="76">
      <c r="B76" s="42">
        <f>IFERROR(__xludf.DUMMYFUNCTION("""COMPUTED_VALUE"""),45533.7954466088)</f>
        <v>45533.79545</v>
      </c>
      <c r="C76" s="43" t="str">
        <f>IFERROR(__xludf.DUMMYFUNCTION("""COMPUTED_VALUE"""),"Luca")</f>
        <v>Luca</v>
      </c>
      <c r="D76" s="43" t="str">
        <f>IFERROR(__xludf.DUMMYFUNCTION("""COMPUTED_VALUE"""),"Salvatierra")</f>
        <v>Salvatierra</v>
      </c>
      <c r="E76" s="43" t="str">
        <f>IFERROR(__xludf.DUMMYFUNCTION("""COMPUTED_VALUE"""),"San Isidro")</f>
        <v>San Isidro</v>
      </c>
      <c r="F76" s="7" t="str">
        <f>IFERROR(__xludf.DUMMYFUNCTION("""COMPUTED_VALUE"""),"ARG")</f>
        <v>ARG</v>
      </c>
      <c r="G76" s="7">
        <f>IFERROR(__xludf.DUMMYFUNCTION("""COMPUTED_VALUE"""),5.3285019E7)</f>
        <v>53285019</v>
      </c>
      <c r="H76" s="44">
        <f>IFERROR(__xludf.DUMMYFUNCTION("""COMPUTED_VALUE"""),41412.0)</f>
        <v>41412</v>
      </c>
      <c r="I76" s="45">
        <f>IFERROR(__xludf.DUMMYFUNCTION("""COMPUTED_VALUE"""),1.13368816E9)</f>
        <v>1133688160</v>
      </c>
      <c r="J76" s="45">
        <f>IFERROR(__xludf.DUMMYFUNCTION("""COMPUTED_VALUE"""),1.160151345E9)</f>
        <v>1160151345</v>
      </c>
      <c r="K76" s="45" t="str">
        <f>IFERROR(__xludf.DUMMYFUNCTION("""COMPUTED_VALUE"""),"anabellasg33@gmail.com")</f>
        <v>anabellasg33@gmail.com</v>
      </c>
      <c r="L76" s="45" t="str">
        <f>IFERROR(__xludf.DUMMYFUNCTION("""COMPUTED_VALUE"""),"Masculino")</f>
        <v>Masculino</v>
      </c>
      <c r="M76" s="45" t="str">
        <f>IFERROR(__xludf.DUMMYFUNCTION("""COMPUTED_VALUE"""),"CPNLB")</f>
        <v>CPNLB</v>
      </c>
      <c r="N76" s="45" t="str">
        <f>IFERROR(__xludf.DUMMYFUNCTION("""COMPUTED_VALUE"""),"sub 12")</f>
        <v>sub 12</v>
      </c>
      <c r="O76" s="45" t="str">
        <f>IFERROR(__xludf.DUMMYFUNCTION("""COMPUTED_VALUE"""),"OPTIMIST PRINCIPIANTES")</f>
        <v>OPTIMIST PRINCIPIANTES</v>
      </c>
      <c r="P76" s="45"/>
      <c r="Q76" s="45">
        <f>IFERROR(__xludf.DUMMYFUNCTION("""COMPUTED_VALUE"""),3022.0)</f>
        <v>3022</v>
      </c>
      <c r="R76" s="45"/>
      <c r="S76" s="45"/>
      <c r="T76" s="45"/>
      <c r="U76" s="45"/>
      <c r="V76" s="45"/>
      <c r="W76" s="45"/>
      <c r="X76" s="45"/>
      <c r="Y76" s="45" t="str">
        <f>IFERROR(__xludf.DUMMYFUNCTION("""COMPUTED_VALUE"""),"omint 1820230900011")</f>
        <v>omint 1820230900011</v>
      </c>
      <c r="Z76" s="7" t="str">
        <f>IFERROR(__xludf.DUMMYFUNCTION("""COMPUTED_VALUE"""),"Si")</f>
        <v>Si</v>
      </c>
      <c r="AA76" s="7" t="str">
        <f>IFERROR(__xludf.DUMMYFUNCTION("""COMPUTED_VALUE"""),"Acepto")</f>
        <v>Acepto</v>
      </c>
      <c r="AB76" s="7" t="str">
        <f>IFERROR(__xludf.DUMMYFUNCTION("""COMPUTED_VALUE"""),"Terminado")</f>
        <v>Terminado</v>
      </c>
      <c r="AC76" s="7">
        <f>IFERROR(__xludf.DUMMYFUNCTION("""COMPUTED_VALUE"""),50000.0)</f>
        <v>50000</v>
      </c>
      <c r="AD76" s="7">
        <f>IFERROR(__xludf.DUMMYFUNCTION("""COMPUTED_VALUE"""),205084.0)</f>
        <v>205084</v>
      </c>
      <c r="AE76" s="7" t="str">
        <f>IFERROR(__xludf.DUMMYFUNCTION("""COMPUTED_VALUE"""),"TRF 29-08")</f>
        <v>TRF 29-08</v>
      </c>
      <c r="AF76" s="7" t="str">
        <f>IFERROR(__xludf.DUMMYFUNCTION("""COMPUTED_VALUE"""),"OK")</f>
        <v>OK</v>
      </c>
      <c r="AG76" s="45" t="str">
        <f>IFERROR(__xludf.DUMMYFUNCTION("""COMPUTED_VALUE"""),"SI")</f>
        <v>SI</v>
      </c>
    </row>
    <row r="77">
      <c r="B77" s="42">
        <f>IFERROR(__xludf.DUMMYFUNCTION("""COMPUTED_VALUE"""),45534.56100173611)</f>
        <v>45534.561</v>
      </c>
      <c r="C77" s="43" t="str">
        <f>IFERROR(__xludf.DUMMYFUNCTION("""COMPUTED_VALUE"""),"Agustina")</f>
        <v>Agustina</v>
      </c>
      <c r="D77" s="43" t="str">
        <f>IFERROR(__xludf.DUMMYFUNCTION("""COMPUTED_VALUE"""),"Schere Pena")</f>
        <v>Schere Pena</v>
      </c>
      <c r="E77" s="43" t="str">
        <f>IFERROR(__xludf.DUMMYFUNCTION("""COMPUTED_VALUE"""),"CABA")</f>
        <v>CABA</v>
      </c>
      <c r="F77" s="7" t="str">
        <f>IFERROR(__xludf.DUMMYFUNCTION("""COMPUTED_VALUE"""),"ARG")</f>
        <v>ARG</v>
      </c>
      <c r="G77" s="7">
        <f>IFERROR(__xludf.DUMMYFUNCTION("""COMPUTED_VALUE"""),5.3087006E7)</f>
        <v>53087006</v>
      </c>
      <c r="H77" s="44">
        <f>IFERROR(__xludf.DUMMYFUNCTION("""COMPUTED_VALUE"""),41308.0)</f>
        <v>41308</v>
      </c>
      <c r="I77" s="45">
        <f>IFERROR(__xludf.DUMMYFUNCTION("""COMPUTED_VALUE"""),1.144915661E9)</f>
        <v>1144915661</v>
      </c>
      <c r="J77" s="45">
        <f>IFERROR(__xludf.DUMMYFUNCTION("""COMPUTED_VALUE"""),1.144915661E9)</f>
        <v>1144915661</v>
      </c>
      <c r="K77" s="45" t="str">
        <f>IFERROR(__xludf.DUMMYFUNCTION("""COMPUTED_VALUE"""),"luciano.schere@gmail.com")</f>
        <v>luciano.schere@gmail.com</v>
      </c>
      <c r="L77" s="45" t="str">
        <f>IFERROR(__xludf.DUMMYFUNCTION("""COMPUTED_VALUE"""),"Femenino")</f>
        <v>Femenino</v>
      </c>
      <c r="M77" s="45" t="str">
        <f>IFERROR(__xludf.DUMMYFUNCTION("""COMPUTED_VALUE"""),"YCA")</f>
        <v>YCA</v>
      </c>
      <c r="N77" s="45" t="str">
        <f>IFERROR(__xludf.DUMMYFUNCTION("""COMPUTED_VALUE"""),"Femenino")</f>
        <v>Femenino</v>
      </c>
      <c r="O77" s="45" t="str">
        <f>IFERROR(__xludf.DUMMYFUNCTION("""COMPUTED_VALUE"""),"OPTIMIST PRINCIPIANTES")</f>
        <v>OPTIMIST PRINCIPIANTES</v>
      </c>
      <c r="P77" s="45"/>
      <c r="Q77" s="45">
        <f>IFERROR(__xludf.DUMMYFUNCTION("""COMPUTED_VALUE"""),3681.0)</f>
        <v>3681</v>
      </c>
      <c r="R77" s="45" t="str">
        <f>IFERROR(__xludf.DUMMYFUNCTION("""COMPUTED_VALUE"""),"Aguamarina")</f>
        <v>Aguamarina</v>
      </c>
      <c r="S77" s="45" t="str">
        <f>IFERROR(__xludf.DUMMYFUNCTION("""COMPUTED_VALUE"""),"Agustina Schere Pena")</f>
        <v>Agustina Schere Pena</v>
      </c>
      <c r="T77" s="45"/>
      <c r="U77" s="45"/>
      <c r="V77" s="45"/>
      <c r="W77" s="45"/>
      <c r="X77" s="45"/>
      <c r="Y77" s="45" t="str">
        <f>IFERROR(__xludf.DUMMYFUNCTION("""COMPUTED_VALUE"""),"OSDE / 60 950760 4 03")</f>
        <v>OSDE / 60 950760 4 03</v>
      </c>
      <c r="Z77" s="7" t="str">
        <f>IFERROR(__xludf.DUMMYFUNCTION("""COMPUTED_VALUE"""),"Si")</f>
        <v>Si</v>
      </c>
      <c r="AA77" s="7" t="str">
        <f>IFERROR(__xludf.DUMMYFUNCTION("""COMPUTED_VALUE"""),"Acepto")</f>
        <v>Acepto</v>
      </c>
      <c r="AB77" s="7" t="str">
        <f>IFERROR(__xludf.DUMMYFUNCTION("""COMPUTED_VALUE"""),"Terminado")</f>
        <v>Terminado</v>
      </c>
      <c r="AC77" s="7">
        <f>IFERROR(__xludf.DUMMYFUNCTION("""COMPUTED_VALUE"""),50000.0)</f>
        <v>50000</v>
      </c>
      <c r="AD77" s="7">
        <f>IFERROR(__xludf.DUMMYFUNCTION("""COMPUTED_VALUE"""),205102.0)</f>
        <v>205102</v>
      </c>
      <c r="AE77" s="7" t="str">
        <f>IFERROR(__xludf.DUMMYFUNCTION("""COMPUTED_VALUE"""),"TRF 30-08")</f>
        <v>TRF 30-08</v>
      </c>
      <c r="AF77" s="7" t="str">
        <f>IFERROR(__xludf.DUMMYFUNCTION("""COMPUTED_VALUE"""),"Pendiente")</f>
        <v>Pendiente</v>
      </c>
      <c r="AG77" s="45"/>
    </row>
    <row r="78">
      <c r="B78" s="42">
        <f>IFERROR(__xludf.DUMMYFUNCTION("""COMPUTED_VALUE"""),45537.43801982639)</f>
        <v>45537.43802</v>
      </c>
      <c r="C78" s="43" t="str">
        <f>IFERROR(__xludf.DUMMYFUNCTION("""COMPUTED_VALUE"""),"Juana")</f>
        <v>Juana</v>
      </c>
      <c r="D78" s="43" t="str">
        <f>IFERROR(__xludf.DUMMYFUNCTION("""COMPUTED_VALUE"""),"Stella")</f>
        <v>Stella</v>
      </c>
      <c r="E78" s="43" t="str">
        <f>IFERROR(__xludf.DUMMYFUNCTION("""COMPUTED_VALUE"""),"Caba")</f>
        <v>Caba</v>
      </c>
      <c r="F78" s="7" t="str">
        <f>IFERROR(__xludf.DUMMYFUNCTION("""COMPUTED_VALUE"""),"ARG")</f>
        <v>ARG</v>
      </c>
      <c r="G78" s="7">
        <f>IFERROR(__xludf.DUMMYFUNCTION("""COMPUTED_VALUE"""),5.3856601E7)</f>
        <v>53856601</v>
      </c>
      <c r="H78" s="44">
        <f>IFERROR(__xludf.DUMMYFUNCTION("""COMPUTED_VALUE"""),41714.0)</f>
        <v>41714</v>
      </c>
      <c r="I78" s="45">
        <f>IFERROR(__xludf.DUMMYFUNCTION("""COMPUTED_VALUE"""),1.144006748E9)</f>
        <v>1144006748</v>
      </c>
      <c r="J78" s="45" t="str">
        <f>IFERROR(__xludf.DUMMYFUNCTION("""COMPUTED_VALUE"""),"1144734415 / 1144006748")</f>
        <v>1144734415 / 1144006748</v>
      </c>
      <c r="K78" s="45" t="str">
        <f>IFERROR(__xludf.DUMMYFUNCTION("""COMPUTED_VALUE"""),"Macarenafe@hotmail.com")</f>
        <v>Macarenafe@hotmail.com</v>
      </c>
      <c r="L78" s="45" t="str">
        <f>IFERROR(__xludf.DUMMYFUNCTION("""COMPUTED_VALUE"""),"Femenino")</f>
        <v>Femenino</v>
      </c>
      <c r="M78" s="45" t="str">
        <f>IFERROR(__xludf.DUMMYFUNCTION("""COMPUTED_VALUE"""),"CVB")</f>
        <v>CVB</v>
      </c>
      <c r="N78" s="45" t="str">
        <f>IFERROR(__xludf.DUMMYFUNCTION("""COMPUTED_VALUE"""),"Optimist principiante")</f>
        <v>Optimist principiante</v>
      </c>
      <c r="O78" s="45" t="str">
        <f>IFERROR(__xludf.DUMMYFUNCTION("""COMPUTED_VALUE"""),"OPTIMIST PRINCIPIANTES")</f>
        <v>OPTIMIST PRINCIPIANTES</v>
      </c>
      <c r="P78" s="45"/>
      <c r="Q78" s="45">
        <f>IFERROR(__xludf.DUMMYFUNCTION("""COMPUTED_VALUE"""),3633.0)</f>
        <v>3633</v>
      </c>
      <c r="R78" s="45" t="str">
        <f>IFERROR(__xludf.DUMMYFUNCTION("""COMPUTED_VALUE"""),"Tsunami")</f>
        <v>Tsunami</v>
      </c>
      <c r="S78" s="45"/>
      <c r="T78" s="45"/>
      <c r="U78" s="45"/>
      <c r="V78" s="45"/>
      <c r="W78" s="45"/>
      <c r="X78" s="45"/>
      <c r="Y78" s="45" t="str">
        <f>IFERROR(__xludf.DUMMYFUNCTION("""COMPUTED_VALUE"""),"Swiss Medical ")</f>
        <v>Swiss Medical </v>
      </c>
      <c r="Z78" s="7" t="str">
        <f>IFERROR(__xludf.DUMMYFUNCTION("""COMPUTED_VALUE"""),"Si")</f>
        <v>Si</v>
      </c>
      <c r="AA78" s="7" t="str">
        <f>IFERROR(__xludf.DUMMYFUNCTION("""COMPUTED_VALUE"""),"Acepto")</f>
        <v>Acepto</v>
      </c>
      <c r="AB78" s="7" t="str">
        <f>IFERROR(__xludf.DUMMYFUNCTION("""COMPUTED_VALUE"""),"Terminado")</f>
        <v>Terminado</v>
      </c>
      <c r="AC78" s="7">
        <f>IFERROR(__xludf.DUMMYFUNCTION("""COMPUTED_VALUE"""),50000.0)</f>
        <v>50000</v>
      </c>
      <c r="AD78" s="7">
        <f>IFERROR(__xludf.DUMMYFUNCTION("""COMPUTED_VALUE"""),205604.0)</f>
        <v>205604</v>
      </c>
      <c r="AE78" s="7" t="str">
        <f>IFERROR(__xludf.DUMMYFUNCTION("""COMPUTED_VALUE"""),"TRF 09-09")</f>
        <v>TRF 09-09</v>
      </c>
      <c r="AF78" s="7" t="str">
        <f>IFERROR(__xludf.DUMMYFUNCTION("""COMPUTED_VALUE"""),"OK")</f>
        <v>OK</v>
      </c>
      <c r="AG78" s="45" t="str">
        <f>IFERROR(__xludf.DUMMYFUNCTION("""COMPUTED_VALUE"""),"SI")</f>
        <v>SI</v>
      </c>
    </row>
    <row r="79">
      <c r="B79" s="42">
        <f>IFERROR(__xludf.DUMMYFUNCTION("""COMPUTED_VALUE"""),45535.749397708336)</f>
        <v>45535.7494</v>
      </c>
      <c r="C79" s="43" t="str">
        <f>IFERROR(__xludf.DUMMYFUNCTION("""COMPUTED_VALUE"""),"Pilar")</f>
        <v>Pilar</v>
      </c>
      <c r="D79" s="43" t="str">
        <f>IFERROR(__xludf.DUMMYFUNCTION("""COMPUTED_VALUE"""),"Taborda")</f>
        <v>Taborda</v>
      </c>
      <c r="E79" s="43" t="str">
        <f>IFERROR(__xludf.DUMMYFUNCTION("""COMPUTED_VALUE"""),"Quilmes")</f>
        <v>Quilmes</v>
      </c>
      <c r="F79" s="7" t="str">
        <f>IFERROR(__xludf.DUMMYFUNCTION("""COMPUTED_VALUE"""),"ARG")</f>
        <v>ARG</v>
      </c>
      <c r="G79" s="7">
        <f>IFERROR(__xludf.DUMMYFUNCTION("""COMPUTED_VALUE"""),5.1124069E7)</f>
        <v>51124069</v>
      </c>
      <c r="H79" s="44">
        <f>IFERROR(__xludf.DUMMYFUNCTION("""COMPUTED_VALUE"""),40669.0)</f>
        <v>40669</v>
      </c>
      <c r="I79" s="45">
        <f>IFERROR(__xludf.DUMMYFUNCTION("""COMPUTED_VALUE"""),1.161239522E9)</f>
        <v>1161239522</v>
      </c>
      <c r="J79" s="45">
        <f>IFERROR(__xludf.DUMMYFUNCTION("""COMPUTED_VALUE"""),1.161239522E9)</f>
        <v>1161239522</v>
      </c>
      <c r="K79" s="45" t="str">
        <f>IFERROR(__xludf.DUMMYFUNCTION("""COMPUTED_VALUE"""),"marielavmendiburu@hotmail.com")</f>
        <v>marielavmendiburu@hotmail.com</v>
      </c>
      <c r="L79" s="45" t="str">
        <f>IFERROR(__xludf.DUMMYFUNCTION("""COMPUTED_VALUE"""),"Femenino")</f>
        <v>Femenino</v>
      </c>
      <c r="M79" s="45" t="str">
        <f>IFERROR(__xludf.DUMMYFUNCTION("""COMPUTED_VALUE"""),"CNQ")</f>
        <v>CNQ</v>
      </c>
      <c r="N79" s="45" t="str">
        <f>IFERROR(__xludf.DUMMYFUNCTION("""COMPUTED_VALUE"""),"Interior (Optimist)")</f>
        <v>Interior (Optimist)</v>
      </c>
      <c r="O79" s="45" t="str">
        <f>IFERROR(__xludf.DUMMYFUNCTION("""COMPUTED_VALUE"""),"OPTIMIST PRINCIPIANTES")</f>
        <v>OPTIMIST PRINCIPIANTES</v>
      </c>
      <c r="P79" s="45"/>
      <c r="Q79" s="45">
        <f>IFERROR(__xludf.DUMMYFUNCTION("""COMPUTED_VALUE"""),3983.0)</f>
        <v>3983</v>
      </c>
      <c r="R79" s="45"/>
      <c r="S79" s="45"/>
      <c r="T79" s="45"/>
      <c r="U79" s="45"/>
      <c r="V79" s="45"/>
      <c r="W79" s="45"/>
      <c r="X79" s="45"/>
      <c r="Y79" s="45" t="str">
        <f>IFERROR(__xludf.DUMMYFUNCTION("""COMPUTED_VALUE"""),"Osde")</f>
        <v>Osde</v>
      </c>
      <c r="Z79" s="7" t="str">
        <f>IFERROR(__xludf.DUMMYFUNCTION("""COMPUTED_VALUE"""),"Si")</f>
        <v>Si</v>
      </c>
      <c r="AA79" s="7" t="str">
        <f>IFERROR(__xludf.DUMMYFUNCTION("""COMPUTED_VALUE"""),"Acepto")</f>
        <v>Acepto</v>
      </c>
      <c r="AB79" s="7" t="str">
        <f>IFERROR(__xludf.DUMMYFUNCTION("""COMPUTED_VALUE"""),"Terminado")</f>
        <v>Terminado</v>
      </c>
      <c r="AC79" s="7">
        <f>IFERROR(__xludf.DUMMYFUNCTION("""COMPUTED_VALUE"""),50000.0)</f>
        <v>50000</v>
      </c>
      <c r="AD79" s="7">
        <f>IFERROR(__xludf.DUMMYFUNCTION("""COMPUTED_VALUE"""),205351.0)</f>
        <v>205351</v>
      </c>
      <c r="AE79" s="7" t="str">
        <f>IFERROR(__xludf.DUMMYFUNCTION("""COMPUTED_VALUE"""),"TRF 31-08")</f>
        <v>TRF 31-08</v>
      </c>
      <c r="AF79" s="7" t="str">
        <f>IFERROR(__xludf.DUMMYFUNCTION("""COMPUTED_VALUE"""),"OK")</f>
        <v>OK</v>
      </c>
      <c r="AG79" s="45" t="str">
        <f>IFERROR(__xludf.DUMMYFUNCTION("""COMPUTED_VALUE"""),"SI")</f>
        <v>SI</v>
      </c>
    </row>
    <row r="80">
      <c r="B80" s="42">
        <f>IFERROR(__xludf.DUMMYFUNCTION("""COMPUTED_VALUE"""),45532.76182190972)</f>
        <v>45532.76182</v>
      </c>
      <c r="C80" s="43" t="str">
        <f>IFERROR(__xludf.DUMMYFUNCTION("""COMPUTED_VALUE"""),"MARCOS SEBASTIÁN ")</f>
        <v>MARCOS SEBASTIÁN </v>
      </c>
      <c r="D80" s="43" t="str">
        <f>IFERROR(__xludf.DUMMYFUNCTION("""COMPUTED_VALUE"""),"TEJADA IBAÑEZ ")</f>
        <v>TEJADA IBAÑEZ </v>
      </c>
      <c r="E80" s="43" t="str">
        <f>IFERROR(__xludf.DUMMYFUNCTION("""COMPUTED_VALUE"""),"Berazategui ")</f>
        <v>Berazategui </v>
      </c>
      <c r="F80" s="7" t="str">
        <f>IFERROR(__xludf.DUMMYFUNCTION("""COMPUTED_VALUE"""),"ARG")</f>
        <v>ARG</v>
      </c>
      <c r="G80" s="7">
        <f>IFERROR(__xludf.DUMMYFUNCTION("""COMPUTED_VALUE"""),5.3690319E7)</f>
        <v>53690319</v>
      </c>
      <c r="H80" s="44">
        <f>IFERROR(__xludf.DUMMYFUNCTION("""COMPUTED_VALUE"""),41434.0)</f>
        <v>41434</v>
      </c>
      <c r="I80" s="45">
        <f>IFERROR(__xludf.DUMMYFUNCTION("""COMPUTED_VALUE"""),2.215036037E9)</f>
        <v>2215036037</v>
      </c>
      <c r="J80" s="45" t="str">
        <f>IFERROR(__xludf.DUMMYFUNCTION("""COMPUTED_VALUE"""),"2215036037 / 2215700125")</f>
        <v>2215036037 / 2215700125</v>
      </c>
      <c r="K80" s="45" t="str">
        <f>IFERROR(__xludf.DUMMYFUNCTION("""COMPUTED_VALUE"""),"tifamilia@gmail.com")</f>
        <v>tifamilia@gmail.com</v>
      </c>
      <c r="L80" s="45" t="str">
        <f>IFERROR(__xludf.DUMMYFUNCTION("""COMPUTED_VALUE"""),"Masculino")</f>
        <v>Masculino</v>
      </c>
      <c r="M80" s="45" t="str">
        <f>IFERROR(__xludf.DUMMYFUNCTION("""COMPUTED_VALUE"""),"CNAs")</f>
        <v>CNAs</v>
      </c>
      <c r="N80" s="45" t="str">
        <f>IFERROR(__xludf.DUMMYFUNCTION("""COMPUTED_VALUE"""),"Interior (Optimist)")</f>
        <v>Interior (Optimist)</v>
      </c>
      <c r="O80" s="45" t="str">
        <f>IFERROR(__xludf.DUMMYFUNCTION("""COMPUTED_VALUE"""),"OPTIMIST PRINCIPIANTES")</f>
        <v>OPTIMIST PRINCIPIANTES</v>
      </c>
      <c r="P80" s="45"/>
      <c r="Q80" s="45">
        <f>IFERROR(__xludf.DUMMYFUNCTION("""COMPUTED_VALUE"""),4110.0)</f>
        <v>4110</v>
      </c>
      <c r="R80" s="45" t="str">
        <f>IFERROR(__xludf.DUMMYFUNCTION("""COMPUTED_VALUE"""),"MARK")</f>
        <v>MARK</v>
      </c>
      <c r="S80" s="45"/>
      <c r="T80" s="45"/>
      <c r="U80" s="45"/>
      <c r="V80" s="45"/>
      <c r="W80" s="45"/>
      <c r="X80" s="45"/>
      <c r="Y80" s="45"/>
      <c r="Z80" s="7" t="str">
        <f>IFERROR(__xludf.DUMMYFUNCTION("""COMPUTED_VALUE"""),"Si")</f>
        <v>Si</v>
      </c>
      <c r="AA80" s="7" t="str">
        <f>IFERROR(__xludf.DUMMYFUNCTION("""COMPUTED_VALUE"""),"Acepto")</f>
        <v>Acepto</v>
      </c>
      <c r="AB80" s="7" t="str">
        <f>IFERROR(__xludf.DUMMYFUNCTION("""COMPUTED_VALUE"""),"Terminado")</f>
        <v>Terminado</v>
      </c>
      <c r="AC80" s="7">
        <f>IFERROR(__xludf.DUMMYFUNCTION("""COMPUTED_VALUE"""),50000.0)</f>
        <v>50000</v>
      </c>
      <c r="AD80" s="7">
        <f>IFERROR(__xludf.DUMMYFUNCTION("""COMPUTED_VALUE"""),205644.0)</f>
        <v>205644</v>
      </c>
      <c r="AE80" s="7" t="str">
        <f>IFERROR(__xludf.DUMMYFUNCTION("""COMPUTED_VALUE"""),"TRF 10-09")</f>
        <v>TRF 10-09</v>
      </c>
      <c r="AF80" s="7" t="str">
        <f>IFERROR(__xludf.DUMMYFUNCTION("""COMPUTED_VALUE"""),"OK")</f>
        <v>OK</v>
      </c>
      <c r="AG80" s="45"/>
    </row>
    <row r="81">
      <c r="B81" s="42">
        <f>IFERROR(__xludf.DUMMYFUNCTION("""COMPUTED_VALUE"""),45537.83661827546)</f>
        <v>45537.83662</v>
      </c>
      <c r="C81" s="43" t="str">
        <f>IFERROR(__xludf.DUMMYFUNCTION("""COMPUTED_VALUE"""),"Joaquin ")</f>
        <v>Joaquin </v>
      </c>
      <c r="D81" s="43" t="str">
        <f>IFERROR(__xludf.DUMMYFUNCTION("""COMPUTED_VALUE"""),"Tommasi")</f>
        <v>Tommasi</v>
      </c>
      <c r="E81" s="43" t="str">
        <f>IFERROR(__xludf.DUMMYFUNCTION("""COMPUTED_VALUE"""),"Buenos Aires ")</f>
        <v>Buenos Aires </v>
      </c>
      <c r="F81" s="7" t="str">
        <f>IFERROR(__xludf.DUMMYFUNCTION("""COMPUTED_VALUE"""),"ARG")</f>
        <v>ARG</v>
      </c>
      <c r="G81" s="7">
        <f>IFERROR(__xludf.DUMMYFUNCTION("""COMPUTED_VALUE"""),5.2763901E7)</f>
        <v>52763901</v>
      </c>
      <c r="H81" s="44">
        <f>IFERROR(__xludf.DUMMYFUNCTION("""COMPUTED_VALUE"""),41194.0)</f>
        <v>41194</v>
      </c>
      <c r="I81" s="45">
        <f>IFERROR(__xludf.DUMMYFUNCTION("""COMPUTED_VALUE"""),4.0485362E7)</f>
        <v>40485362</v>
      </c>
      <c r="J81" s="45">
        <f>IFERROR(__xludf.DUMMYFUNCTION("""COMPUTED_VALUE"""),4.9485362E7)</f>
        <v>49485362</v>
      </c>
      <c r="K81" s="45" t="str">
        <f>IFERROR(__xludf.DUMMYFUNCTION("""COMPUTED_VALUE"""),"Rftommasi@hotmail.com")</f>
        <v>Rftommasi@hotmail.com</v>
      </c>
      <c r="L81" s="45" t="str">
        <f>IFERROR(__xludf.DUMMYFUNCTION("""COMPUTED_VALUE"""),"Masculino")</f>
        <v>Masculino</v>
      </c>
      <c r="M81" s="45" t="str">
        <f>IFERROR(__xludf.DUMMYFUNCTION("""COMPUTED_VALUE"""),"CNSI")</f>
        <v>CNSI</v>
      </c>
      <c r="N81" s="45"/>
      <c r="O81" s="45" t="str">
        <f>IFERROR(__xludf.DUMMYFUNCTION("""COMPUTED_VALUE"""),"OPTIMIST PRINCIPIANTES")</f>
        <v>OPTIMIST PRINCIPIANTES</v>
      </c>
      <c r="P81" s="45"/>
      <c r="Q81" s="45">
        <f>IFERROR(__xludf.DUMMYFUNCTION("""COMPUTED_VALUE"""),3924.0)</f>
        <v>3924</v>
      </c>
      <c r="R81" s="45" t="str">
        <f>IFERROR(__xludf.DUMMYFUNCTION("""COMPUTED_VALUE"""),"Solana ")</f>
        <v>Solana </v>
      </c>
      <c r="S81" s="45"/>
      <c r="T81" s="45"/>
      <c r="U81" s="45"/>
      <c r="V81" s="45"/>
      <c r="W81" s="45"/>
      <c r="X81" s="45"/>
      <c r="Y81" s="45" t="str">
        <f>IFERROR(__xludf.DUMMYFUNCTION("""COMPUTED_VALUE"""),"Osde ")</f>
        <v>Osde </v>
      </c>
      <c r="Z81" s="7" t="str">
        <f>IFERROR(__xludf.DUMMYFUNCTION("""COMPUTED_VALUE"""),"No")</f>
        <v>No</v>
      </c>
      <c r="AA81" s="7" t="str">
        <f>IFERROR(__xludf.DUMMYFUNCTION("""COMPUTED_VALUE"""),"Acepto")</f>
        <v>Acepto</v>
      </c>
      <c r="AB81" s="7" t="str">
        <f>IFERROR(__xludf.DUMMYFUNCTION("""COMPUTED_VALUE"""),"Terminado")</f>
        <v>Terminado</v>
      </c>
      <c r="AC81" s="7">
        <f>IFERROR(__xludf.DUMMYFUNCTION("""COMPUTED_VALUE"""),50000.0)</f>
        <v>50000</v>
      </c>
      <c r="AD81" s="7">
        <f>IFERROR(__xludf.DUMMYFUNCTION("""COMPUTED_VALUE"""),205512.0)</f>
        <v>205512</v>
      </c>
      <c r="AE81" s="7" t="str">
        <f>IFERROR(__xludf.DUMMYFUNCTION("""COMPUTED_VALUE"""),"TRF 05-09")</f>
        <v>TRF 05-09</v>
      </c>
      <c r="AF81" s="7" t="str">
        <f>IFERROR(__xludf.DUMMYFUNCTION("""COMPUTED_VALUE"""),"OK")</f>
        <v>OK</v>
      </c>
      <c r="AG81" s="45"/>
    </row>
    <row r="82">
      <c r="B82" s="42">
        <f>IFERROR(__xludf.DUMMYFUNCTION("""COMPUTED_VALUE"""),45535.368253912035)</f>
        <v>45535.36825</v>
      </c>
      <c r="C82" s="43" t="str">
        <f>IFERROR(__xludf.DUMMYFUNCTION("""COMPUTED_VALUE"""),"José ")</f>
        <v>José </v>
      </c>
      <c r="D82" s="43" t="str">
        <f>IFERROR(__xludf.DUMMYFUNCTION("""COMPUTED_VALUE"""),"Vázquez del Campo ")</f>
        <v>Vázquez del Campo </v>
      </c>
      <c r="E82" s="43" t="str">
        <f>IFERROR(__xludf.DUMMYFUNCTION("""COMPUTED_VALUE"""),"Tigre")</f>
        <v>Tigre</v>
      </c>
      <c r="F82" s="7" t="str">
        <f>IFERROR(__xludf.DUMMYFUNCTION("""COMPUTED_VALUE"""),"ARG")</f>
        <v>ARG</v>
      </c>
      <c r="G82" s="7">
        <f>IFERROR(__xludf.DUMMYFUNCTION("""COMPUTED_VALUE"""),5.421295E7)</f>
        <v>54212950</v>
      </c>
      <c r="H82" s="44">
        <f>IFERROR(__xludf.DUMMYFUNCTION("""COMPUTED_VALUE"""),41893.0)</f>
        <v>41893</v>
      </c>
      <c r="I82" s="45">
        <f>IFERROR(__xludf.DUMMYFUNCTION("""COMPUTED_VALUE"""),1.159948383E9)</f>
        <v>1159948383</v>
      </c>
      <c r="J82" s="45"/>
      <c r="K82" s="45" t="str">
        <f>IFERROR(__xludf.DUMMYFUNCTION("""COMPUTED_VALUE"""),"lucreciadelcampo@gmail.com")</f>
        <v>lucreciadelcampo@gmail.com</v>
      </c>
      <c r="L82" s="45" t="str">
        <f>IFERROR(__xludf.DUMMYFUNCTION("""COMPUTED_VALUE"""),"Masculino")</f>
        <v>Masculino</v>
      </c>
      <c r="M82" s="45" t="str">
        <f>IFERROR(__xludf.DUMMYFUNCTION("""COMPUTED_VALUE"""),"CNSI")</f>
        <v>CNSI</v>
      </c>
      <c r="N82" s="45" t="str">
        <f>IFERROR(__xludf.DUMMYFUNCTION("""COMPUTED_VALUE"""),"Interior (Optimist)")</f>
        <v>Interior (Optimist)</v>
      </c>
      <c r="O82" s="45" t="str">
        <f>IFERROR(__xludf.DUMMYFUNCTION("""COMPUTED_VALUE"""),"OPTIMIST PRINCIPIANTES")</f>
        <v>OPTIMIST PRINCIPIANTES</v>
      </c>
      <c r="P82" s="45"/>
      <c r="Q82" s="45">
        <f>IFERROR(__xludf.DUMMYFUNCTION("""COMPUTED_VALUE"""),3700.0)</f>
        <v>3700</v>
      </c>
      <c r="R82" s="45"/>
      <c r="S82" s="45"/>
      <c r="T82" s="45"/>
      <c r="U82" s="45"/>
      <c r="V82" s="45"/>
      <c r="W82" s="45"/>
      <c r="X82" s="45"/>
      <c r="Y82" s="45"/>
      <c r="Z82" s="7" t="str">
        <f>IFERROR(__xludf.DUMMYFUNCTION("""COMPUTED_VALUE"""),"No")</f>
        <v>No</v>
      </c>
      <c r="AA82" s="7" t="str">
        <f>IFERROR(__xludf.DUMMYFUNCTION("""COMPUTED_VALUE"""),"Acepto")</f>
        <v>Acepto</v>
      </c>
      <c r="AB82" s="7" t="str">
        <f>IFERROR(__xludf.DUMMYFUNCTION("""COMPUTED_VALUE"""),"Terminado")</f>
        <v>Terminado</v>
      </c>
      <c r="AC82" s="7">
        <f>IFERROR(__xludf.DUMMYFUNCTION("""COMPUTED_VALUE"""),50000.0)</f>
        <v>50000</v>
      </c>
      <c r="AD82" s="7">
        <f>IFERROR(__xludf.DUMMYFUNCTION("""COMPUTED_VALUE"""),205166.0)</f>
        <v>205166</v>
      </c>
      <c r="AE82" s="7" t="str">
        <f>IFERROR(__xludf.DUMMYFUNCTION("""COMPUTED_VALUE"""),"TRF 31-08")</f>
        <v>TRF 31-08</v>
      </c>
      <c r="AF82" s="7" t="str">
        <f>IFERROR(__xludf.DUMMYFUNCTION("""COMPUTED_VALUE"""),"OK")</f>
        <v>OK</v>
      </c>
      <c r="AG82" s="45"/>
    </row>
    <row r="83">
      <c r="B83" s="42">
        <f>IFERROR(__xludf.DUMMYFUNCTION("""COMPUTED_VALUE"""),45539.893529270834)</f>
        <v>45539.89353</v>
      </c>
      <c r="C83" s="43" t="str">
        <f>IFERROR(__xludf.DUMMYFUNCTION("""COMPUTED_VALUE"""),"AGUSTINA MARIEL ")</f>
        <v>AGUSTINA MARIEL </v>
      </c>
      <c r="D83" s="43" t="str">
        <f>IFERROR(__xludf.DUMMYFUNCTION("""COMPUTED_VALUE"""),"VICENTE")</f>
        <v>VICENTE</v>
      </c>
      <c r="E83" s="43" t="str">
        <f>IFERROR(__xludf.DUMMYFUNCTION("""COMPUTED_VALUE"""),"MARTINEZ")</f>
        <v>MARTINEZ</v>
      </c>
      <c r="F83" s="7" t="str">
        <f>IFERROR(__xludf.DUMMYFUNCTION("""COMPUTED_VALUE"""),"ARG")</f>
        <v>ARG</v>
      </c>
      <c r="G83" s="7">
        <f>IFERROR(__xludf.DUMMYFUNCTION("""COMPUTED_VALUE"""),2.466388E7)</f>
        <v>24663880</v>
      </c>
      <c r="H83" s="44">
        <f>IFERROR(__xludf.DUMMYFUNCTION("""COMPUTED_VALUE"""),40851.0)</f>
        <v>40851</v>
      </c>
      <c r="I83" s="45" t="str">
        <f>IFERROR(__xludf.DUMMYFUNCTION("""COMPUTED_VALUE"""),"5773 7268")</f>
        <v>5773 7268</v>
      </c>
      <c r="J83" s="45" t="str">
        <f>IFERROR(__xludf.DUMMYFUNCTION("""COMPUTED_VALUE"""),"4577 3643")</f>
        <v>4577 3643</v>
      </c>
      <c r="K83" s="45" t="str">
        <f>IFERROR(__xludf.DUMMYFUNCTION("""COMPUTED_VALUE"""),"gabysorribas@hotmail.com")</f>
        <v>gabysorribas@hotmail.com</v>
      </c>
      <c r="L83" s="45" t="str">
        <f>IFERROR(__xludf.DUMMYFUNCTION("""COMPUTED_VALUE"""),"Femenino")</f>
        <v>Femenino</v>
      </c>
      <c r="M83" s="45" t="str">
        <f>IFERROR(__xludf.DUMMYFUNCTION("""COMPUTED_VALUE"""),"CNAs")</f>
        <v>CNAs</v>
      </c>
      <c r="N83" s="45" t="str">
        <f>IFERROR(__xludf.DUMMYFUNCTION("""COMPUTED_VALUE"""),"Interior (Optimist)")</f>
        <v>Interior (Optimist)</v>
      </c>
      <c r="O83" s="45" t="str">
        <f>IFERROR(__xludf.DUMMYFUNCTION("""COMPUTED_VALUE"""),"OPTIMIST PRINCIPIANTES")</f>
        <v>OPTIMIST PRINCIPIANTES</v>
      </c>
      <c r="P83" s="45"/>
      <c r="Q83" s="45">
        <f>IFERROR(__xludf.DUMMYFUNCTION("""COMPUTED_VALUE"""),3790.0)</f>
        <v>3790</v>
      </c>
      <c r="R83" s="45" t="str">
        <f>IFERROR(__xludf.DUMMYFUNCTION("""COMPUTED_VALUE"""),"ELÉCTRICA")</f>
        <v>ELÉCTRICA</v>
      </c>
      <c r="S83" s="45" t="str">
        <f>IFERROR(__xludf.DUMMYFUNCTION("""COMPUTED_VALUE"""),"AGUSTINA MARIEL VICENTE")</f>
        <v>AGUSTINA MARIEL VICENTE</v>
      </c>
      <c r="T83" s="45"/>
      <c r="U83" s="45"/>
      <c r="V83" s="45"/>
      <c r="W83" s="45"/>
      <c r="X83" s="45"/>
      <c r="Y83" s="45" t="str">
        <f>IFERROR(__xludf.DUMMYFUNCTION("""COMPUTED_VALUE"""),"OSDE PLAN 410 - 60916572004")</f>
        <v>OSDE PLAN 410 - 60916572004</v>
      </c>
      <c r="Z83" s="7" t="str">
        <f>IFERROR(__xludf.DUMMYFUNCTION("""COMPUTED_VALUE"""),"Si")</f>
        <v>Si</v>
      </c>
      <c r="AA83" s="7" t="str">
        <f>IFERROR(__xludf.DUMMYFUNCTION("""COMPUTED_VALUE"""),"Acepto")</f>
        <v>Acepto</v>
      </c>
      <c r="AB83" s="7" t="str">
        <f>IFERROR(__xludf.DUMMYFUNCTION("""COMPUTED_VALUE"""),"Terminado")</f>
        <v>Terminado</v>
      </c>
      <c r="AC83" s="7">
        <f>IFERROR(__xludf.DUMMYFUNCTION("""COMPUTED_VALUE"""),50000.0)</f>
        <v>50000</v>
      </c>
      <c r="AD83" s="7">
        <f>IFERROR(__xludf.DUMMYFUNCTION("""COMPUTED_VALUE"""),205609.0)</f>
        <v>205609</v>
      </c>
      <c r="AE83" s="7" t="str">
        <f>IFERROR(__xludf.DUMMYFUNCTION("""COMPUTED_VALUE"""),"TRF 09-09")</f>
        <v>TRF 09-09</v>
      </c>
      <c r="AF83" s="7" t="str">
        <f>IFERROR(__xludf.DUMMYFUNCTION("""COMPUTED_VALUE"""),"OK")</f>
        <v>OK</v>
      </c>
      <c r="AG83" s="45"/>
    </row>
    <row r="84">
      <c r="B84" s="42">
        <f>IFERROR(__xludf.DUMMYFUNCTION("""COMPUTED_VALUE"""),45535.66436834491)</f>
        <v>45535.66437</v>
      </c>
      <c r="C84" s="43" t="str">
        <f>IFERROR(__xludf.DUMMYFUNCTION("""COMPUTED_VALUE"""),"Amador")</f>
        <v>Amador</v>
      </c>
      <c r="D84" s="43" t="str">
        <f>IFERROR(__xludf.DUMMYFUNCTION("""COMPUTED_VALUE"""),"Victorel")</f>
        <v>Victorel</v>
      </c>
      <c r="E84" s="43" t="str">
        <f>IFERROR(__xludf.DUMMYFUNCTION("""COMPUTED_VALUE"""),"Caba ")</f>
        <v>Caba </v>
      </c>
      <c r="F84" s="7" t="str">
        <f>IFERROR(__xludf.DUMMYFUNCTION("""COMPUTED_VALUE"""),"ARG")</f>
        <v>ARG</v>
      </c>
      <c r="G84" s="7">
        <f>IFERROR(__xludf.DUMMYFUNCTION("""COMPUTED_VALUE"""),5.418927E7)</f>
        <v>54189270</v>
      </c>
      <c r="H84" s="44">
        <f>IFERROR(__xludf.DUMMYFUNCTION("""COMPUTED_VALUE"""),41869.0)</f>
        <v>41869</v>
      </c>
      <c r="I84" s="45">
        <f>IFERROR(__xludf.DUMMYFUNCTION("""COMPUTED_VALUE"""),1.131379444E9)</f>
        <v>1131379444</v>
      </c>
      <c r="J84" s="45">
        <f>IFERROR(__xludf.DUMMYFUNCTION("""COMPUTED_VALUE"""),1.131379444E9)</f>
        <v>1131379444</v>
      </c>
      <c r="K84" s="45" t="str">
        <f>IFERROR(__xludf.DUMMYFUNCTION("""COMPUTED_VALUE"""),"paula_treuque@hotmail.com")</f>
        <v>paula_treuque@hotmail.com</v>
      </c>
      <c r="L84" s="45" t="str">
        <f>IFERROR(__xludf.DUMMYFUNCTION("""COMPUTED_VALUE"""),"Masculino")</f>
        <v>Masculino</v>
      </c>
      <c r="M84" s="45" t="str">
        <f>IFERROR(__xludf.DUMMYFUNCTION("""COMPUTED_VALUE"""),"CGLMN")</f>
        <v>CGLMN</v>
      </c>
      <c r="N84" s="45" t="str">
        <f>IFERROR(__xludf.DUMMYFUNCTION("""COMPUTED_VALUE"""),"Interior (Optimist)")</f>
        <v>Interior (Optimist)</v>
      </c>
      <c r="O84" s="45" t="str">
        <f>IFERROR(__xludf.DUMMYFUNCTION("""COMPUTED_VALUE"""),"OPTIMIST PRINCIPIANTES")</f>
        <v>OPTIMIST PRINCIPIANTES</v>
      </c>
      <c r="P84" s="45"/>
      <c r="Q84" s="45">
        <f>IFERROR(__xludf.DUMMYFUNCTION("""COMPUTED_VALUE"""),3334.0)</f>
        <v>3334</v>
      </c>
      <c r="R84" s="45" t="str">
        <f>IFERROR(__xludf.DUMMYFUNCTION("""COMPUTED_VALUE"""),"Pancho")</f>
        <v>Pancho</v>
      </c>
      <c r="S84" s="45" t="str">
        <f>IFERROR(__xludf.DUMMYFUNCTION("""COMPUTED_VALUE"""),"Amador Victorel ")</f>
        <v>Amador Victorel </v>
      </c>
      <c r="T84" s="45"/>
      <c r="U84" s="45"/>
      <c r="V84" s="45"/>
      <c r="W84" s="45"/>
      <c r="X84" s="45"/>
      <c r="Y84" s="45"/>
      <c r="Z84" s="7" t="str">
        <f>IFERROR(__xludf.DUMMYFUNCTION("""COMPUTED_VALUE"""),"No")</f>
        <v>No</v>
      </c>
      <c r="AA84" s="7" t="str">
        <f>IFERROR(__xludf.DUMMYFUNCTION("""COMPUTED_VALUE"""),"Acepto")</f>
        <v>Acepto</v>
      </c>
      <c r="AB84" s="7" t="str">
        <f>IFERROR(__xludf.DUMMYFUNCTION("""COMPUTED_VALUE"""),"Terminado")</f>
        <v>Terminado</v>
      </c>
      <c r="AC84" s="7">
        <f>IFERROR(__xludf.DUMMYFUNCTION("""COMPUTED_VALUE"""),50000.0)</f>
        <v>50000</v>
      </c>
      <c r="AD84" s="7">
        <f>IFERROR(__xludf.DUMMYFUNCTION("""COMPUTED_VALUE"""),205362.0)</f>
        <v>205362</v>
      </c>
      <c r="AE84" s="7" t="str">
        <f>IFERROR(__xludf.DUMMYFUNCTION("""COMPUTED_VALUE"""),"TRF 31-08")</f>
        <v>TRF 31-08</v>
      </c>
      <c r="AF84" s="7" t="str">
        <f>IFERROR(__xludf.DUMMYFUNCTION("""COMPUTED_VALUE"""),"OK")</f>
        <v>OK</v>
      </c>
      <c r="AG84" s="45"/>
    </row>
    <row r="85">
      <c r="B85" s="42">
        <f>IFERROR(__xludf.DUMMYFUNCTION("""COMPUTED_VALUE"""),45534.41866435185)</f>
        <v>45534.41866</v>
      </c>
      <c r="C85" s="43" t="str">
        <f>IFERROR(__xludf.DUMMYFUNCTION("""COMPUTED_VALUE"""),"Camila")</f>
        <v>Camila</v>
      </c>
      <c r="D85" s="43" t="str">
        <f>IFERROR(__xludf.DUMMYFUNCTION("""COMPUTED_VALUE"""),"Volco")</f>
        <v>Volco</v>
      </c>
      <c r="E85" s="43" t="str">
        <f>IFERROR(__xludf.DUMMYFUNCTION("""COMPUTED_VALUE"""),"CABA")</f>
        <v>CABA</v>
      </c>
      <c r="F85" s="7" t="str">
        <f>IFERROR(__xludf.DUMMYFUNCTION("""COMPUTED_VALUE"""),"ARG")</f>
        <v>ARG</v>
      </c>
      <c r="G85" s="7">
        <f>IFERROR(__xludf.DUMMYFUNCTION("""COMPUTED_VALUE"""),5.0580988E7)</f>
        <v>50580988</v>
      </c>
      <c r="H85" s="44">
        <f>IFERROR(__xludf.DUMMYFUNCTION("""COMPUTED_VALUE"""),40456.0)</f>
        <v>40456</v>
      </c>
      <c r="I85" s="45">
        <f>IFERROR(__xludf.DUMMYFUNCTION("""COMPUTED_VALUE"""),1.14073102E9)</f>
        <v>1140731020</v>
      </c>
      <c r="J85" s="45">
        <f>IFERROR(__xludf.DUMMYFUNCTION("""COMPUTED_VALUE"""),1.14073102E9)</f>
        <v>1140731020</v>
      </c>
      <c r="K85" s="45" t="str">
        <f>IFERROR(__xludf.DUMMYFUNCTION("""COMPUTED_VALUE"""),"federico.volco@gmail.com")</f>
        <v>federico.volco@gmail.com</v>
      </c>
      <c r="L85" s="45" t="str">
        <f>IFERROR(__xludf.DUMMYFUNCTION("""COMPUTED_VALUE"""),"Femenino")</f>
        <v>Femenino</v>
      </c>
      <c r="M85" s="45" t="str">
        <f>IFERROR(__xludf.DUMMYFUNCTION("""COMPUTED_VALUE"""),"CVB")</f>
        <v>CVB</v>
      </c>
      <c r="N85" s="45" t="str">
        <f>IFERROR(__xludf.DUMMYFUNCTION("""COMPUTED_VALUE"""),"Femenino")</f>
        <v>Femenino</v>
      </c>
      <c r="O85" s="45" t="str">
        <f>IFERROR(__xludf.DUMMYFUNCTION("""COMPUTED_VALUE"""),"OPTIMIST PRINCIPIANTES")</f>
        <v>OPTIMIST PRINCIPIANTES</v>
      </c>
      <c r="P85" s="45"/>
      <c r="Q85" s="45">
        <f>IFERROR(__xludf.DUMMYFUNCTION("""COMPUTED_VALUE"""),3958.0)</f>
        <v>3958</v>
      </c>
      <c r="R85" s="45"/>
      <c r="S85" s="45"/>
      <c r="T85" s="45"/>
      <c r="U85" s="45"/>
      <c r="V85" s="45"/>
      <c r="W85" s="45"/>
      <c r="X85" s="45"/>
      <c r="Y85" s="45" t="str">
        <f>IFERROR(__xludf.DUMMYFUNCTION("""COMPUTED_VALUE"""),"OSDE")</f>
        <v>OSDE</v>
      </c>
      <c r="Z85" s="7" t="str">
        <f>IFERROR(__xludf.DUMMYFUNCTION("""COMPUTED_VALUE"""),"Si")</f>
        <v>Si</v>
      </c>
      <c r="AA85" s="7" t="str">
        <f>IFERROR(__xludf.DUMMYFUNCTION("""COMPUTED_VALUE"""),"Acepto")</f>
        <v>Acepto</v>
      </c>
      <c r="AB85" s="7" t="str">
        <f>IFERROR(__xludf.DUMMYFUNCTION("""COMPUTED_VALUE"""),"Terminado")</f>
        <v>Terminado</v>
      </c>
      <c r="AC85" s="7">
        <f>IFERROR(__xludf.DUMMYFUNCTION("""COMPUTED_VALUE"""),50000.0)</f>
        <v>50000</v>
      </c>
      <c r="AD85" s="7">
        <f>IFERROR(__xludf.DUMMYFUNCTION("""COMPUTED_VALUE"""),205076.0)</f>
        <v>205076</v>
      </c>
      <c r="AE85" s="7" t="str">
        <f>IFERROR(__xludf.DUMMYFUNCTION("""COMPUTED_VALUE"""),"Tarj 30-8")</f>
        <v>Tarj 30-8</v>
      </c>
      <c r="AF85" s="7" t="str">
        <f>IFERROR(__xludf.DUMMYFUNCTION("""COMPUTED_VALUE"""),"OK")</f>
        <v>OK</v>
      </c>
      <c r="AG85" s="45" t="str">
        <f>IFERROR(__xludf.DUMMYFUNCTION("""COMPUTED_VALUE"""),"SI")</f>
        <v>SI</v>
      </c>
    </row>
    <row r="86">
      <c r="B86" s="42">
        <f>IFERROR(__xludf.DUMMYFUNCTION("""COMPUTED_VALUE"""),45534.41953903935)</f>
        <v>45534.41954</v>
      </c>
      <c r="C86" s="43" t="str">
        <f>IFERROR(__xludf.DUMMYFUNCTION("""COMPUTED_VALUE"""),"Martina")</f>
        <v>Martina</v>
      </c>
      <c r="D86" s="43" t="str">
        <f>IFERROR(__xludf.DUMMYFUNCTION("""COMPUTED_VALUE"""),"Volco")</f>
        <v>Volco</v>
      </c>
      <c r="E86" s="43" t="str">
        <f>IFERROR(__xludf.DUMMYFUNCTION("""COMPUTED_VALUE"""),"CABA")</f>
        <v>CABA</v>
      </c>
      <c r="F86" s="7" t="str">
        <f>IFERROR(__xludf.DUMMYFUNCTION("""COMPUTED_VALUE"""),"ARG")</f>
        <v>ARG</v>
      </c>
      <c r="G86" s="7">
        <f>IFERROR(__xludf.DUMMYFUNCTION("""COMPUTED_VALUE"""),5.3474977E7)</f>
        <v>53474977</v>
      </c>
      <c r="H86" s="44">
        <f>IFERROR(__xludf.DUMMYFUNCTION("""COMPUTED_VALUE"""),41584.0)</f>
        <v>41584</v>
      </c>
      <c r="I86" s="45">
        <f>IFERROR(__xludf.DUMMYFUNCTION("""COMPUTED_VALUE"""),1.14073102E9)</f>
        <v>1140731020</v>
      </c>
      <c r="J86" s="45">
        <f>IFERROR(__xludf.DUMMYFUNCTION("""COMPUTED_VALUE"""),1.14073102E9)</f>
        <v>1140731020</v>
      </c>
      <c r="K86" s="45" t="str">
        <f>IFERROR(__xludf.DUMMYFUNCTION("""COMPUTED_VALUE"""),"federico.volco@gmail.com")</f>
        <v>federico.volco@gmail.com</v>
      </c>
      <c r="L86" s="45" t="str">
        <f>IFERROR(__xludf.DUMMYFUNCTION("""COMPUTED_VALUE"""),"Femenino")</f>
        <v>Femenino</v>
      </c>
      <c r="M86" s="45" t="str">
        <f>IFERROR(__xludf.DUMMYFUNCTION("""COMPUTED_VALUE"""),"CVB")</f>
        <v>CVB</v>
      </c>
      <c r="N86" s="45" t="str">
        <f>IFERROR(__xludf.DUMMYFUNCTION("""COMPUTED_VALUE"""),"Femenino")</f>
        <v>Femenino</v>
      </c>
      <c r="O86" s="45" t="str">
        <f>IFERROR(__xludf.DUMMYFUNCTION("""COMPUTED_VALUE"""),"OPTIMIST PRINCIPIANTES")</f>
        <v>OPTIMIST PRINCIPIANTES</v>
      </c>
      <c r="P86" s="45"/>
      <c r="Q86" s="45">
        <f>IFERROR(__xludf.DUMMYFUNCTION("""COMPUTED_VALUE"""),3702.0)</f>
        <v>3702</v>
      </c>
      <c r="R86" s="45"/>
      <c r="S86" s="45"/>
      <c r="T86" s="45"/>
      <c r="U86" s="45"/>
      <c r="V86" s="45"/>
      <c r="W86" s="45"/>
      <c r="X86" s="45"/>
      <c r="Y86" s="45" t="str">
        <f>IFERROR(__xludf.DUMMYFUNCTION("""COMPUTED_VALUE"""),"OSDE")</f>
        <v>OSDE</v>
      </c>
      <c r="Z86" s="7" t="str">
        <f>IFERROR(__xludf.DUMMYFUNCTION("""COMPUTED_VALUE"""),"Si")</f>
        <v>Si</v>
      </c>
      <c r="AA86" s="7" t="str">
        <f>IFERROR(__xludf.DUMMYFUNCTION("""COMPUTED_VALUE"""),"Acepto")</f>
        <v>Acepto</v>
      </c>
      <c r="AB86" s="7" t="str">
        <f>IFERROR(__xludf.DUMMYFUNCTION("""COMPUTED_VALUE"""),"Terminado")</f>
        <v>Terminado</v>
      </c>
      <c r="AC86" s="7">
        <f>IFERROR(__xludf.DUMMYFUNCTION("""COMPUTED_VALUE"""),50000.0)</f>
        <v>50000</v>
      </c>
      <c r="AD86" s="7">
        <f>IFERROR(__xludf.DUMMYFUNCTION("""COMPUTED_VALUE"""),205076.0)</f>
        <v>205076</v>
      </c>
      <c r="AE86" s="7" t="str">
        <f>IFERROR(__xludf.DUMMYFUNCTION("""COMPUTED_VALUE"""),"Tarj 30-8")</f>
        <v>Tarj 30-8</v>
      </c>
      <c r="AF86" s="7" t="str">
        <f>IFERROR(__xludf.DUMMYFUNCTION("""COMPUTED_VALUE"""),"OK")</f>
        <v>OK</v>
      </c>
      <c r="AG86" s="45" t="str">
        <f>IFERROR(__xludf.DUMMYFUNCTION("""COMPUTED_VALUE"""),"SI")</f>
        <v>SI</v>
      </c>
    </row>
    <row r="87">
      <c r="B87" s="42">
        <f>IFERROR(__xludf.DUMMYFUNCTION("""COMPUTED_VALUE"""),45534.73292391204)</f>
        <v>45534.73292</v>
      </c>
      <c r="C87" s="43" t="str">
        <f>IFERROR(__xludf.DUMMYFUNCTION("""COMPUTED_VALUE"""),"Carolina")</f>
        <v>Carolina</v>
      </c>
      <c r="D87" s="43" t="str">
        <f>IFERROR(__xludf.DUMMYFUNCTION("""COMPUTED_VALUE"""),"Zardini Suarez")</f>
        <v>Zardini Suarez</v>
      </c>
      <c r="E87" s="43" t="str">
        <f>IFERROR(__xludf.DUMMYFUNCTION("""COMPUTED_VALUE"""),"Beccar")</f>
        <v>Beccar</v>
      </c>
      <c r="F87" s="7" t="str">
        <f>IFERROR(__xludf.DUMMYFUNCTION("""COMPUTED_VALUE"""),"ARG")</f>
        <v>ARG</v>
      </c>
      <c r="G87" s="7">
        <f>IFERROR(__xludf.DUMMYFUNCTION("""COMPUTED_VALUE"""),5.3336217E7)</f>
        <v>53336217</v>
      </c>
      <c r="H87" s="44">
        <f>IFERROR(__xludf.DUMMYFUNCTION("""COMPUTED_VALUE"""),41453.0)</f>
        <v>41453</v>
      </c>
      <c r="I87" s="45">
        <f>IFERROR(__xludf.DUMMYFUNCTION("""COMPUTED_VALUE"""),1.167930157E9)</f>
        <v>1167930157</v>
      </c>
      <c r="J87" s="45">
        <f>IFERROR(__xludf.DUMMYFUNCTION("""COMPUTED_VALUE"""),1.167930157E9)</f>
        <v>1167930157</v>
      </c>
      <c r="K87" s="45" t="str">
        <f>IFERROR(__xludf.DUMMYFUNCTION("""COMPUTED_VALUE"""),"rzardini@hotmail.com")</f>
        <v>rzardini@hotmail.com</v>
      </c>
      <c r="L87" s="45" t="str">
        <f>IFERROR(__xludf.DUMMYFUNCTION("""COMPUTED_VALUE"""),"Femenino")</f>
        <v>Femenino</v>
      </c>
      <c r="M87" s="45" t="str">
        <f>IFERROR(__xludf.DUMMYFUNCTION("""COMPUTED_VALUE"""),"CGLNM")</f>
        <v>CGLNM</v>
      </c>
      <c r="N87" s="45" t="str">
        <f>IFERROR(__xludf.DUMMYFUNCTION("""COMPUTED_VALUE"""),"Femenino")</f>
        <v>Femenino</v>
      </c>
      <c r="O87" s="45" t="str">
        <f>IFERROR(__xludf.DUMMYFUNCTION("""COMPUTED_VALUE"""),"OPTIMIST PRINCIPIANTES")</f>
        <v>OPTIMIST PRINCIPIANTES</v>
      </c>
      <c r="P87" s="45"/>
      <c r="Q87" s="45">
        <f>IFERROR(__xludf.DUMMYFUNCTION("""COMPUTED_VALUE"""),3580.0)</f>
        <v>3580</v>
      </c>
      <c r="R87" s="45" t="str">
        <f>IFERROR(__xludf.DUMMYFUNCTION("""COMPUTED_VALUE"""),"Millas")</f>
        <v>Millas</v>
      </c>
      <c r="S87" s="45"/>
      <c r="T87" s="45"/>
      <c r="U87" s="45"/>
      <c r="V87" s="45"/>
      <c r="W87" s="45"/>
      <c r="X87" s="45"/>
      <c r="Y87" s="45" t="str">
        <f>IFERROR(__xludf.DUMMYFUNCTION("""COMPUTED_VALUE"""),"Osde 62902805104")</f>
        <v>Osde 62902805104</v>
      </c>
      <c r="Z87" s="7" t="str">
        <f>IFERROR(__xludf.DUMMYFUNCTION("""COMPUTED_VALUE"""),"Si")</f>
        <v>Si</v>
      </c>
      <c r="AA87" s="7" t="str">
        <f>IFERROR(__xludf.DUMMYFUNCTION("""COMPUTED_VALUE"""),"Acepto")</f>
        <v>Acepto</v>
      </c>
      <c r="AB87" s="7" t="str">
        <f>IFERROR(__xludf.DUMMYFUNCTION("""COMPUTED_VALUE"""),"Terminado")</f>
        <v>Terminado</v>
      </c>
      <c r="AC87" s="7">
        <f>IFERROR(__xludf.DUMMYFUNCTION("""COMPUTED_VALUE"""),50000.0)</f>
        <v>50000</v>
      </c>
      <c r="AD87" s="7">
        <f>IFERROR(__xludf.DUMMYFUNCTION("""COMPUTED_VALUE"""),205123.0)</f>
        <v>205123</v>
      </c>
      <c r="AE87" s="7" t="str">
        <f>IFERROR(__xludf.DUMMYFUNCTION("""COMPUTED_VALUE"""),"TRF 30-08")</f>
        <v>TRF 30-08</v>
      </c>
      <c r="AF87" s="7" t="str">
        <f>IFERROR(__xludf.DUMMYFUNCTION("""COMPUTED_VALUE"""),"OK")</f>
        <v>OK</v>
      </c>
      <c r="AG87" s="45"/>
    </row>
    <row r="88">
      <c r="B88" s="42">
        <f>IFERROR(__xludf.DUMMYFUNCTION("""COMPUTED_VALUE"""),45534.728305069446)</f>
        <v>45534.72831</v>
      </c>
      <c r="C88" s="43" t="str">
        <f>IFERROR(__xludf.DUMMYFUNCTION("""COMPUTED_VALUE"""),"Fernando")</f>
        <v>Fernando</v>
      </c>
      <c r="D88" s="43" t="str">
        <f>IFERROR(__xludf.DUMMYFUNCTION("""COMPUTED_VALUE"""),"Zardini Suárez ")</f>
        <v>Zardini Suárez </v>
      </c>
      <c r="E88" s="43" t="str">
        <f>IFERROR(__xludf.DUMMYFUNCTION("""COMPUTED_VALUE"""),"Beccar San Isidro")</f>
        <v>Beccar San Isidro</v>
      </c>
      <c r="F88" s="7" t="str">
        <f>IFERROR(__xludf.DUMMYFUNCTION("""COMPUTED_VALUE"""),"ARG")</f>
        <v>ARG</v>
      </c>
      <c r="G88" s="7">
        <f>IFERROR(__xludf.DUMMYFUNCTION("""COMPUTED_VALUE"""),5.2697717E7)</f>
        <v>52697717</v>
      </c>
      <c r="H88" s="44">
        <f>IFERROR(__xludf.DUMMYFUNCTION("""COMPUTED_VALUE"""),44429.0)</f>
        <v>44429</v>
      </c>
      <c r="I88" s="45">
        <f>IFERROR(__xludf.DUMMYFUNCTION("""COMPUTED_VALUE"""),1.167930157E9)</f>
        <v>1167930157</v>
      </c>
      <c r="J88" s="45">
        <f>IFERROR(__xludf.DUMMYFUNCTION("""COMPUTED_VALUE"""),1.167930157E9)</f>
        <v>1167930157</v>
      </c>
      <c r="K88" s="45" t="str">
        <f>IFERROR(__xludf.DUMMYFUNCTION("""COMPUTED_VALUE"""),"rzardini@hotmail.com")</f>
        <v>rzardini@hotmail.com</v>
      </c>
      <c r="L88" s="45" t="str">
        <f>IFERROR(__xludf.DUMMYFUNCTION("""COMPUTED_VALUE"""),"Masculino")</f>
        <v>Masculino</v>
      </c>
      <c r="M88" s="45" t="str">
        <f>IFERROR(__xludf.DUMMYFUNCTION("""COMPUTED_VALUE"""),"CGLNM")</f>
        <v>CGLNM</v>
      </c>
      <c r="N88" s="45" t="str">
        <f>IFERROR(__xludf.DUMMYFUNCTION("""COMPUTED_VALUE"""),"Interior (Optimist)")</f>
        <v>Interior (Optimist)</v>
      </c>
      <c r="O88" s="45" t="str">
        <f>IFERROR(__xludf.DUMMYFUNCTION("""COMPUTED_VALUE"""),"OPTIMIST PRINCIPIANTES")</f>
        <v>OPTIMIST PRINCIPIANTES</v>
      </c>
      <c r="P88" s="45"/>
      <c r="Q88" s="45">
        <f>IFERROR(__xludf.DUMMYFUNCTION("""COMPUTED_VALUE"""),3554.0)</f>
        <v>3554</v>
      </c>
      <c r="R88" s="45" t="str">
        <f>IFERROR(__xludf.DUMMYFUNCTION("""COMPUTED_VALUE"""),"Meteoro")</f>
        <v>Meteoro</v>
      </c>
      <c r="S88" s="45"/>
      <c r="T88" s="45"/>
      <c r="U88" s="45"/>
      <c r="V88" s="45"/>
      <c r="W88" s="45"/>
      <c r="X88" s="45"/>
      <c r="Y88" s="45" t="str">
        <f>IFERROR(__xludf.DUMMYFUNCTION("""COMPUTED_VALUE"""),"Osde 62902805103")</f>
        <v>Osde 62902805103</v>
      </c>
      <c r="Z88" s="7" t="str">
        <f>IFERROR(__xludf.DUMMYFUNCTION("""COMPUTED_VALUE"""),"Si")</f>
        <v>Si</v>
      </c>
      <c r="AA88" s="7" t="str">
        <f>IFERROR(__xludf.DUMMYFUNCTION("""COMPUTED_VALUE"""),"Acepto")</f>
        <v>Acepto</v>
      </c>
      <c r="AB88" s="7" t="str">
        <f>IFERROR(__xludf.DUMMYFUNCTION("""COMPUTED_VALUE"""),"Terminado")</f>
        <v>Terminado</v>
      </c>
      <c r="AC88" s="7">
        <f>IFERROR(__xludf.DUMMYFUNCTION("""COMPUTED_VALUE"""),50000.0)</f>
        <v>50000</v>
      </c>
      <c r="AD88" s="7">
        <f>IFERROR(__xludf.DUMMYFUNCTION("""COMPUTED_VALUE"""),205125.0)</f>
        <v>205125</v>
      </c>
      <c r="AE88" s="7" t="str">
        <f>IFERROR(__xludf.DUMMYFUNCTION("""COMPUTED_VALUE"""),"TRF 30-08")</f>
        <v>TRF 30-08</v>
      </c>
      <c r="AF88" s="7" t="str">
        <f>IFERROR(__xludf.DUMMYFUNCTION("""COMPUTED_VALUE"""),"OK")</f>
        <v>OK</v>
      </c>
      <c r="AG88" s="45"/>
    </row>
    <row r="89">
      <c r="B89" s="42">
        <f>IFERROR(__xludf.DUMMYFUNCTION("""COMPUTED_VALUE"""),45534.76825375)</f>
        <v>45534.76825</v>
      </c>
      <c r="C89" s="43" t="str">
        <f>IFERROR(__xludf.DUMMYFUNCTION("""COMPUTED_VALUE"""),"Marcos")</f>
        <v>Marcos</v>
      </c>
      <c r="D89" s="43" t="str">
        <f>IFERROR(__xludf.DUMMYFUNCTION("""COMPUTED_VALUE"""),"Zorraquin")</f>
        <v>Zorraquin</v>
      </c>
      <c r="E89" s="43" t="str">
        <f>IFERROR(__xludf.DUMMYFUNCTION("""COMPUTED_VALUE"""),"Buenos Aires")</f>
        <v>Buenos Aires</v>
      </c>
      <c r="F89" s="7" t="str">
        <f>IFERROR(__xludf.DUMMYFUNCTION("""COMPUTED_VALUE"""),"ARG")</f>
        <v>ARG</v>
      </c>
      <c r="G89" s="7">
        <f>IFERROR(__xludf.DUMMYFUNCTION("""COMPUTED_VALUE"""),5.3878557E7)</f>
        <v>53878557</v>
      </c>
      <c r="H89" s="44">
        <f>IFERROR(__xludf.DUMMYFUNCTION("""COMPUTED_VALUE"""),41728.0)</f>
        <v>41728</v>
      </c>
      <c r="I89" s="45">
        <f>IFERROR(__xludf.DUMMYFUNCTION("""COMPUTED_VALUE"""),1.149365363E9)</f>
        <v>1149365363</v>
      </c>
      <c r="J89" s="45">
        <f>IFERROR(__xludf.DUMMYFUNCTION("""COMPUTED_VALUE"""),1.141773095E9)</f>
        <v>1141773095</v>
      </c>
      <c r="K89" s="45" t="str">
        <f>IFERROR(__xludf.DUMMYFUNCTION("""COMPUTED_VALUE"""),"gzorraquin@gmail.com")</f>
        <v>gzorraquin@gmail.com</v>
      </c>
      <c r="L89" s="45" t="str">
        <f>IFERROR(__xludf.DUMMYFUNCTION("""COMPUTED_VALUE"""),"Masculino")</f>
        <v>Masculino</v>
      </c>
      <c r="M89" s="45" t="str">
        <f>IFERROR(__xludf.DUMMYFUNCTION("""COMPUTED_VALUE"""),"CNSI")</f>
        <v>CNSI</v>
      </c>
      <c r="N89" s="45" t="str">
        <f>IFERROR(__xludf.DUMMYFUNCTION("""COMPUTED_VALUE"""),"Interior (Optimist)")</f>
        <v>Interior (Optimist)</v>
      </c>
      <c r="O89" s="45" t="str">
        <f>IFERROR(__xludf.DUMMYFUNCTION("""COMPUTED_VALUE"""),"OPTIMIST PRINCIPIANTES")</f>
        <v>OPTIMIST PRINCIPIANTES</v>
      </c>
      <c r="P89" s="45"/>
      <c r="Q89" s="45">
        <f>IFERROR(__xludf.DUMMYFUNCTION("""COMPUTED_VALUE"""),3610.0)</f>
        <v>3610</v>
      </c>
      <c r="R89" s="45"/>
      <c r="S89" s="45"/>
      <c r="T89" s="45"/>
      <c r="U89" s="45"/>
      <c r="V89" s="45"/>
      <c r="W89" s="45"/>
      <c r="X89" s="45"/>
      <c r="Y89" s="45" t="str">
        <f>IFERROR(__xludf.DUMMYFUNCTION("""COMPUTED_VALUE"""),"Osde")</f>
        <v>Osde</v>
      </c>
      <c r="Z89" s="7" t="str">
        <f>IFERROR(__xludf.DUMMYFUNCTION("""COMPUTED_VALUE"""),"Si")</f>
        <v>Si</v>
      </c>
      <c r="AA89" s="7" t="str">
        <f>IFERROR(__xludf.DUMMYFUNCTION("""COMPUTED_VALUE"""),"Acepto")</f>
        <v>Acepto</v>
      </c>
      <c r="AB89" s="7" t="str">
        <f>IFERROR(__xludf.DUMMYFUNCTION("""COMPUTED_VALUE"""),"Terminado")</f>
        <v>Terminado</v>
      </c>
      <c r="AC89" s="7">
        <f>IFERROR(__xludf.DUMMYFUNCTION("""COMPUTED_VALUE"""),50000.0)</f>
        <v>50000</v>
      </c>
      <c r="AD89" s="7">
        <f>IFERROR(__xludf.DUMMYFUNCTION("""COMPUTED_VALUE"""),205131.0)</f>
        <v>205131</v>
      </c>
      <c r="AE89" s="7" t="str">
        <f>IFERROR(__xludf.DUMMYFUNCTION("""COMPUTED_VALUE"""),"TRF 30-08")</f>
        <v>TRF 30-08</v>
      </c>
      <c r="AF89" s="7" t="str">
        <f>IFERROR(__xludf.DUMMYFUNCTION("""COMPUTED_VALUE"""),"OK")</f>
        <v>OK</v>
      </c>
      <c r="AG89" s="45"/>
    </row>
    <row r="90">
      <c r="B90" s="42">
        <f>IFERROR(__xludf.DUMMYFUNCTION("""COMPUTED_VALUE"""),45540.904081319444)</f>
        <v>45540.90408</v>
      </c>
      <c r="C90" s="43" t="str">
        <f>IFERROR(__xludf.DUMMYFUNCTION("""COMPUTED_VALUE"""),"Tomás")</f>
        <v>Tomás</v>
      </c>
      <c r="D90" s="43" t="str">
        <f>IFERROR(__xludf.DUMMYFUNCTION("""COMPUTED_VALUE"""),"Nirich Smerling ")</f>
        <v>Nirich Smerling </v>
      </c>
      <c r="E90" s="43" t="str">
        <f>IFERROR(__xludf.DUMMYFUNCTION("""COMPUTED_VALUE"""),"SAN ISIDRO")</f>
        <v>SAN ISIDRO</v>
      </c>
      <c r="F90" s="7" t="str">
        <f>IFERROR(__xludf.DUMMYFUNCTION("""COMPUTED_VALUE"""),"ARG")</f>
        <v>ARG</v>
      </c>
      <c r="G90" s="7">
        <f>IFERROR(__xludf.DUMMYFUNCTION("""COMPUTED_VALUE"""),5.0509631E7)</f>
        <v>50509631</v>
      </c>
      <c r="H90" s="44">
        <f>IFERROR(__xludf.DUMMYFUNCTION("""COMPUTED_VALUE"""),40424.0)</f>
        <v>40424</v>
      </c>
      <c r="I90" s="45" t="str">
        <f>IFERROR(__xludf.DUMMYFUNCTION("""COMPUTED_VALUE"""),"11 40464258 ")</f>
        <v>11 40464258 </v>
      </c>
      <c r="J90" s="45" t="str">
        <f>IFERROR(__xludf.DUMMYFUNCTION("""COMPUTED_VALUE"""),"11 40464258 ")</f>
        <v>11 40464258 </v>
      </c>
      <c r="K90" s="45" t="str">
        <f>IFERROR(__xludf.DUMMYFUNCTION("""COMPUTED_VALUE"""),"Tamarasmerling@gmail.com")</f>
        <v>Tamarasmerling@gmail.com</v>
      </c>
      <c r="L90" s="45" t="str">
        <f>IFERROR(__xludf.DUMMYFUNCTION("""COMPUTED_VALUE"""),"Masculino")</f>
        <v>Masculino</v>
      </c>
      <c r="M90" s="45" t="str">
        <f>IFERROR(__xludf.DUMMYFUNCTION("""COMPUTED_VALUE"""),"CVSI ")</f>
        <v>CVSI </v>
      </c>
      <c r="N90" s="45" t="str">
        <f>IFERROR(__xludf.DUMMYFUNCTION("""COMPUTED_VALUE"""),"Interior (Optimist)")</f>
        <v>Interior (Optimist)</v>
      </c>
      <c r="O90" s="45" t="str">
        <f>IFERROR(__xludf.DUMMYFUNCTION("""COMPUTED_VALUE"""),"OPTIMIST PRINCIPIANTES")</f>
        <v>OPTIMIST PRINCIPIANTES</v>
      </c>
      <c r="P90" s="45"/>
      <c r="Q90" s="45">
        <f>IFERROR(__xludf.DUMMYFUNCTION("""COMPUTED_VALUE"""),3919.0)</f>
        <v>3919</v>
      </c>
      <c r="R90" s="45" t="str">
        <f>IFERROR(__xludf.DUMMYFUNCTION("""COMPUTED_VALUE"""),"Fresco ")</f>
        <v>Fresco </v>
      </c>
      <c r="S90" s="45"/>
      <c r="T90" s="45"/>
      <c r="U90" s="45"/>
      <c r="V90" s="45"/>
      <c r="W90" s="45"/>
      <c r="X90" s="45"/>
      <c r="Y90" s="45"/>
      <c r="Z90" s="7" t="str">
        <f>IFERROR(__xludf.DUMMYFUNCTION("""COMPUTED_VALUE"""),"Si")</f>
        <v>Si</v>
      </c>
      <c r="AA90" s="7" t="str">
        <f>IFERROR(__xludf.DUMMYFUNCTION("""COMPUTED_VALUE"""),"Acepto")</f>
        <v>Acepto</v>
      </c>
      <c r="AB90" s="7" t="str">
        <f>IFERROR(__xludf.DUMMYFUNCTION("""COMPUTED_VALUE"""),"Pendiente")</f>
        <v>Pendiente</v>
      </c>
      <c r="AC90" s="7"/>
      <c r="AD90" s="7"/>
      <c r="AE90" s="7"/>
      <c r="AF90" s="7" t="str">
        <f>IFERROR(__xludf.DUMMYFUNCTION("""COMPUTED_VALUE"""),"OK")</f>
        <v>OK</v>
      </c>
      <c r="AG90" s="45"/>
    </row>
    <row r="91">
      <c r="B91" s="42">
        <f>IFERROR(__xludf.DUMMYFUNCTION("""COMPUTED_VALUE"""),45541.49641850694)</f>
        <v>45541.49642</v>
      </c>
      <c r="C91" s="43" t="str">
        <f>IFERROR(__xludf.DUMMYFUNCTION("""COMPUTED_VALUE"""),"Alma ")</f>
        <v>Alma </v>
      </c>
      <c r="D91" s="43" t="str">
        <f>IFERROR(__xludf.DUMMYFUNCTION("""COMPUTED_VALUE"""),"Plou Peñafort")</f>
        <v>Plou Peñafort</v>
      </c>
      <c r="E91" s="43" t="str">
        <f>IFERROR(__xludf.DUMMYFUNCTION("""COMPUTED_VALUE"""),"San Isidro")</f>
        <v>San Isidro</v>
      </c>
      <c r="F91" s="7" t="str">
        <f>IFERROR(__xludf.DUMMYFUNCTION("""COMPUTED_VALUE"""),"ARG")</f>
        <v>ARG</v>
      </c>
      <c r="G91" s="7">
        <f>IFERROR(__xludf.DUMMYFUNCTION("""COMPUTED_VALUE"""),5.106968E7)</f>
        <v>51069680</v>
      </c>
      <c r="H91" s="44">
        <f>IFERROR(__xludf.DUMMYFUNCTION("""COMPUTED_VALUE"""),40630.0)</f>
        <v>40630</v>
      </c>
      <c r="I91" s="45">
        <f>IFERROR(__xludf.DUMMYFUNCTION("""COMPUTED_VALUE"""),1.167024533E9)</f>
        <v>1167024533</v>
      </c>
      <c r="J91" s="45">
        <f>IFERROR(__xludf.DUMMYFUNCTION("""COMPUTED_VALUE"""),1.167024533E9)</f>
        <v>1167024533</v>
      </c>
      <c r="K91" s="45" t="str">
        <f>IFERROR(__xludf.DUMMYFUNCTION("""COMPUTED_VALUE"""),"lilipenafort76@gmail.com ")</f>
        <v>lilipenafort76@gmail.com </v>
      </c>
      <c r="L91" s="45" t="str">
        <f>IFERROR(__xludf.DUMMYFUNCTION("""COMPUTED_VALUE"""),"Femenino")</f>
        <v>Femenino</v>
      </c>
      <c r="M91" s="45" t="str">
        <f>IFERROR(__xludf.DUMMYFUNCTION("""COMPUTED_VALUE"""),"CPNLB")</f>
        <v>CPNLB</v>
      </c>
      <c r="N91" s="45" t="str">
        <f>IFERROR(__xludf.DUMMYFUNCTION("""COMPUTED_VALUE"""),"Femenino")</f>
        <v>Femenino</v>
      </c>
      <c r="O91" s="45" t="str">
        <f>IFERROR(__xludf.DUMMYFUNCTION("""COMPUTED_VALUE"""),"OPTIMIST PRINCIPIANTES")</f>
        <v>OPTIMIST PRINCIPIANTES</v>
      </c>
      <c r="P91" s="45"/>
      <c r="Q91" s="45">
        <f>IFERROR(__xludf.DUMMYFUNCTION("""COMPUTED_VALUE"""),18910.0)</f>
        <v>18910</v>
      </c>
      <c r="R91" s="45"/>
      <c r="S91" s="45" t="str">
        <f>IFERROR(__xludf.DUMMYFUNCTION("""COMPUTED_VALUE"""),"Alma Plou Peñafort")</f>
        <v>Alma Plou Peñafort</v>
      </c>
      <c r="T91" s="45"/>
      <c r="U91" s="45"/>
      <c r="V91" s="45"/>
      <c r="W91" s="45"/>
      <c r="X91" s="45"/>
      <c r="Y91" s="45" t="str">
        <f>IFERROR(__xludf.DUMMYFUNCTION("""COMPUTED_VALUE"""),"OSDE")</f>
        <v>OSDE</v>
      </c>
      <c r="Z91" s="7" t="str">
        <f>IFERROR(__xludf.DUMMYFUNCTION("""COMPUTED_VALUE"""),"Si")</f>
        <v>Si</v>
      </c>
      <c r="AA91" s="7" t="str">
        <f>IFERROR(__xludf.DUMMYFUNCTION("""COMPUTED_VALUE"""),"Acepto")</f>
        <v>Acepto</v>
      </c>
      <c r="AB91" s="7" t="str">
        <f>IFERROR(__xludf.DUMMYFUNCTION("""COMPUTED_VALUE"""),"Terminado")</f>
        <v>Terminado</v>
      </c>
      <c r="AC91" s="7">
        <f>IFERROR(__xludf.DUMMYFUNCTION("""COMPUTED_VALUE"""),50000.0)</f>
        <v>50000</v>
      </c>
      <c r="AD91" s="7">
        <f>IFERROR(__xludf.DUMMYFUNCTION("""COMPUTED_VALUE"""),205670.0)</f>
        <v>205670</v>
      </c>
      <c r="AE91" s="7" t="str">
        <f>IFERROR(__xludf.DUMMYFUNCTION("""COMPUTED_VALUE"""),"TRF 10-09")</f>
        <v>TRF 10-09</v>
      </c>
      <c r="AF91" s="7" t="str">
        <f>IFERROR(__xludf.DUMMYFUNCTION("""COMPUTED_VALUE"""),"OK")</f>
        <v>OK</v>
      </c>
      <c r="AG91" s="45" t="str">
        <f>IFERROR(__xludf.DUMMYFUNCTION("""COMPUTED_VALUE"""),"SI")</f>
        <v>SI</v>
      </c>
    </row>
    <row r="92">
      <c r="B92" s="42">
        <f>IFERROR(__xludf.DUMMYFUNCTION("""COMPUTED_VALUE"""),45541.772605266204)</f>
        <v>45541.77261</v>
      </c>
      <c r="C92" s="43" t="str">
        <f>IFERROR(__xludf.DUMMYFUNCTION("""COMPUTED_VALUE"""),"Franco ")</f>
        <v>Franco </v>
      </c>
      <c r="D92" s="43" t="str">
        <f>IFERROR(__xludf.DUMMYFUNCTION("""COMPUTED_VALUE"""),"Baldi")</f>
        <v>Baldi</v>
      </c>
      <c r="E92" s="43" t="str">
        <f>IFERROR(__xludf.DUMMYFUNCTION("""COMPUTED_VALUE"""),"CABA")</f>
        <v>CABA</v>
      </c>
      <c r="F92" s="7" t="str">
        <f>IFERROR(__xludf.DUMMYFUNCTION("""COMPUTED_VALUE"""),"ARG")</f>
        <v>ARG</v>
      </c>
      <c r="G92" s="7">
        <f>IFERROR(__xludf.DUMMYFUNCTION("""COMPUTED_VALUE"""),5.3722572E7)</f>
        <v>53722572</v>
      </c>
      <c r="H92" s="44">
        <f>IFERROR(__xludf.DUMMYFUNCTION("""COMPUTED_VALUE"""),41677.0)</f>
        <v>41677</v>
      </c>
      <c r="I92" s="45">
        <f>IFERROR(__xludf.DUMMYFUNCTION("""COMPUTED_VALUE"""),5.61273635E8)</f>
        <v>561273635</v>
      </c>
      <c r="J92" s="45">
        <f>IFERROR(__xludf.DUMMYFUNCTION("""COMPUTED_VALUE"""),5.61273635E8)</f>
        <v>561273635</v>
      </c>
      <c r="K92" s="45" t="str">
        <f>IFERROR(__xludf.DUMMYFUNCTION("""COMPUTED_VALUE"""),"baldijulio@hotmail.com")</f>
        <v>baldijulio@hotmail.com</v>
      </c>
      <c r="L92" s="45" t="str">
        <f>IFERROR(__xludf.DUMMYFUNCTION("""COMPUTED_VALUE"""),"Masculino")</f>
        <v>Masculino</v>
      </c>
      <c r="M92" s="45" t="str">
        <f>IFERROR(__xludf.DUMMYFUNCTION("""COMPUTED_VALUE"""),"YCA")</f>
        <v>YCA</v>
      </c>
      <c r="N92" s="45" t="str">
        <f>IFERROR(__xludf.DUMMYFUNCTION("""COMPUTED_VALUE"""),"Interior (Optimist)")</f>
        <v>Interior (Optimist)</v>
      </c>
      <c r="O92" s="45" t="str">
        <f>IFERROR(__xludf.DUMMYFUNCTION("""COMPUTED_VALUE"""),"OPTIMIST PRINCIPIANTES")</f>
        <v>OPTIMIST PRINCIPIANTES</v>
      </c>
      <c r="P92" s="45"/>
      <c r="Q92" s="45">
        <f>IFERROR(__xludf.DUMMYFUNCTION("""COMPUTED_VALUE"""),3532.0)</f>
        <v>3532</v>
      </c>
      <c r="R92" s="45" t="str">
        <f>IFERROR(__xludf.DUMMYFUNCTION("""COMPUTED_VALUE"""),"FENIX")</f>
        <v>FENIX</v>
      </c>
      <c r="S92" s="45"/>
      <c r="T92" s="45"/>
      <c r="U92" s="45"/>
      <c r="V92" s="45"/>
      <c r="W92" s="45"/>
      <c r="X92" s="45"/>
      <c r="Y92" s="45" t="str">
        <f>IFERROR(__xludf.DUMMYFUNCTION("""COMPUTED_VALUE"""),"DOSUBA")</f>
        <v>DOSUBA</v>
      </c>
      <c r="Z92" s="7" t="str">
        <f>IFERROR(__xludf.DUMMYFUNCTION("""COMPUTED_VALUE"""),"No")</f>
        <v>No</v>
      </c>
      <c r="AA92" s="7" t="str">
        <f>IFERROR(__xludf.DUMMYFUNCTION("""COMPUTED_VALUE"""),"Acepto")</f>
        <v>Acepto</v>
      </c>
      <c r="AB92" s="7" t="str">
        <f>IFERROR(__xludf.DUMMYFUNCTION("""COMPUTED_VALUE"""),"Terminado")</f>
        <v>Terminado</v>
      </c>
      <c r="AC92" s="7">
        <f>IFERROR(__xludf.DUMMYFUNCTION("""COMPUTED_VALUE"""),50000.0)</f>
        <v>50000</v>
      </c>
      <c r="AD92" s="7">
        <f>IFERROR(__xludf.DUMMYFUNCTION("""COMPUTED_VALUE"""),205558.0)</f>
        <v>205558</v>
      </c>
      <c r="AE92" s="7" t="str">
        <f>IFERROR(__xludf.DUMMYFUNCTION("""COMPUTED_VALUE"""),"TRF 06-09")</f>
        <v>TRF 06-09</v>
      </c>
      <c r="AF92" s="7" t="str">
        <f>IFERROR(__xludf.DUMMYFUNCTION("""COMPUTED_VALUE"""),"OK")</f>
        <v>OK</v>
      </c>
      <c r="AG92" s="45"/>
    </row>
    <row r="93">
      <c r="B93" s="42">
        <f>IFERROR(__xludf.DUMMYFUNCTION("""COMPUTED_VALUE"""),45541.819056319444)</f>
        <v>45541.81906</v>
      </c>
      <c r="C93" s="43" t="str">
        <f>IFERROR(__xludf.DUMMYFUNCTION("""COMPUTED_VALUE"""),"GIULIANA")</f>
        <v>GIULIANA</v>
      </c>
      <c r="D93" s="43" t="str">
        <f>IFERROR(__xludf.DUMMYFUNCTION("""COMPUTED_VALUE"""),"CAREAGA COTTINI")</f>
        <v>CAREAGA COTTINI</v>
      </c>
      <c r="E93" s="43" t="str">
        <f>IFERROR(__xludf.DUMMYFUNCTION("""COMPUTED_VALUE"""),"SAN ISIDRO")</f>
        <v>SAN ISIDRO</v>
      </c>
      <c r="F93" s="7" t="str">
        <f>IFERROR(__xludf.DUMMYFUNCTION("""COMPUTED_VALUE"""),"ARG")</f>
        <v>ARG</v>
      </c>
      <c r="G93" s="7">
        <f>IFERROR(__xludf.DUMMYFUNCTION("""COMPUTED_VALUE"""),5.3208064E7)</f>
        <v>53208064</v>
      </c>
      <c r="H93" s="44">
        <f>IFERROR(__xludf.DUMMYFUNCTION("""COMPUTED_VALUE"""),41417.0)</f>
        <v>41417</v>
      </c>
      <c r="I93" s="45" t="str">
        <f>IFERROR(__xludf.DUMMYFUNCTION("""COMPUTED_VALUE"""),"0111555026751")</f>
        <v>0111555026751</v>
      </c>
      <c r="J93" s="45" t="str">
        <f>IFERROR(__xludf.DUMMYFUNCTION("""COMPUTED_VALUE"""),"0111555026751")</f>
        <v>0111555026751</v>
      </c>
      <c r="K93" s="45" t="str">
        <f>IFERROR(__xludf.DUMMYFUNCTION("""COMPUTED_VALUE"""),"estudiocareaga@gmail.com")</f>
        <v>estudiocareaga@gmail.com</v>
      </c>
      <c r="L93" s="45" t="str">
        <f>IFERROR(__xludf.DUMMYFUNCTION("""COMPUTED_VALUE"""),"Femenino")</f>
        <v>Femenino</v>
      </c>
      <c r="M93" s="45" t="str">
        <f>IFERROR(__xludf.DUMMYFUNCTION("""COMPUTED_VALUE"""),"CNSE")</f>
        <v>CNSE</v>
      </c>
      <c r="N93" s="45" t="str">
        <f>IFERROR(__xludf.DUMMYFUNCTION("""COMPUTED_VALUE"""),"Femenino")</f>
        <v>Femenino</v>
      </c>
      <c r="O93" s="45" t="str">
        <f>IFERROR(__xludf.DUMMYFUNCTION("""COMPUTED_VALUE"""),"OPTIMIST PRINCIPIANTES")</f>
        <v>OPTIMIST PRINCIPIANTES</v>
      </c>
      <c r="P93" s="45"/>
      <c r="Q93" s="45">
        <f>IFERROR(__xludf.DUMMYFUNCTION("""COMPUTED_VALUE"""),3458.0)</f>
        <v>3458</v>
      </c>
      <c r="R93" s="45" t="str">
        <f>IFERROR(__xludf.DUMMYFUNCTION("""COMPUTED_VALUE"""),"FLASHITO")</f>
        <v>FLASHITO</v>
      </c>
      <c r="S93" s="45"/>
      <c r="T93" s="45"/>
      <c r="U93" s="45"/>
      <c r="V93" s="45"/>
      <c r="W93" s="45"/>
      <c r="X93" s="45"/>
      <c r="Y93" s="45" t="str">
        <f>IFERROR(__xludf.DUMMYFUNCTION("""COMPUTED_VALUE"""),"OMINT")</f>
        <v>OMINT</v>
      </c>
      <c r="Z93" s="7" t="str">
        <f>IFERROR(__xludf.DUMMYFUNCTION("""COMPUTED_VALUE"""),"Si")</f>
        <v>Si</v>
      </c>
      <c r="AA93" s="7" t="str">
        <f>IFERROR(__xludf.DUMMYFUNCTION("""COMPUTED_VALUE"""),"Acepto")</f>
        <v>Acepto</v>
      </c>
      <c r="AB93" s="7" t="str">
        <f>IFERROR(__xludf.DUMMYFUNCTION("""COMPUTED_VALUE"""),"Terminado")</f>
        <v>Terminado</v>
      </c>
      <c r="AC93" s="7">
        <f>IFERROR(__xludf.DUMMYFUNCTION("""COMPUTED_VALUE"""),50000.0)</f>
        <v>50000</v>
      </c>
      <c r="AD93" s="7">
        <f>IFERROR(__xludf.DUMMYFUNCTION("""COMPUTED_VALUE"""),205650.0)</f>
        <v>205650</v>
      </c>
      <c r="AE93" s="7" t="str">
        <f>IFERROR(__xludf.DUMMYFUNCTION("""COMPUTED_VALUE"""),"TRF 10-09")</f>
        <v>TRF 10-09</v>
      </c>
      <c r="AF93" s="7" t="str">
        <f>IFERROR(__xludf.DUMMYFUNCTION("""COMPUTED_VALUE"""),"OK")</f>
        <v>OK</v>
      </c>
      <c r="AG93" s="45"/>
    </row>
    <row r="94">
      <c r="B94" s="42">
        <f>IFERROR(__xludf.DUMMYFUNCTION("""COMPUTED_VALUE"""),45541.82024916667)</f>
        <v>45541.82025</v>
      </c>
      <c r="C94" s="43" t="str">
        <f>IFERROR(__xludf.DUMMYFUNCTION("""COMPUTED_VALUE"""),"Maria Dolores")</f>
        <v>Maria Dolores</v>
      </c>
      <c r="D94" s="43" t="str">
        <f>IFERROR(__xludf.DUMMYFUNCTION("""COMPUTED_VALUE"""),"Azar")</f>
        <v>Azar</v>
      </c>
      <c r="E94" s="43" t="str">
        <f>IFERROR(__xludf.DUMMYFUNCTION("""COMPUTED_VALUE"""),"La Plata")</f>
        <v>La Plata</v>
      </c>
      <c r="F94" s="7" t="str">
        <f>IFERROR(__xludf.DUMMYFUNCTION("""COMPUTED_VALUE"""),"ARG")</f>
        <v>ARG</v>
      </c>
      <c r="G94" s="7">
        <f>IFERROR(__xludf.DUMMYFUNCTION("""COMPUTED_VALUE"""),5.0653382E7)</f>
        <v>50653382</v>
      </c>
      <c r="H94" s="44">
        <f>IFERROR(__xludf.DUMMYFUNCTION("""COMPUTED_VALUE"""),40478.0)</f>
        <v>40478</v>
      </c>
      <c r="I94" s="45">
        <f>IFERROR(__xludf.DUMMYFUNCTION("""COMPUTED_VALUE"""),2.215749477E9)</f>
        <v>2215749477</v>
      </c>
      <c r="J94" s="45">
        <f>IFERROR(__xludf.DUMMYFUNCTION("""COMPUTED_VALUE"""),2.216426873E9)</f>
        <v>2216426873</v>
      </c>
      <c r="K94" s="45" t="str">
        <f>IFERROR(__xludf.DUMMYFUNCTION("""COMPUTED_VALUE"""),"od.emilioazar@gmail.com")</f>
        <v>od.emilioazar@gmail.com</v>
      </c>
      <c r="L94" s="45" t="str">
        <f>IFERROR(__xludf.DUMMYFUNCTION("""COMPUTED_VALUE"""),"Femenino")</f>
        <v>Femenino</v>
      </c>
      <c r="M94" s="45" t="str">
        <f>IFERROR(__xludf.DUMMYFUNCTION("""COMPUTED_VALUE"""),"CRLP")</f>
        <v>CRLP</v>
      </c>
      <c r="N94" s="45" t="str">
        <f>IFERROR(__xludf.DUMMYFUNCTION("""COMPUTED_VALUE"""),"Femenino, Interior (Optimist)")</f>
        <v>Femenino, Interior (Optimist)</v>
      </c>
      <c r="O94" s="45" t="str">
        <f>IFERROR(__xludf.DUMMYFUNCTION("""COMPUTED_VALUE"""),"OPTIMIST PRINCIPIANTES")</f>
        <v>OPTIMIST PRINCIPIANTES</v>
      </c>
      <c r="P94" s="45"/>
      <c r="Q94" s="45">
        <f>IFERROR(__xludf.DUMMYFUNCTION("""COMPUTED_VALUE"""),3402.0)</f>
        <v>3402</v>
      </c>
      <c r="R94" s="45"/>
      <c r="S94" s="45" t="str">
        <f>IFERROR(__xludf.DUMMYFUNCTION("""COMPUTED_VALUE"""),"Maria Dolores Azar")</f>
        <v>Maria Dolores Azar</v>
      </c>
      <c r="T94" s="45"/>
      <c r="U94" s="45"/>
      <c r="V94" s="45"/>
      <c r="W94" s="45"/>
      <c r="X94" s="45"/>
      <c r="Y94" s="45"/>
      <c r="Z94" s="7" t="str">
        <f>IFERROR(__xludf.DUMMYFUNCTION("""COMPUTED_VALUE"""),"Si")</f>
        <v>Si</v>
      </c>
      <c r="AA94" s="7" t="str">
        <f>IFERROR(__xludf.DUMMYFUNCTION("""COMPUTED_VALUE"""),"Acepto")</f>
        <v>Acepto</v>
      </c>
      <c r="AB94" s="7" t="str">
        <f>IFERROR(__xludf.DUMMYFUNCTION("""COMPUTED_VALUE"""),"Terminado")</f>
        <v>Terminado</v>
      </c>
      <c r="AC94" s="7">
        <f>IFERROR(__xludf.DUMMYFUNCTION("""COMPUTED_VALUE"""),70000.0)</f>
        <v>70000</v>
      </c>
      <c r="AD94" s="7">
        <f>IFERROR(__xludf.DUMMYFUNCTION("""COMPUTED_VALUE"""),205559.0)</f>
        <v>205559</v>
      </c>
      <c r="AE94" s="7" t="str">
        <f>IFERROR(__xludf.DUMMYFUNCTION("""COMPUTED_VALUE"""),"TRF 06-09")</f>
        <v>TRF 06-09</v>
      </c>
      <c r="AF94" s="7" t="str">
        <f>IFERROR(__xludf.DUMMYFUNCTION("""COMPUTED_VALUE"""),"OK")</f>
        <v>OK</v>
      </c>
      <c r="AG94" s="45"/>
    </row>
    <row r="95">
      <c r="B95" s="42">
        <f>IFERROR(__xludf.DUMMYFUNCTION("""COMPUTED_VALUE"""),45541.82257010417)</f>
        <v>45541.82257</v>
      </c>
      <c r="C95" s="43" t="str">
        <f>IFERROR(__xludf.DUMMYFUNCTION("""COMPUTED_VALUE"""),"Maria Josefina")</f>
        <v>Maria Josefina</v>
      </c>
      <c r="D95" s="43" t="str">
        <f>IFERROR(__xludf.DUMMYFUNCTION("""COMPUTED_VALUE"""),"Azar")</f>
        <v>Azar</v>
      </c>
      <c r="E95" s="43" t="str">
        <f>IFERROR(__xludf.DUMMYFUNCTION("""COMPUTED_VALUE"""),"La Plata")</f>
        <v>La Plata</v>
      </c>
      <c r="F95" s="7" t="str">
        <f>IFERROR(__xludf.DUMMYFUNCTION("""COMPUTED_VALUE"""),"ARG")</f>
        <v>ARG</v>
      </c>
      <c r="G95" s="7">
        <f>IFERROR(__xludf.DUMMYFUNCTION("""COMPUTED_VALUE"""),5.3301205E7)</f>
        <v>53301205</v>
      </c>
      <c r="H95" s="44">
        <f>IFERROR(__xludf.DUMMYFUNCTION("""COMPUTED_VALUE"""),41454.0)</f>
        <v>41454</v>
      </c>
      <c r="I95" s="45">
        <f>IFERROR(__xludf.DUMMYFUNCTION("""COMPUTED_VALUE"""),2.215749477E9)</f>
        <v>2215749477</v>
      </c>
      <c r="J95" s="45">
        <f>IFERROR(__xludf.DUMMYFUNCTION("""COMPUTED_VALUE"""),2.216426873E9)</f>
        <v>2216426873</v>
      </c>
      <c r="K95" s="45" t="str">
        <f>IFERROR(__xludf.DUMMYFUNCTION("""COMPUTED_VALUE"""),"od.emilioazar@gmail.com")</f>
        <v>od.emilioazar@gmail.com</v>
      </c>
      <c r="L95" s="45" t="str">
        <f>IFERROR(__xludf.DUMMYFUNCTION("""COMPUTED_VALUE"""),"Femenino")</f>
        <v>Femenino</v>
      </c>
      <c r="M95" s="45" t="str">
        <f>IFERROR(__xludf.DUMMYFUNCTION("""COMPUTED_VALUE"""),"CRLP")</f>
        <v>CRLP</v>
      </c>
      <c r="N95" s="45" t="str">
        <f>IFERROR(__xludf.DUMMYFUNCTION("""COMPUTED_VALUE"""),"Femenino, Interior (Optimist)")</f>
        <v>Femenino, Interior (Optimist)</v>
      </c>
      <c r="O95" s="45" t="str">
        <f>IFERROR(__xludf.DUMMYFUNCTION("""COMPUTED_VALUE"""),"OPTIMIST PRINCIPIANTES")</f>
        <v>OPTIMIST PRINCIPIANTES</v>
      </c>
      <c r="P95" s="45"/>
      <c r="Q95" s="45">
        <f>IFERROR(__xludf.DUMMYFUNCTION("""COMPUTED_VALUE"""),3203.0)</f>
        <v>3203</v>
      </c>
      <c r="R95" s="45"/>
      <c r="S95" s="45" t="str">
        <f>IFERROR(__xludf.DUMMYFUNCTION("""COMPUTED_VALUE"""),"Maria Josefina Azar")</f>
        <v>Maria Josefina Azar</v>
      </c>
      <c r="T95" s="45"/>
      <c r="U95" s="45"/>
      <c r="V95" s="45"/>
      <c r="W95" s="45"/>
      <c r="X95" s="45"/>
      <c r="Y95" s="45"/>
      <c r="Z95" s="7" t="str">
        <f>IFERROR(__xludf.DUMMYFUNCTION("""COMPUTED_VALUE"""),"Si")</f>
        <v>Si</v>
      </c>
      <c r="AA95" s="7" t="str">
        <f>IFERROR(__xludf.DUMMYFUNCTION("""COMPUTED_VALUE"""),"Acepto")</f>
        <v>Acepto</v>
      </c>
      <c r="AB95" s="7" t="str">
        <f>IFERROR(__xludf.DUMMYFUNCTION("""COMPUTED_VALUE"""),"Terminado")</f>
        <v>Terminado</v>
      </c>
      <c r="AC95" s="7">
        <f>IFERROR(__xludf.DUMMYFUNCTION("""COMPUTED_VALUE"""),70000.0)</f>
        <v>70000</v>
      </c>
      <c r="AD95" s="7">
        <f>IFERROR(__xludf.DUMMYFUNCTION("""COMPUTED_VALUE"""),205559.0)</f>
        <v>205559</v>
      </c>
      <c r="AE95" s="7" t="str">
        <f>IFERROR(__xludf.DUMMYFUNCTION("""COMPUTED_VALUE"""),"TRF 06-09")</f>
        <v>TRF 06-09</v>
      </c>
      <c r="AF95" s="7" t="str">
        <f>IFERROR(__xludf.DUMMYFUNCTION("""COMPUTED_VALUE"""),"OK")</f>
        <v>OK</v>
      </c>
      <c r="AG95" s="45"/>
    </row>
    <row r="96">
      <c r="B96" s="42">
        <f>IFERROR(__xludf.DUMMYFUNCTION("""COMPUTED_VALUE"""),45542.8085775463)</f>
        <v>45542.80858</v>
      </c>
      <c r="C96" s="43" t="str">
        <f>IFERROR(__xludf.DUMMYFUNCTION("""COMPUTED_VALUE"""),"Lorenzo")</f>
        <v>Lorenzo</v>
      </c>
      <c r="D96" s="43" t="str">
        <f>IFERROR(__xludf.DUMMYFUNCTION("""COMPUTED_VALUE"""),"Kaplun")</f>
        <v>Kaplun</v>
      </c>
      <c r="E96" s="43" t="str">
        <f>IFERROR(__xludf.DUMMYFUNCTION("""COMPUTED_VALUE"""),"CABA")</f>
        <v>CABA</v>
      </c>
      <c r="F96" s="7" t="str">
        <f>IFERROR(__xludf.DUMMYFUNCTION("""COMPUTED_VALUE"""),"ARG")</f>
        <v>ARG</v>
      </c>
      <c r="G96" s="7">
        <f>IFERROR(__xludf.DUMMYFUNCTION("""COMPUTED_VALUE"""),5.4794764E7)</f>
        <v>54794764</v>
      </c>
      <c r="H96" s="44">
        <f>IFERROR(__xludf.DUMMYFUNCTION("""COMPUTED_VALUE"""),42162.0)</f>
        <v>42162</v>
      </c>
      <c r="I96" s="45">
        <f>IFERROR(__xludf.DUMMYFUNCTION("""COMPUTED_VALUE"""),1.160069263E9)</f>
        <v>1160069263</v>
      </c>
      <c r="J96" s="45">
        <f>IFERROR(__xludf.DUMMYFUNCTION("""COMPUTED_VALUE"""),1.16423591E9)</f>
        <v>1164235910</v>
      </c>
      <c r="K96" s="45" t="str">
        <f>IFERROR(__xludf.DUMMYFUNCTION("""COMPUTED_VALUE"""),"vanesa.sangoi@gmail.com")</f>
        <v>vanesa.sangoi@gmail.com</v>
      </c>
      <c r="L96" s="45" t="str">
        <f>IFERROR(__xludf.DUMMYFUNCTION("""COMPUTED_VALUE"""),"Masculino")</f>
        <v>Masculino</v>
      </c>
      <c r="M96" s="45" t="str">
        <f>IFERROR(__xludf.DUMMYFUNCTION("""COMPUTED_VALUE"""),"CVSI")</f>
        <v>CVSI</v>
      </c>
      <c r="N96" s="45" t="str">
        <f>IFERROR(__xludf.DUMMYFUNCTION("""COMPUTED_VALUE"""),"Interior (Optimist)")</f>
        <v>Interior (Optimist)</v>
      </c>
      <c r="O96" s="45" t="str">
        <f>IFERROR(__xludf.DUMMYFUNCTION("""COMPUTED_VALUE"""),"OPTIMIST PRINCIPIANTES")</f>
        <v>OPTIMIST PRINCIPIANTES</v>
      </c>
      <c r="P96" s="45"/>
      <c r="Q96" s="45">
        <f>IFERROR(__xludf.DUMMYFUNCTION("""COMPUTED_VALUE"""),2631.0)</f>
        <v>2631</v>
      </c>
      <c r="R96" s="45" t="str">
        <f>IFERROR(__xludf.DUMMYFUNCTION("""COMPUTED_VALUE"""),"Tormenta ")</f>
        <v>Tormenta </v>
      </c>
      <c r="S96" s="45"/>
      <c r="T96" s="45"/>
      <c r="U96" s="45"/>
      <c r="V96" s="45"/>
      <c r="W96" s="45"/>
      <c r="X96" s="45"/>
      <c r="Y96" s="45" t="str">
        <f>IFERROR(__xludf.DUMMYFUNCTION("""COMPUTED_VALUE"""),"Hospital Italiano, Plan de Salud N°448082")</f>
        <v>Hospital Italiano, Plan de Salud N°448082</v>
      </c>
      <c r="Z96" s="7" t="str">
        <f>IFERROR(__xludf.DUMMYFUNCTION("""COMPUTED_VALUE"""),"No")</f>
        <v>No</v>
      </c>
      <c r="AA96" s="7" t="str">
        <f>IFERROR(__xludf.DUMMYFUNCTION("""COMPUTED_VALUE"""),"Acepto")</f>
        <v>Acepto</v>
      </c>
      <c r="AB96" s="7" t="str">
        <f>IFERROR(__xludf.DUMMYFUNCTION("""COMPUTED_VALUE"""),"Terminado")</f>
        <v>Terminado</v>
      </c>
      <c r="AC96" s="7">
        <f>IFERROR(__xludf.DUMMYFUNCTION("""COMPUTED_VALUE"""),50000.0)</f>
        <v>50000</v>
      </c>
      <c r="AD96" s="7">
        <f>IFERROR(__xludf.DUMMYFUNCTION("""COMPUTED_VALUE"""),205579.0)</f>
        <v>205579</v>
      </c>
      <c r="AE96" s="7" t="str">
        <f>IFERROR(__xludf.DUMMYFUNCTION("""COMPUTED_VALUE"""),"TRF 07-09")</f>
        <v>TRF 07-09</v>
      </c>
      <c r="AF96" s="7" t="str">
        <f>IFERROR(__xludf.DUMMYFUNCTION("""COMPUTED_VALUE"""),"Pendiente")</f>
        <v>Pendiente</v>
      </c>
      <c r="AG96" s="45"/>
    </row>
    <row r="97">
      <c r="B97" s="42">
        <f>IFERROR(__xludf.DUMMYFUNCTION("""COMPUTED_VALUE"""),45542.8562689699)</f>
        <v>45542.85627</v>
      </c>
      <c r="C97" s="43" t="str">
        <f>IFERROR(__xludf.DUMMYFUNCTION("""COMPUTED_VALUE"""),"Marcos")</f>
        <v>Marcos</v>
      </c>
      <c r="D97" s="43" t="str">
        <f>IFERROR(__xludf.DUMMYFUNCTION("""COMPUTED_VALUE"""),"Amespil")</f>
        <v>Amespil</v>
      </c>
      <c r="E97" s="43" t="str">
        <f>IFERROR(__xludf.DUMMYFUNCTION("""COMPUTED_VALUE"""),"Buenos Aires")</f>
        <v>Buenos Aires</v>
      </c>
      <c r="F97" s="7" t="str">
        <f>IFERROR(__xludf.DUMMYFUNCTION("""COMPUTED_VALUE"""),"ARG")</f>
        <v>ARG</v>
      </c>
      <c r="G97" s="7">
        <f>IFERROR(__xludf.DUMMYFUNCTION("""COMPUTED_VALUE"""),5.489259E7)</f>
        <v>54892590</v>
      </c>
      <c r="H97" s="44">
        <f>IFERROR(__xludf.DUMMYFUNCTION("""COMPUTED_VALUE"""),42157.0)</f>
        <v>42157</v>
      </c>
      <c r="I97" s="45">
        <f>IFERROR(__xludf.DUMMYFUNCTION("""COMPUTED_VALUE"""),1.144447565E9)</f>
        <v>1144447565</v>
      </c>
      <c r="J97" s="45">
        <f>IFERROR(__xludf.DUMMYFUNCTION("""COMPUTED_VALUE"""),1.157511245E9)</f>
        <v>1157511245</v>
      </c>
      <c r="K97" s="45" t="str">
        <f>IFERROR(__xludf.DUMMYFUNCTION("""COMPUTED_VALUE"""),"josetanoue@gmail.com")</f>
        <v>josetanoue@gmail.com</v>
      </c>
      <c r="L97" s="45" t="str">
        <f>IFERROR(__xludf.DUMMYFUNCTION("""COMPUTED_VALUE"""),"Masculino")</f>
        <v>Masculino</v>
      </c>
      <c r="M97" s="45" t="str">
        <f>IFERROR(__xludf.DUMMYFUNCTION("""COMPUTED_VALUE"""),"CUBA")</f>
        <v>CUBA</v>
      </c>
      <c r="N97" s="45"/>
      <c r="O97" s="45" t="str">
        <f>IFERROR(__xludf.DUMMYFUNCTION("""COMPUTED_VALUE"""),"OPTIMIST PRINCIPIANTES")</f>
        <v>OPTIMIST PRINCIPIANTES</v>
      </c>
      <c r="P97" s="45"/>
      <c r="Q97" s="45">
        <f>IFERROR(__xludf.DUMMYFUNCTION("""COMPUTED_VALUE"""),3860.0)</f>
        <v>3860</v>
      </c>
      <c r="R97" s="45"/>
      <c r="S97" s="45" t="str">
        <f>IFERROR(__xludf.DUMMYFUNCTION("""COMPUTED_VALUE"""),"Marcos Amespil")</f>
        <v>Marcos Amespil</v>
      </c>
      <c r="T97" s="45"/>
      <c r="U97" s="45"/>
      <c r="V97" s="45"/>
      <c r="W97" s="45"/>
      <c r="X97" s="45"/>
      <c r="Y97" s="45" t="str">
        <f>IFERROR(__xludf.DUMMYFUNCTION("""COMPUTED_VALUE"""),"Osde 61586412004")</f>
        <v>Osde 61586412004</v>
      </c>
      <c r="Z97" s="7" t="str">
        <f>IFERROR(__xludf.DUMMYFUNCTION("""COMPUTED_VALUE"""),"No")</f>
        <v>No</v>
      </c>
      <c r="AA97" s="7" t="str">
        <f>IFERROR(__xludf.DUMMYFUNCTION("""COMPUTED_VALUE"""),"Acepto")</f>
        <v>Acepto</v>
      </c>
      <c r="AB97" s="7" t="str">
        <f>IFERROR(__xludf.DUMMYFUNCTION("""COMPUTED_VALUE"""),"Terminado")</f>
        <v>Terminado</v>
      </c>
      <c r="AC97" s="7">
        <f>IFERROR(__xludf.DUMMYFUNCTION("""COMPUTED_VALUE"""),60000.0)</f>
        <v>60000</v>
      </c>
      <c r="AD97" s="7">
        <f>IFERROR(__xludf.DUMMYFUNCTION("""COMPUTED_VALUE"""),205582.0)</f>
        <v>205582</v>
      </c>
      <c r="AE97" s="7" t="str">
        <f>IFERROR(__xludf.DUMMYFUNCTION("""COMPUTED_VALUE"""),"TRF 07-09")</f>
        <v>TRF 07-09</v>
      </c>
      <c r="AF97" s="7" t="str">
        <f>IFERROR(__xludf.DUMMYFUNCTION("""COMPUTED_VALUE"""),"OK")</f>
        <v>OK</v>
      </c>
      <c r="AG97" s="45"/>
    </row>
    <row r="98">
      <c r="B98" s="42">
        <f>IFERROR(__xludf.DUMMYFUNCTION("""COMPUTED_VALUE"""),45543.38278989583)</f>
        <v>45543.38279</v>
      </c>
      <c r="C98" s="43" t="str">
        <f>IFERROR(__xludf.DUMMYFUNCTION("""COMPUTED_VALUE"""),"Esmeralda")</f>
        <v>Esmeralda</v>
      </c>
      <c r="D98" s="43" t="str">
        <f>IFERROR(__xludf.DUMMYFUNCTION("""COMPUTED_VALUE"""),"Molinari")</f>
        <v>Molinari</v>
      </c>
      <c r="E98" s="43" t="str">
        <f>IFERROR(__xludf.DUMMYFUNCTION("""COMPUTED_VALUE"""),"Ituzaigo")</f>
        <v>Ituzaigo</v>
      </c>
      <c r="F98" s="7" t="str">
        <f>IFERROR(__xludf.DUMMYFUNCTION("""COMPUTED_VALUE"""),"ARG")</f>
        <v>ARG</v>
      </c>
      <c r="G98" s="7">
        <f>IFERROR(__xludf.DUMMYFUNCTION("""COMPUTED_VALUE"""),5.0094514E7)</f>
        <v>50094514</v>
      </c>
      <c r="H98" s="44">
        <f>IFERROR(__xludf.DUMMYFUNCTION("""COMPUTED_VALUE"""),40256.0)</f>
        <v>40256</v>
      </c>
      <c r="I98" s="45">
        <f>IFERROR(__xludf.DUMMYFUNCTION("""COMPUTED_VALUE"""),1.161997262E9)</f>
        <v>1161997262</v>
      </c>
      <c r="J98" s="45">
        <f>IFERROR(__xludf.DUMMYFUNCTION("""COMPUTED_VALUE"""),1.161997262E9)</f>
        <v>1161997262</v>
      </c>
      <c r="K98" s="45" t="str">
        <f>IFERROR(__xludf.DUMMYFUNCTION("""COMPUTED_VALUE"""),"2rmarrero@gmail.com")</f>
        <v>2rmarrero@gmail.com</v>
      </c>
      <c r="L98" s="45" t="str">
        <f>IFERROR(__xludf.DUMMYFUNCTION("""COMPUTED_VALUE"""),"Femenino")</f>
        <v>Femenino</v>
      </c>
      <c r="M98" s="45" t="str">
        <f>IFERROR(__xludf.DUMMYFUNCTION("""COMPUTED_VALUE"""),"CVSI")</f>
        <v>CVSI</v>
      </c>
      <c r="N98" s="45" t="str">
        <f>IFERROR(__xludf.DUMMYFUNCTION("""COMPUTED_VALUE"""),"Femenino")</f>
        <v>Femenino</v>
      </c>
      <c r="O98" s="45" t="str">
        <f>IFERROR(__xludf.DUMMYFUNCTION("""COMPUTED_VALUE"""),"OPTIMIST PRINCIPIANTES")</f>
        <v>OPTIMIST PRINCIPIANTES</v>
      </c>
      <c r="P98" s="45"/>
      <c r="Q98" s="45">
        <f>IFERROR(__xludf.DUMMYFUNCTION("""COMPUTED_VALUE"""),4023.0)</f>
        <v>4023</v>
      </c>
      <c r="R98" s="45" t="str">
        <f>IFERROR(__xludf.DUMMYFUNCTION("""COMPUTED_VALUE"""),"No tengo")</f>
        <v>No tengo</v>
      </c>
      <c r="S98" s="45"/>
      <c r="T98" s="45"/>
      <c r="U98" s="45"/>
      <c r="V98" s="45"/>
      <c r="W98" s="45"/>
      <c r="X98" s="45"/>
      <c r="Y98" s="45"/>
      <c r="Z98" s="7" t="str">
        <f>IFERROR(__xludf.DUMMYFUNCTION("""COMPUTED_VALUE"""),"No")</f>
        <v>No</v>
      </c>
      <c r="AA98" s="7" t="str">
        <f>IFERROR(__xludf.DUMMYFUNCTION("""COMPUTED_VALUE"""),"Acepto")</f>
        <v>Acepto</v>
      </c>
      <c r="AB98" s="7" t="str">
        <f>IFERROR(__xludf.DUMMYFUNCTION("""COMPUTED_VALUE"""),"Terminado")</f>
        <v>Terminado</v>
      </c>
      <c r="AC98" s="7">
        <f>IFERROR(__xludf.DUMMYFUNCTION("""COMPUTED_VALUE"""),50000.0)</f>
        <v>50000</v>
      </c>
      <c r="AD98" s="7">
        <f>IFERROR(__xludf.DUMMYFUNCTION("""COMPUTED_VALUE"""),205699.0)</f>
        <v>205699</v>
      </c>
      <c r="AE98" s="7" t="str">
        <f>IFERROR(__xludf.DUMMYFUNCTION("""COMPUTED_VALUE"""),"TRF 11-09")</f>
        <v>TRF 11-09</v>
      </c>
      <c r="AF98" s="7" t="str">
        <f>IFERROR(__xludf.DUMMYFUNCTION("""COMPUTED_VALUE"""),"OK")</f>
        <v>OK</v>
      </c>
      <c r="AG98" s="45"/>
    </row>
    <row r="99">
      <c r="B99" s="42">
        <f>IFERROR(__xludf.DUMMYFUNCTION("""COMPUTED_VALUE"""),45543.384719814814)</f>
        <v>45543.38472</v>
      </c>
      <c r="C99" s="43" t="str">
        <f>IFERROR(__xludf.DUMMYFUNCTION("""COMPUTED_VALUE"""),"Simon")</f>
        <v>Simon</v>
      </c>
      <c r="D99" s="43" t="str">
        <f>IFERROR(__xludf.DUMMYFUNCTION("""COMPUTED_VALUE"""),"Bertani ")</f>
        <v>Bertani </v>
      </c>
      <c r="E99" s="43" t="str">
        <f>IFERROR(__xludf.DUMMYFUNCTION("""COMPUTED_VALUE"""),"Victoria, San Fernando ")</f>
        <v>Victoria, San Fernando </v>
      </c>
      <c r="F99" s="7" t="str">
        <f>IFERROR(__xludf.DUMMYFUNCTION("""COMPUTED_VALUE"""),"ARG")</f>
        <v>ARG</v>
      </c>
      <c r="G99" s="7">
        <f>IFERROR(__xludf.DUMMYFUNCTION("""COMPUTED_VALUE"""),5.2456716E7)</f>
        <v>52456716</v>
      </c>
      <c r="H99" s="44">
        <f>IFERROR(__xludf.DUMMYFUNCTION("""COMPUTED_VALUE"""),41073.0)</f>
        <v>41073</v>
      </c>
      <c r="I99" s="45">
        <f>IFERROR(__xludf.DUMMYFUNCTION("""COMPUTED_VALUE"""),1.136916512E9)</f>
        <v>1136916512</v>
      </c>
      <c r="J99" s="45">
        <f>IFERROR(__xludf.DUMMYFUNCTION("""COMPUTED_VALUE"""),1.136916512E9)</f>
        <v>1136916512</v>
      </c>
      <c r="K99" s="45" t="str">
        <f>IFERROR(__xludf.DUMMYFUNCTION("""COMPUTED_VALUE"""),"alfredobertani@gmail.com")</f>
        <v>alfredobertani@gmail.com</v>
      </c>
      <c r="L99" s="45" t="str">
        <f>IFERROR(__xludf.DUMMYFUNCTION("""COMPUTED_VALUE"""),"Masculino")</f>
        <v>Masculino</v>
      </c>
      <c r="M99" s="45" t="str">
        <f>IFERROR(__xludf.DUMMYFUNCTION("""COMPUTED_VALUE"""),"CVSI")</f>
        <v>CVSI</v>
      </c>
      <c r="N99" s="45"/>
      <c r="O99" s="45" t="str">
        <f>IFERROR(__xludf.DUMMYFUNCTION("""COMPUTED_VALUE"""),"OPTIMIST PRINCIPIANTES")</f>
        <v>OPTIMIST PRINCIPIANTES</v>
      </c>
      <c r="P99" s="45"/>
      <c r="Q99" s="45">
        <f>IFERROR(__xludf.DUMMYFUNCTION("""COMPUTED_VALUE"""),3918.0)</f>
        <v>3918</v>
      </c>
      <c r="R99" s="45" t="str">
        <f>IFERROR(__xludf.DUMMYFUNCTION("""COMPUTED_VALUE"""),"Imagine Dragons")</f>
        <v>Imagine Dragons</v>
      </c>
      <c r="S99" s="45"/>
      <c r="T99" s="45"/>
      <c r="U99" s="45"/>
      <c r="V99" s="45"/>
      <c r="W99" s="45"/>
      <c r="X99" s="45"/>
      <c r="Y99" s="45" t="str">
        <f>IFERROR(__xludf.DUMMYFUNCTION("""COMPUTED_VALUE"""),"Unión personal")</f>
        <v>Unión personal</v>
      </c>
      <c r="Z99" s="7" t="str">
        <f>IFERROR(__xludf.DUMMYFUNCTION("""COMPUTED_VALUE"""),"No")</f>
        <v>No</v>
      </c>
      <c r="AA99" s="7" t="str">
        <f>IFERROR(__xludf.DUMMYFUNCTION("""COMPUTED_VALUE"""),"Acepto")</f>
        <v>Acepto</v>
      </c>
      <c r="AB99" s="7" t="str">
        <f>IFERROR(__xludf.DUMMYFUNCTION("""COMPUTED_VALUE"""),"Pendiente")</f>
        <v>Pendiente</v>
      </c>
      <c r="AC99" s="7"/>
      <c r="AD99" s="7"/>
      <c r="AE99" s="7"/>
      <c r="AF99" s="7" t="str">
        <f>IFERROR(__xludf.DUMMYFUNCTION("""COMPUTED_VALUE"""),"OK")</f>
        <v>OK</v>
      </c>
      <c r="AG99" s="45"/>
    </row>
    <row r="100">
      <c r="B100" s="42">
        <f>IFERROR(__xludf.DUMMYFUNCTION("""COMPUTED_VALUE"""),45543.43121296296)</f>
        <v>45543.43121</v>
      </c>
      <c r="C100" s="43" t="str">
        <f>IFERROR(__xludf.DUMMYFUNCTION("""COMPUTED_VALUE"""),"Sofia Julieta ")</f>
        <v>Sofia Julieta </v>
      </c>
      <c r="D100" s="43" t="str">
        <f>IFERROR(__xludf.DUMMYFUNCTION("""COMPUTED_VALUE"""),"Liberman")</f>
        <v>Liberman</v>
      </c>
      <c r="E100" s="43" t="str">
        <f>IFERROR(__xludf.DUMMYFUNCTION("""COMPUTED_VALUE"""),"Ciudad de Buenos Aires")</f>
        <v>Ciudad de Buenos Aires</v>
      </c>
      <c r="F100" s="7" t="str">
        <f>IFERROR(__xludf.DUMMYFUNCTION("""COMPUTED_VALUE"""),"ARG")</f>
        <v>ARG</v>
      </c>
      <c r="G100" s="7">
        <f>IFERROR(__xludf.DUMMYFUNCTION("""COMPUTED_VALUE"""),5.3085243E7)</f>
        <v>53085243</v>
      </c>
      <c r="H100" s="44">
        <f>IFERROR(__xludf.DUMMYFUNCTION("""COMPUTED_VALUE"""),41321.0)</f>
        <v>41321</v>
      </c>
      <c r="I100" s="45">
        <f>IFERROR(__xludf.DUMMYFUNCTION("""COMPUTED_VALUE"""),1.149809784E9)</f>
        <v>1149809784</v>
      </c>
      <c r="J100" s="45">
        <f>IFERROR(__xludf.DUMMYFUNCTION("""COMPUTED_VALUE"""),1.54189845E9)</f>
        <v>1541898450</v>
      </c>
      <c r="K100" s="45" t="str">
        <f>IFERROR(__xludf.DUMMYFUNCTION("""COMPUTED_VALUE"""),"libermanluis@gmail.com")</f>
        <v>libermanluis@gmail.com</v>
      </c>
      <c r="L100" s="45" t="str">
        <f>IFERROR(__xludf.DUMMYFUNCTION("""COMPUTED_VALUE"""),"Femenino")</f>
        <v>Femenino</v>
      </c>
      <c r="M100" s="45" t="str">
        <f>IFERROR(__xludf.DUMMYFUNCTION("""COMPUTED_VALUE"""),"Club Náutico Victoria ")</f>
        <v>Club Náutico Victoria </v>
      </c>
      <c r="N100" s="45" t="str">
        <f>IFERROR(__xludf.DUMMYFUNCTION("""COMPUTED_VALUE"""),"Interior (Optimist)")</f>
        <v>Interior (Optimist)</v>
      </c>
      <c r="O100" s="45" t="str">
        <f>IFERROR(__xludf.DUMMYFUNCTION("""COMPUTED_VALUE"""),"OPTIMIST PRINCIPIANTES")</f>
        <v>OPTIMIST PRINCIPIANTES</v>
      </c>
      <c r="P100" s="45">
        <f>IFERROR(__xludf.DUMMYFUNCTION("""COMPUTED_VALUE"""),135512.0)</f>
        <v>135512</v>
      </c>
      <c r="Q100" s="45">
        <f>IFERROR(__xludf.DUMMYFUNCTION("""COMPUTED_VALUE"""),2.0)</f>
        <v>2</v>
      </c>
      <c r="R100" s="45" t="str">
        <f>IFERROR(__xludf.DUMMYFUNCTION("""COMPUTED_VALUE"""),"Cacjarroto")</f>
        <v>Cacjarroto</v>
      </c>
      <c r="S100" s="45" t="str">
        <f>IFERROR(__xludf.DUMMYFUNCTION("""COMPUTED_VALUE"""),"Sofia Julieta Liberman")</f>
        <v>Sofia Julieta Liberman</v>
      </c>
      <c r="T100" s="45"/>
      <c r="U100" s="45"/>
      <c r="V100" s="45"/>
      <c r="W100" s="45"/>
      <c r="X100" s="45"/>
      <c r="Y100" s="45" t="str">
        <f>IFERROR(__xludf.DUMMYFUNCTION("""COMPUTED_VALUE"""),"OSDE  310")</f>
        <v>OSDE  310</v>
      </c>
      <c r="Z100" s="7" t="str">
        <f>IFERROR(__xludf.DUMMYFUNCTION("""COMPUTED_VALUE"""),"Si")</f>
        <v>Si</v>
      </c>
      <c r="AA100" s="7" t="str">
        <f>IFERROR(__xludf.DUMMYFUNCTION("""COMPUTED_VALUE"""),"Acepto")</f>
        <v>Acepto</v>
      </c>
      <c r="AB100" s="7" t="str">
        <f>IFERROR(__xludf.DUMMYFUNCTION("""COMPUTED_VALUE"""),"Terminado")</f>
        <v>Terminado</v>
      </c>
      <c r="AC100" s="7">
        <f>IFERROR(__xludf.DUMMYFUNCTION("""COMPUTED_VALUE"""),50000.0)</f>
        <v>50000</v>
      </c>
      <c r="AD100" s="7">
        <f>IFERROR(__xludf.DUMMYFUNCTION("""COMPUTED_VALUE"""),205587.0)</f>
        <v>205587</v>
      </c>
      <c r="AE100" s="7" t="str">
        <f>IFERROR(__xludf.DUMMYFUNCTION("""COMPUTED_VALUE"""),"TRF 08-09")</f>
        <v>TRF 08-09</v>
      </c>
      <c r="AF100" s="7" t="str">
        <f>IFERROR(__xludf.DUMMYFUNCTION("""COMPUTED_VALUE"""),"Pendiente")</f>
        <v>Pendiente</v>
      </c>
      <c r="AG100" s="45"/>
    </row>
    <row r="101">
      <c r="B101" s="42">
        <f>IFERROR(__xludf.DUMMYFUNCTION("""COMPUTED_VALUE"""),45543.439133900465)</f>
        <v>45543.43913</v>
      </c>
      <c r="C101" s="43" t="str">
        <f>IFERROR(__xludf.DUMMYFUNCTION("""COMPUTED_VALUE"""),"Matías ")</f>
        <v>Matías </v>
      </c>
      <c r="D101" s="43" t="str">
        <f>IFERROR(__xludf.DUMMYFUNCTION("""COMPUTED_VALUE"""),"Bugeiro ")</f>
        <v>Bugeiro </v>
      </c>
      <c r="E101" s="43" t="str">
        <f>IFERROR(__xludf.DUMMYFUNCTION("""COMPUTED_VALUE"""),"Victoria ")</f>
        <v>Victoria </v>
      </c>
      <c r="F101" s="7" t="str">
        <f>IFERROR(__xludf.DUMMYFUNCTION("""COMPUTED_VALUE"""),"ARG")</f>
        <v>ARG</v>
      </c>
      <c r="G101" s="7">
        <f>IFERROR(__xludf.DUMMYFUNCTION("""COMPUTED_VALUE"""),5.4122204E7)</f>
        <v>54122204</v>
      </c>
      <c r="H101" s="44">
        <f>IFERROR(__xludf.DUMMYFUNCTION("""COMPUTED_VALUE"""),41787.0)</f>
        <v>41787</v>
      </c>
      <c r="I101" s="45">
        <f>IFERROR(__xludf.DUMMYFUNCTION("""COMPUTED_VALUE"""),1.154097353E9)</f>
        <v>1154097353</v>
      </c>
      <c r="J101" s="45">
        <f>IFERROR(__xludf.DUMMYFUNCTION("""COMPUTED_VALUE"""),1.154097353E9)</f>
        <v>1154097353</v>
      </c>
      <c r="K101" s="45" t="str">
        <f>IFERROR(__xludf.DUMMYFUNCTION("""COMPUTED_VALUE"""),"mbugeiro@gmail.com")</f>
        <v>mbugeiro@gmail.com</v>
      </c>
      <c r="L101" s="45" t="str">
        <f>IFERROR(__xludf.DUMMYFUNCTION("""COMPUTED_VALUE"""),"Masculino")</f>
        <v>Masculino</v>
      </c>
      <c r="M101" s="45" t="str">
        <f>IFERROR(__xludf.DUMMYFUNCTION("""COMPUTED_VALUE"""),"CNV")</f>
        <v>CNV</v>
      </c>
      <c r="N101" s="45"/>
      <c r="O101" s="45" t="str">
        <f>IFERROR(__xludf.DUMMYFUNCTION("""COMPUTED_VALUE"""),"OPTIMIST PRINCIPIANTES")</f>
        <v>OPTIMIST PRINCIPIANTES</v>
      </c>
      <c r="P101" s="45"/>
      <c r="Q101" s="45">
        <f>IFERROR(__xludf.DUMMYFUNCTION("""COMPUTED_VALUE"""),3947.0)</f>
        <v>3947</v>
      </c>
      <c r="R101" s="45" t="str">
        <f>IFERROR(__xludf.DUMMYFUNCTION("""COMPUTED_VALUE"""),"Floki")</f>
        <v>Floki</v>
      </c>
      <c r="S101" s="45"/>
      <c r="T101" s="45"/>
      <c r="U101" s="45"/>
      <c r="V101" s="45"/>
      <c r="W101" s="45"/>
      <c r="X101" s="45"/>
      <c r="Y101" s="45" t="str">
        <f>IFERROR(__xludf.DUMMYFUNCTION("""COMPUTED_VALUE"""),"Osde 62225715 2 02")</f>
        <v>Osde 62225715 2 02</v>
      </c>
      <c r="Z101" s="7" t="str">
        <f>IFERROR(__xludf.DUMMYFUNCTION("""COMPUTED_VALUE"""),"Si")</f>
        <v>Si</v>
      </c>
      <c r="AA101" s="7" t="str">
        <f>IFERROR(__xludf.DUMMYFUNCTION("""COMPUTED_VALUE"""),"Acepto")</f>
        <v>Acepto</v>
      </c>
      <c r="AB101" s="7" t="str">
        <f>IFERROR(__xludf.DUMMYFUNCTION("""COMPUTED_VALUE"""),"Terminado")</f>
        <v>Terminado</v>
      </c>
      <c r="AC101" s="7">
        <f>IFERROR(__xludf.DUMMYFUNCTION("""COMPUTED_VALUE"""),50000.0)</f>
        <v>50000</v>
      </c>
      <c r="AD101" s="7">
        <f>IFERROR(__xludf.DUMMYFUNCTION("""COMPUTED_VALUE"""),205605.0)</f>
        <v>205605</v>
      </c>
      <c r="AE101" s="7" t="str">
        <f>IFERROR(__xludf.DUMMYFUNCTION("""COMPUTED_VALUE"""),"TRF 09-09")</f>
        <v>TRF 09-09</v>
      </c>
      <c r="AF101" s="7" t="str">
        <f>IFERROR(__xludf.DUMMYFUNCTION("""COMPUTED_VALUE"""),"Pendiente")</f>
        <v>Pendiente</v>
      </c>
      <c r="AG101" s="45"/>
    </row>
    <row r="102">
      <c r="B102" s="42">
        <f>IFERROR(__xludf.DUMMYFUNCTION("""COMPUTED_VALUE"""),45543.4747890162)</f>
        <v>45543.47479</v>
      </c>
      <c r="C102" s="43" t="str">
        <f>IFERROR(__xludf.DUMMYFUNCTION("""COMPUTED_VALUE"""),"GIANMARCO FEDERICO")</f>
        <v>GIANMARCO FEDERICO</v>
      </c>
      <c r="D102" s="43" t="str">
        <f>IFERROR(__xludf.DUMMYFUNCTION("""COMPUTED_VALUE"""),"NAPOLI FABRICIUS")</f>
        <v>NAPOLI FABRICIUS</v>
      </c>
      <c r="E102" s="43" t="str">
        <f>IFERROR(__xludf.DUMMYFUNCTION("""COMPUTED_VALUE"""),"Olivos")</f>
        <v>Olivos</v>
      </c>
      <c r="F102" s="7" t="str">
        <f>IFERROR(__xludf.DUMMYFUNCTION("""COMPUTED_VALUE"""),"ARG")</f>
        <v>ARG</v>
      </c>
      <c r="G102" s="7">
        <f>IFERROR(__xludf.DUMMYFUNCTION("""COMPUTED_VALUE"""),5.3417997E7)</f>
        <v>53417997</v>
      </c>
      <c r="H102" s="44">
        <f>IFERROR(__xludf.DUMMYFUNCTION("""COMPUTED_VALUE"""),41528.0)</f>
        <v>41528</v>
      </c>
      <c r="I102" s="45" t="str">
        <f>IFERROR(__xludf.DUMMYFUNCTION("""COMPUTED_VALUE"""),"011 6105 4862")</f>
        <v>011 6105 4862</v>
      </c>
      <c r="J102" s="45" t="str">
        <f>IFERROR(__xludf.DUMMYFUNCTION("""COMPUTED_VALUE"""),"011 6957 3450")</f>
        <v>011 6957 3450</v>
      </c>
      <c r="K102" s="45" t="str">
        <f>IFERROR(__xludf.DUMMYFUNCTION("""COMPUTED_VALUE"""),"carlos_napoli@yahoo.com")</f>
        <v>carlos_napoli@yahoo.com</v>
      </c>
      <c r="L102" s="45" t="str">
        <f>IFERROR(__xludf.DUMMYFUNCTION("""COMPUTED_VALUE"""),"Masculino")</f>
        <v>Masculino</v>
      </c>
      <c r="M102" s="45" t="str">
        <f>IFERROR(__xludf.DUMMYFUNCTION("""COMPUTED_VALUE"""),"YCO")</f>
        <v>YCO</v>
      </c>
      <c r="N102" s="45" t="str">
        <f>IFERROR(__xludf.DUMMYFUNCTION("""COMPUTED_VALUE"""),"Interior (Optimist)")</f>
        <v>Interior (Optimist)</v>
      </c>
      <c r="O102" s="45" t="str">
        <f>IFERROR(__xludf.DUMMYFUNCTION("""COMPUTED_VALUE"""),"OPTIMIST PRINCIPIANTES")</f>
        <v>OPTIMIST PRINCIPIANTES</v>
      </c>
      <c r="P102" s="45"/>
      <c r="Q102" s="45" t="str">
        <f>IFERROR(__xludf.DUMMYFUNCTION("""COMPUTED_VALUE"""),"ARG 4031")</f>
        <v>ARG 4031</v>
      </c>
      <c r="R102" s="45"/>
      <c r="S102" s="45"/>
      <c r="T102" s="45"/>
      <c r="U102" s="45"/>
      <c r="V102" s="45"/>
      <c r="W102" s="45"/>
      <c r="X102" s="45"/>
      <c r="Y102" s="45" t="str">
        <f>IFERROR(__xludf.DUMMYFUNCTION("""COMPUTED_VALUE"""),"Swiss Medical 800006 1782477 03 0002 - Docthos Premium 420831e")</f>
        <v>Swiss Medical 800006 1782477 03 0002 - Docthos Premium 420831e</v>
      </c>
      <c r="Z102" s="7" t="str">
        <f>IFERROR(__xludf.DUMMYFUNCTION("""COMPUTED_VALUE"""),"Si")</f>
        <v>Si</v>
      </c>
      <c r="AA102" s="7" t="str">
        <f>IFERROR(__xludf.DUMMYFUNCTION("""COMPUTED_VALUE"""),"Acepto")</f>
        <v>Acepto</v>
      </c>
      <c r="AB102" s="7" t="str">
        <f>IFERROR(__xludf.DUMMYFUNCTION("""COMPUTED_VALUE"""),"Pendiente")</f>
        <v>Pendiente</v>
      </c>
      <c r="AC102" s="7"/>
      <c r="AD102" s="7"/>
      <c r="AE102" s="7"/>
      <c r="AF102" s="7" t="str">
        <f>IFERROR(__xludf.DUMMYFUNCTION("""COMPUTED_VALUE"""),"OK")</f>
        <v>OK</v>
      </c>
      <c r="AG102" s="45"/>
    </row>
    <row r="103">
      <c r="B103" s="42">
        <f>IFERROR(__xludf.DUMMYFUNCTION("""COMPUTED_VALUE"""),45543.650722210645)</f>
        <v>45543.65072</v>
      </c>
      <c r="C103" s="43" t="str">
        <f>IFERROR(__xludf.DUMMYFUNCTION("""COMPUTED_VALUE"""),"Sophia ")</f>
        <v>Sophia </v>
      </c>
      <c r="D103" s="43" t="str">
        <f>IFERROR(__xludf.DUMMYFUNCTION("""COMPUTED_VALUE"""),"Navratil ")</f>
        <v>Navratil </v>
      </c>
      <c r="E103" s="43" t="str">
        <f>IFERROR(__xludf.DUMMYFUNCTION("""COMPUTED_VALUE"""),"San Fernando ")</f>
        <v>San Fernando </v>
      </c>
      <c r="F103" s="7" t="str">
        <f>IFERROR(__xludf.DUMMYFUNCTION("""COMPUTED_VALUE"""),"ARG")</f>
        <v>ARG</v>
      </c>
      <c r="G103" s="7">
        <f>IFERROR(__xludf.DUMMYFUNCTION("""COMPUTED_VALUE"""),5.2704557E7)</f>
        <v>52704557</v>
      </c>
      <c r="H103" s="44">
        <f>IFERROR(__xludf.DUMMYFUNCTION("""COMPUTED_VALUE"""),41172.0)</f>
        <v>41172</v>
      </c>
      <c r="I103" s="45">
        <f>IFERROR(__xludf.DUMMYFUNCTION("""COMPUTED_VALUE"""),1.140447069E9)</f>
        <v>1140447069</v>
      </c>
      <c r="J103" s="45">
        <f>IFERROR(__xludf.DUMMYFUNCTION("""COMPUTED_VALUE"""),1.14044707E9)</f>
        <v>1140447070</v>
      </c>
      <c r="K103" s="45" t="str">
        <f>IFERROR(__xludf.DUMMYFUNCTION("""COMPUTED_VALUE"""),"Dramariathompson@gmail.com")</f>
        <v>Dramariathompson@gmail.com</v>
      </c>
      <c r="L103" s="45" t="str">
        <f>IFERROR(__xludf.DUMMYFUNCTION("""COMPUTED_VALUE"""),"Femenino")</f>
        <v>Femenino</v>
      </c>
      <c r="M103" s="45" t="str">
        <f>IFERROR(__xludf.DUMMYFUNCTION("""COMPUTED_VALUE"""),"YCA")</f>
        <v>YCA</v>
      </c>
      <c r="N103" s="45" t="str">
        <f>IFERROR(__xludf.DUMMYFUNCTION("""COMPUTED_VALUE"""),"Femenino")</f>
        <v>Femenino</v>
      </c>
      <c r="O103" s="45" t="str">
        <f>IFERROR(__xludf.DUMMYFUNCTION("""COMPUTED_VALUE"""),"OPTIMIST PRINCIPIANTES")</f>
        <v>OPTIMIST PRINCIPIANTES</v>
      </c>
      <c r="P103" s="45"/>
      <c r="Q103" s="45">
        <f>IFERROR(__xludf.DUMMYFUNCTION("""COMPUTED_VALUE"""),3879.0)</f>
        <v>3879</v>
      </c>
      <c r="R103" s="45" t="str">
        <f>IFERROR(__xludf.DUMMYFUNCTION("""COMPUTED_VALUE"""),"Gin")</f>
        <v>Gin</v>
      </c>
      <c r="S103" s="45"/>
      <c r="T103" s="45"/>
      <c r="U103" s="45"/>
      <c r="V103" s="45"/>
      <c r="W103" s="45"/>
      <c r="X103" s="45"/>
      <c r="Y103" s="45">
        <f>IFERROR(__xludf.DUMMYFUNCTION("""COMPUTED_VALUE"""),6.1027416204E10)</f>
        <v>61027416204</v>
      </c>
      <c r="Z103" s="7" t="str">
        <f>IFERROR(__xludf.DUMMYFUNCTION("""COMPUTED_VALUE"""),"No")</f>
        <v>No</v>
      </c>
      <c r="AA103" s="7" t="str">
        <f>IFERROR(__xludf.DUMMYFUNCTION("""COMPUTED_VALUE"""),"Acepto")</f>
        <v>Acepto</v>
      </c>
      <c r="AB103" s="7" t="str">
        <f>IFERROR(__xludf.DUMMYFUNCTION("""COMPUTED_VALUE"""),"Terminado")</f>
        <v>Terminado</v>
      </c>
      <c r="AC103" s="7">
        <f>IFERROR(__xludf.DUMMYFUNCTION("""COMPUTED_VALUE"""),50000.0)</f>
        <v>50000</v>
      </c>
      <c r="AD103" s="7">
        <f>IFERROR(__xludf.DUMMYFUNCTION("""COMPUTED_VALUE"""),205623.0)</f>
        <v>205623</v>
      </c>
      <c r="AE103" s="7" t="str">
        <f>IFERROR(__xludf.DUMMYFUNCTION("""COMPUTED_VALUE"""),"TRF 09-09")</f>
        <v>TRF 09-09</v>
      </c>
      <c r="AF103" s="7" t="str">
        <f>IFERROR(__xludf.DUMMYFUNCTION("""COMPUTED_VALUE"""),"OK")</f>
        <v>OK</v>
      </c>
      <c r="AG103" s="45"/>
    </row>
    <row r="104">
      <c r="B104" s="42">
        <f>IFERROR(__xludf.DUMMYFUNCTION("""COMPUTED_VALUE"""),45543.83731141203)</f>
        <v>45543.83731</v>
      </c>
      <c r="C104" s="43" t="str">
        <f>IFERROR(__xludf.DUMMYFUNCTION("""COMPUTED_VALUE"""),"Santiago")</f>
        <v>Santiago</v>
      </c>
      <c r="D104" s="43" t="str">
        <f>IFERROR(__xludf.DUMMYFUNCTION("""COMPUTED_VALUE"""),"Cusinato ")</f>
        <v>Cusinato </v>
      </c>
      <c r="E104" s="43" t="str">
        <f>IFERROR(__xludf.DUMMYFUNCTION("""COMPUTED_VALUE"""),"Vicente López Bs As")</f>
        <v>Vicente López Bs As</v>
      </c>
      <c r="F104" s="7" t="str">
        <f>IFERROR(__xludf.DUMMYFUNCTION("""COMPUTED_VALUE"""),"ARG")</f>
        <v>ARG</v>
      </c>
      <c r="G104" s="7">
        <f>IFERROR(__xludf.DUMMYFUNCTION("""COMPUTED_VALUE"""),5.0704565E7)</f>
        <v>50704565</v>
      </c>
      <c r="H104" s="44">
        <f>IFERROR(__xludf.DUMMYFUNCTION("""COMPUTED_VALUE"""),40502.0)</f>
        <v>40502</v>
      </c>
      <c r="I104" s="45">
        <f>IFERROR(__xludf.DUMMYFUNCTION("""COMPUTED_VALUE"""),1.551086001E9)</f>
        <v>1551086001</v>
      </c>
      <c r="J104" s="45">
        <f>IFERROR(__xludf.DUMMYFUNCTION("""COMPUTED_VALUE"""),1.549145956E9)</f>
        <v>1549145956</v>
      </c>
      <c r="K104" s="45" t="str">
        <f>IFERROR(__xludf.DUMMYFUNCTION("""COMPUTED_VALUE"""),"maria47111945@gmail.com")</f>
        <v>maria47111945@gmail.com</v>
      </c>
      <c r="L104" s="45" t="str">
        <f>IFERROR(__xludf.DUMMYFUNCTION("""COMPUTED_VALUE"""),"Masculino")</f>
        <v>Masculino</v>
      </c>
      <c r="M104" s="45" t="str">
        <f>IFERROR(__xludf.DUMMYFUNCTION("""COMPUTED_VALUE"""),"CVSI")</f>
        <v>CVSI</v>
      </c>
      <c r="N104" s="45"/>
      <c r="O104" s="45" t="str">
        <f>IFERROR(__xludf.DUMMYFUNCTION("""COMPUTED_VALUE"""),"OPTIMIST PRINCIPIANTES")</f>
        <v>OPTIMIST PRINCIPIANTES</v>
      </c>
      <c r="P104" s="45"/>
      <c r="Q104" s="45">
        <f>IFERROR(__xludf.DUMMYFUNCTION("""COMPUTED_VALUE"""),3711.0)</f>
        <v>3711</v>
      </c>
      <c r="R104" s="45"/>
      <c r="S104" s="45"/>
      <c r="T104" s="45"/>
      <c r="U104" s="45"/>
      <c r="V104" s="45"/>
      <c r="W104" s="45"/>
      <c r="X104" s="45"/>
      <c r="Y104" s="45">
        <f>IFERROR(__xludf.DUMMYFUNCTION("""COMPUTED_VALUE"""),6.1314705603E10)</f>
        <v>61314705603</v>
      </c>
      <c r="Z104" s="7" t="str">
        <f>IFERROR(__xludf.DUMMYFUNCTION("""COMPUTED_VALUE"""),"No")</f>
        <v>No</v>
      </c>
      <c r="AA104" s="7" t="str">
        <f>IFERROR(__xludf.DUMMYFUNCTION("""COMPUTED_VALUE"""),"Acepto")</f>
        <v>Acepto</v>
      </c>
      <c r="AB104" s="7" t="str">
        <f>IFERROR(__xludf.DUMMYFUNCTION("""COMPUTED_VALUE"""),"Terminado")</f>
        <v>Terminado</v>
      </c>
      <c r="AC104" s="7">
        <f>IFERROR(__xludf.DUMMYFUNCTION("""COMPUTED_VALUE"""),50000.0)</f>
        <v>50000</v>
      </c>
      <c r="AD104" s="7">
        <f>IFERROR(__xludf.DUMMYFUNCTION("""COMPUTED_VALUE"""),205608.0)</f>
        <v>205608</v>
      </c>
      <c r="AE104" s="7" t="str">
        <f>IFERROR(__xludf.DUMMYFUNCTION("""COMPUTED_VALUE"""),"Tarj 11-09")</f>
        <v>Tarj 11-09</v>
      </c>
      <c r="AF104" s="7" t="str">
        <f>IFERROR(__xludf.DUMMYFUNCTION("""COMPUTED_VALUE"""),"OK")</f>
        <v>OK</v>
      </c>
      <c r="AG104" s="45"/>
    </row>
    <row r="105">
      <c r="B105" s="42">
        <f>IFERROR(__xludf.DUMMYFUNCTION("""COMPUTED_VALUE"""),45544.33526309028)</f>
        <v>45544.33526</v>
      </c>
      <c r="C105" s="43" t="str">
        <f>IFERROR(__xludf.DUMMYFUNCTION("""COMPUTED_VALUE"""),"Charo")</f>
        <v>Charo</v>
      </c>
      <c r="D105" s="43" t="str">
        <f>IFERROR(__xludf.DUMMYFUNCTION("""COMPUTED_VALUE"""),"Sánchez Balboa ")</f>
        <v>Sánchez Balboa </v>
      </c>
      <c r="E105" s="43" t="str">
        <f>IFERROR(__xludf.DUMMYFUNCTION("""COMPUTED_VALUE"""),"Buenos aires")</f>
        <v>Buenos aires</v>
      </c>
      <c r="F105" s="7" t="str">
        <f>IFERROR(__xludf.DUMMYFUNCTION("""COMPUTED_VALUE"""),"ARG")</f>
        <v>ARG</v>
      </c>
      <c r="G105" s="7">
        <f>IFERROR(__xludf.DUMMYFUNCTION("""COMPUTED_VALUE"""),5.0708516E7)</f>
        <v>50708516</v>
      </c>
      <c r="H105" s="44">
        <f>IFERROR(__xludf.DUMMYFUNCTION("""COMPUTED_VALUE"""),40532.0)</f>
        <v>40532</v>
      </c>
      <c r="I105" s="45">
        <f>IFERROR(__xludf.DUMMYFUNCTION("""COMPUTED_VALUE"""),1.12792449E9)</f>
        <v>1127924490</v>
      </c>
      <c r="J105" s="45">
        <f>IFERROR(__xludf.DUMMYFUNCTION("""COMPUTED_VALUE"""),1.166430485E9)</f>
        <v>1166430485</v>
      </c>
      <c r="K105" s="45" t="str">
        <f>IFERROR(__xludf.DUMMYFUNCTION("""COMPUTED_VALUE"""),"cbalboa16@gmail.com")</f>
        <v>cbalboa16@gmail.com</v>
      </c>
      <c r="L105" s="45" t="str">
        <f>IFERROR(__xludf.DUMMYFUNCTION("""COMPUTED_VALUE"""),"Femenino")</f>
        <v>Femenino</v>
      </c>
      <c r="M105" s="45" t="str">
        <f>IFERROR(__xludf.DUMMYFUNCTION("""COMPUTED_VALUE"""),"CNA")</f>
        <v>CNA</v>
      </c>
      <c r="N105" s="45" t="str">
        <f>IFERROR(__xludf.DUMMYFUNCTION("""COMPUTED_VALUE"""),"Femenino")</f>
        <v>Femenino</v>
      </c>
      <c r="O105" s="45" t="str">
        <f>IFERROR(__xludf.DUMMYFUNCTION("""COMPUTED_VALUE"""),"OPTIMIST PRINCIPIANTES")</f>
        <v>OPTIMIST PRINCIPIANTES</v>
      </c>
      <c r="P105" s="45" t="str">
        <f>IFERROR(__xludf.DUMMYFUNCTION("""COMPUTED_VALUE"""),"No")</f>
        <v>No</v>
      </c>
      <c r="Q105" s="45">
        <f>IFERROR(__xludf.DUMMYFUNCTION("""COMPUTED_VALUE"""),397.0)</f>
        <v>397</v>
      </c>
      <c r="R105" s="45" t="str">
        <f>IFERROR(__xludf.DUMMYFUNCTION("""COMPUTED_VALUE"""),"Four winds")</f>
        <v>Four winds</v>
      </c>
      <c r="S105" s="45"/>
      <c r="T105" s="45"/>
      <c r="U105" s="45"/>
      <c r="V105" s="45"/>
      <c r="W105" s="45"/>
      <c r="X105" s="45"/>
      <c r="Y105" s="45" t="str">
        <f>IFERROR(__xludf.DUMMYFUNCTION("""COMPUTED_VALUE"""),"OSDE 210")</f>
        <v>OSDE 210</v>
      </c>
      <c r="Z105" s="7" t="str">
        <f>IFERROR(__xludf.DUMMYFUNCTION("""COMPUTED_VALUE"""),"Si")</f>
        <v>Si</v>
      </c>
      <c r="AA105" s="7" t="str">
        <f>IFERROR(__xludf.DUMMYFUNCTION("""COMPUTED_VALUE"""),"Acepto")</f>
        <v>Acepto</v>
      </c>
      <c r="AB105" s="7" t="str">
        <f>IFERROR(__xludf.DUMMYFUNCTION("""COMPUTED_VALUE"""),"Pendiente")</f>
        <v>Pendiente</v>
      </c>
      <c r="AC105" s="7"/>
      <c r="AD105" s="7"/>
      <c r="AE105" s="7"/>
      <c r="AF105" s="7" t="str">
        <f>IFERROR(__xludf.DUMMYFUNCTION("""COMPUTED_VALUE"""),"OK")</f>
        <v>OK</v>
      </c>
      <c r="AG105" s="45"/>
    </row>
    <row r="106">
      <c r="B106" s="42">
        <f>IFERROR(__xludf.DUMMYFUNCTION("""COMPUTED_VALUE"""),45544.36630302083)</f>
        <v>45544.3663</v>
      </c>
      <c r="C106" s="43" t="str">
        <f>IFERROR(__xludf.DUMMYFUNCTION("""COMPUTED_VALUE"""),"FELIPE")</f>
        <v>FELIPE</v>
      </c>
      <c r="D106" s="43" t="str">
        <f>IFERROR(__xludf.DUMMYFUNCTION("""COMPUTED_VALUE"""),"DURAÑONA")</f>
        <v>DURAÑONA</v>
      </c>
      <c r="E106" s="43" t="str">
        <f>IFERROR(__xludf.DUMMYFUNCTION("""COMPUTED_VALUE"""),"Boulogne")</f>
        <v>Boulogne</v>
      </c>
      <c r="F106" s="7" t="str">
        <f>IFERROR(__xludf.DUMMYFUNCTION("""COMPUTED_VALUE"""),"ARG")</f>
        <v>ARG</v>
      </c>
      <c r="G106" s="7">
        <f>IFERROR(__xludf.DUMMYFUNCTION("""COMPUTED_VALUE"""),5.2703139E7)</f>
        <v>52703139</v>
      </c>
      <c r="H106" s="44">
        <f>IFERROR(__xludf.DUMMYFUNCTION("""COMPUTED_VALUE"""),41167.0)</f>
        <v>41167</v>
      </c>
      <c r="I106" s="45">
        <f>IFERROR(__xludf.DUMMYFUNCTION("""COMPUTED_VALUE"""),1.140276302E9)</f>
        <v>1140276302</v>
      </c>
      <c r="J106" s="45">
        <f>IFERROR(__xludf.DUMMYFUNCTION("""COMPUTED_VALUE"""),1.140276303E9)</f>
        <v>1140276303</v>
      </c>
      <c r="K106" s="45" t="str">
        <f>IFERROR(__xludf.DUMMYFUNCTION("""COMPUTED_VALUE"""),"fduranonav@gmail.com")</f>
        <v>fduranonav@gmail.com</v>
      </c>
      <c r="L106" s="45" t="str">
        <f>IFERROR(__xludf.DUMMYFUNCTION("""COMPUTED_VALUE"""),"Masculino")</f>
        <v>Masculino</v>
      </c>
      <c r="M106" s="45" t="str">
        <f>IFERROR(__xludf.DUMMYFUNCTION("""COMPUTED_VALUE"""),"YCA ")</f>
        <v>YCA </v>
      </c>
      <c r="N106" s="45"/>
      <c r="O106" s="45" t="str">
        <f>IFERROR(__xludf.DUMMYFUNCTION("""COMPUTED_VALUE"""),"OPTIMIST PRINCIPIANTES")</f>
        <v>OPTIMIST PRINCIPIANTES</v>
      </c>
      <c r="P106" s="45"/>
      <c r="Q106" s="45">
        <f>IFERROR(__xludf.DUMMYFUNCTION("""COMPUTED_VALUE"""),3445.0)</f>
        <v>3445</v>
      </c>
      <c r="R106" s="45" t="str">
        <f>IFERROR(__xludf.DUMMYFUNCTION("""COMPUTED_VALUE"""),"Explorer")</f>
        <v>Explorer</v>
      </c>
      <c r="S106" s="45"/>
      <c r="T106" s="45"/>
      <c r="U106" s="45"/>
      <c r="V106" s="45"/>
      <c r="W106" s="45"/>
      <c r="X106" s="45"/>
      <c r="Y106" s="45" t="str">
        <f>IFERROR(__xludf.DUMMYFUNCTION("""COMPUTED_VALUE"""),"Osde 62184993504")</f>
        <v>Osde 62184993504</v>
      </c>
      <c r="Z106" s="7" t="str">
        <f>IFERROR(__xludf.DUMMYFUNCTION("""COMPUTED_VALUE"""),"No")</f>
        <v>No</v>
      </c>
      <c r="AA106" s="7" t="str">
        <f>IFERROR(__xludf.DUMMYFUNCTION("""COMPUTED_VALUE"""),"Acepto")</f>
        <v>Acepto</v>
      </c>
      <c r="AB106" s="7" t="str">
        <f>IFERROR(__xludf.DUMMYFUNCTION("""COMPUTED_VALUE"""),"Terminado")</f>
        <v>Terminado</v>
      </c>
      <c r="AC106" s="7">
        <f>IFERROR(__xludf.DUMMYFUNCTION("""COMPUTED_VALUE"""),50000.0)</f>
        <v>50000</v>
      </c>
      <c r="AD106" s="7">
        <f>IFERROR(__xludf.DUMMYFUNCTION("""COMPUTED_VALUE"""),205640.0)</f>
        <v>205640</v>
      </c>
      <c r="AE106" s="7" t="str">
        <f>IFERROR(__xludf.DUMMYFUNCTION("""COMPUTED_VALUE"""),"TRF 09-09")</f>
        <v>TRF 09-09</v>
      </c>
      <c r="AF106" s="7" t="str">
        <f>IFERROR(__xludf.DUMMYFUNCTION("""COMPUTED_VALUE"""),"OK")</f>
        <v>OK</v>
      </c>
      <c r="AG106" s="45"/>
    </row>
    <row r="107">
      <c r="B107" s="42">
        <f>IFERROR(__xludf.DUMMYFUNCTION("""COMPUTED_VALUE"""),45544.39162871528)</f>
        <v>45544.39163</v>
      </c>
      <c r="C107" s="43" t="str">
        <f>IFERROR(__xludf.DUMMYFUNCTION("""COMPUTED_VALUE"""),"Agustín ")</f>
        <v>Agustín </v>
      </c>
      <c r="D107" s="43" t="str">
        <f>IFERROR(__xludf.DUMMYFUNCTION("""COMPUTED_VALUE"""),"Farkas Cantonnet")</f>
        <v>Farkas Cantonnet</v>
      </c>
      <c r="E107" s="43" t="str">
        <f>IFERROR(__xludf.DUMMYFUNCTION("""COMPUTED_VALUE"""),"CABA")</f>
        <v>CABA</v>
      </c>
      <c r="F107" s="7" t="str">
        <f>IFERROR(__xludf.DUMMYFUNCTION("""COMPUTED_VALUE"""),"ARG")</f>
        <v>ARG</v>
      </c>
      <c r="G107" s="7">
        <f>IFERROR(__xludf.DUMMYFUNCTION("""COMPUTED_VALUE"""),5.2648053E7)</f>
        <v>52648053</v>
      </c>
      <c r="H107" s="44">
        <f>IFERROR(__xludf.DUMMYFUNCTION("""COMPUTED_VALUE"""),41111.0)</f>
        <v>41111</v>
      </c>
      <c r="I107" s="45">
        <f>IFERROR(__xludf.DUMMYFUNCTION("""COMPUTED_VALUE"""),1.169730452E9)</f>
        <v>1169730452</v>
      </c>
      <c r="J107" s="45">
        <f>IFERROR(__xludf.DUMMYFUNCTION("""COMPUTED_VALUE"""),1.16862486E9)</f>
        <v>1168624860</v>
      </c>
      <c r="K107" s="45" t="str">
        <f>IFERROR(__xludf.DUMMYFUNCTION("""COMPUTED_VALUE"""),"juanpablofarkas@gmail.com")</f>
        <v>juanpablofarkas@gmail.com</v>
      </c>
      <c r="L107" s="45" t="str">
        <f>IFERROR(__xludf.DUMMYFUNCTION("""COMPUTED_VALUE"""),"Masculino")</f>
        <v>Masculino</v>
      </c>
      <c r="M107" s="45" t="str">
        <f>IFERROR(__xludf.DUMMYFUNCTION("""COMPUTED_VALUE"""),"CUBA")</f>
        <v>CUBA</v>
      </c>
      <c r="N107" s="45" t="str">
        <f>IFERROR(__xludf.DUMMYFUNCTION("""COMPUTED_VALUE"""),"Optimist principiante")</f>
        <v>Optimist principiante</v>
      </c>
      <c r="O107" s="45" t="str">
        <f>IFERROR(__xludf.DUMMYFUNCTION("""COMPUTED_VALUE"""),"OPTIMIST PRINCIPIANTES")</f>
        <v>OPTIMIST PRINCIPIANTES</v>
      </c>
      <c r="P107" s="45"/>
      <c r="Q107" s="45">
        <f>IFERROR(__xludf.DUMMYFUNCTION("""COMPUTED_VALUE"""),3663.0)</f>
        <v>3663</v>
      </c>
      <c r="R107" s="45" t="str">
        <f>IFERROR(__xludf.DUMMYFUNCTION("""COMPUTED_VALUE"""),"Cacharro ")</f>
        <v>Cacharro </v>
      </c>
      <c r="S107" s="45"/>
      <c r="T107" s="45"/>
      <c r="U107" s="45"/>
      <c r="V107" s="45"/>
      <c r="W107" s="45"/>
      <c r="X107" s="45"/>
      <c r="Y107" s="45" t="str">
        <f>IFERROR(__xludf.DUMMYFUNCTION("""COMPUTED_VALUE"""),"Omint 1749915302021")</f>
        <v>Omint 1749915302021</v>
      </c>
      <c r="Z107" s="7" t="str">
        <f>IFERROR(__xludf.DUMMYFUNCTION("""COMPUTED_VALUE"""),"Si")</f>
        <v>Si</v>
      </c>
      <c r="AA107" s="7" t="str">
        <f>IFERROR(__xludf.DUMMYFUNCTION("""COMPUTED_VALUE"""),"Acepto")</f>
        <v>Acepto</v>
      </c>
      <c r="AB107" s="7" t="str">
        <f>IFERROR(__xludf.DUMMYFUNCTION("""COMPUTED_VALUE"""),"Terminado")</f>
        <v>Terminado</v>
      </c>
      <c r="AC107" s="7">
        <f>IFERROR(__xludf.DUMMYFUNCTION("""COMPUTED_VALUE"""),70000.0)</f>
        <v>70000</v>
      </c>
      <c r="AD107" s="7">
        <f>IFERROR(__xludf.DUMMYFUNCTION("""COMPUTED_VALUE"""),205615.0)</f>
        <v>205615</v>
      </c>
      <c r="AE107" s="7" t="str">
        <f>IFERROR(__xludf.DUMMYFUNCTION("""COMPUTED_VALUE"""),"TRF 09-09")</f>
        <v>TRF 09-09</v>
      </c>
      <c r="AF107" s="7" t="str">
        <f>IFERROR(__xludf.DUMMYFUNCTION("""COMPUTED_VALUE"""),"OK")</f>
        <v>OK</v>
      </c>
      <c r="AG107" s="45"/>
    </row>
    <row r="108">
      <c r="B108" s="42">
        <f>IFERROR(__xludf.DUMMYFUNCTION("""COMPUTED_VALUE"""),45544.51976101851)</f>
        <v>45544.51976</v>
      </c>
      <c r="C108" s="43" t="str">
        <f>IFERROR(__xludf.DUMMYFUNCTION("""COMPUTED_VALUE"""),"prueba")</f>
        <v>prueba</v>
      </c>
      <c r="D108" s="43" t="str">
        <f>IFERROR(__xludf.DUMMYFUNCTION("""COMPUTED_VALUE"""),"prueba")</f>
        <v>prueba</v>
      </c>
      <c r="E108" s="43" t="str">
        <f>IFERROR(__xludf.DUMMYFUNCTION("""COMPUTED_VALUE"""),"prueba")</f>
        <v>prueba</v>
      </c>
      <c r="F108" s="7" t="str">
        <f>IFERROR(__xludf.DUMMYFUNCTION("""COMPUTED_VALUE"""),"CHI")</f>
        <v>CHI</v>
      </c>
      <c r="G108" s="7" t="str">
        <f>IFERROR(__xludf.DUMMYFUNCTION("""COMPUTED_VALUE"""),"0303456")</f>
        <v>0303456</v>
      </c>
      <c r="H108" s="44">
        <f>IFERROR(__xludf.DUMMYFUNCTION("""COMPUTED_VALUE"""),41975.0)</f>
        <v>41975</v>
      </c>
      <c r="I108" s="45" t="str">
        <f>IFERROR(__xludf.DUMMYFUNCTION("""COMPUTED_VALUE"""),"00000")</f>
        <v>00000</v>
      </c>
      <c r="J108" s="45"/>
      <c r="K108" s="45" t="str">
        <f>IFERROR(__xludf.DUMMYFUNCTION("""COMPUTED_VALUE"""),"prueba@gnail.com")</f>
        <v>prueba@gnail.com</v>
      </c>
      <c r="L108" s="45" t="str">
        <f>IFERROR(__xludf.DUMMYFUNCTION("""COMPUTED_VALUE"""),"Masculino")</f>
        <v>Masculino</v>
      </c>
      <c r="M108" s="45" t="str">
        <f>IFERROR(__xludf.DUMMYFUNCTION("""COMPUTED_VALUE"""),"YCO")</f>
        <v>YCO</v>
      </c>
      <c r="N108" s="45" t="str">
        <f>IFERROR(__xludf.DUMMYFUNCTION("""COMPUTED_VALUE"""),"Femenino")</f>
        <v>Femenino</v>
      </c>
      <c r="O108" s="45" t="str">
        <f>IFERROR(__xludf.DUMMYFUNCTION("""COMPUTED_VALUE"""),"OPTIMIST PRINCIPIANTES")</f>
        <v>OPTIMIST PRINCIPIANTES</v>
      </c>
      <c r="P108" s="45"/>
      <c r="Q108" s="45" t="str">
        <f>IFERROR(__xludf.DUMMYFUNCTION("""COMPUTED_VALUE"""),"0000")</f>
        <v>0000</v>
      </c>
      <c r="R108" s="45" t="str">
        <f>IFERROR(__xludf.DUMMYFUNCTION("""COMPUTED_VALUE"""),"zorro")</f>
        <v>zorro</v>
      </c>
      <c r="S108" s="45"/>
      <c r="T108" s="45"/>
      <c r="U108" s="45"/>
      <c r="V108" s="45"/>
      <c r="W108" s="45"/>
      <c r="X108" s="45"/>
      <c r="Y108" s="45"/>
      <c r="Z108" s="7" t="str">
        <f>IFERROR(__xludf.DUMMYFUNCTION("""COMPUTED_VALUE"""),"No")</f>
        <v>No</v>
      </c>
      <c r="AA108" s="7" t="str">
        <f>IFERROR(__xludf.DUMMYFUNCTION("""COMPUTED_VALUE"""),"Acepto")</f>
        <v>Acepto</v>
      </c>
      <c r="AB108" s="7" t="str">
        <f>IFERROR(__xludf.DUMMYFUNCTION("""COMPUTED_VALUE"""),"Repetido")</f>
        <v>Repetido</v>
      </c>
      <c r="AC108" s="7"/>
      <c r="AD108" s="7"/>
      <c r="AE108" s="7"/>
      <c r="AF108" s="7" t="str">
        <f>IFERROR(__xludf.DUMMYFUNCTION("""COMPUTED_VALUE"""),"No Corresp")</f>
        <v>No Corresp</v>
      </c>
      <c r="AG108" s="45"/>
    </row>
    <row r="109">
      <c r="B109" s="42">
        <f>IFERROR(__xludf.DUMMYFUNCTION("""COMPUTED_VALUE"""),45544.66881491899)</f>
        <v>45544.66881</v>
      </c>
      <c r="C109" s="43" t="str">
        <f>IFERROR(__xludf.DUMMYFUNCTION("""COMPUTED_VALUE"""),"BENICIO")</f>
        <v>BENICIO</v>
      </c>
      <c r="D109" s="43" t="str">
        <f>IFERROR(__xludf.DUMMYFUNCTION("""COMPUTED_VALUE"""),"RODRIGUEZ")</f>
        <v>RODRIGUEZ</v>
      </c>
      <c r="E109" s="43" t="str">
        <f>IFERROR(__xludf.DUMMYFUNCTION("""COMPUTED_VALUE"""),"RAMOS MEJIA")</f>
        <v>RAMOS MEJIA</v>
      </c>
      <c r="F109" s="7" t="str">
        <f>IFERROR(__xludf.DUMMYFUNCTION("""COMPUTED_VALUE"""),"ARG")</f>
        <v>ARG</v>
      </c>
      <c r="G109" s="7">
        <f>IFERROR(__xludf.DUMMYFUNCTION("""COMPUTED_VALUE"""),5.358021E7)</f>
        <v>53580210</v>
      </c>
      <c r="H109" s="44">
        <f>IFERROR(__xludf.DUMMYFUNCTION("""COMPUTED_VALUE"""),41545.0)</f>
        <v>41545</v>
      </c>
      <c r="I109" s="45">
        <f>IFERROR(__xludf.DUMMYFUNCTION("""COMPUTED_VALUE"""),1.165741017E9)</f>
        <v>1165741017</v>
      </c>
      <c r="J109" s="45">
        <f>IFERROR(__xludf.DUMMYFUNCTION("""COMPUTED_VALUE"""),1.165035775E9)</f>
        <v>1165035775</v>
      </c>
      <c r="K109" s="45" t="str">
        <f>IFERROR(__xludf.DUMMYFUNCTION("""COMPUTED_VALUE"""),"cecyferla6@gmail.com")</f>
        <v>cecyferla6@gmail.com</v>
      </c>
      <c r="L109" s="45" t="str">
        <f>IFERROR(__xludf.DUMMYFUNCTION("""COMPUTED_VALUE"""),"Masculino")</f>
        <v>Masculino</v>
      </c>
      <c r="M109" s="45" t="str">
        <f>IFERROR(__xludf.DUMMYFUNCTION("""COMPUTED_VALUE"""),"CPNLB")</f>
        <v>CPNLB</v>
      </c>
      <c r="N109" s="45" t="str">
        <f>IFERROR(__xludf.DUMMYFUNCTION("""COMPUTED_VALUE"""),"OPTIMIST PRINCIAPIANTES")</f>
        <v>OPTIMIST PRINCIAPIANTES</v>
      </c>
      <c r="O109" s="45" t="str">
        <f>IFERROR(__xludf.DUMMYFUNCTION("""COMPUTED_VALUE"""),"OPTIMIST PRINCIPIANTES")</f>
        <v>OPTIMIST PRINCIPIANTES</v>
      </c>
      <c r="P109" s="45"/>
      <c r="Q109" s="45">
        <f>IFERROR(__xludf.DUMMYFUNCTION("""COMPUTED_VALUE"""),3254.0)</f>
        <v>3254</v>
      </c>
      <c r="R109" s="45"/>
      <c r="S109" s="45"/>
      <c r="T109" s="45"/>
      <c r="U109" s="45"/>
      <c r="V109" s="45"/>
      <c r="W109" s="45"/>
      <c r="X109" s="45"/>
      <c r="Y109" s="45"/>
      <c r="Z109" s="7" t="str">
        <f>IFERROR(__xludf.DUMMYFUNCTION("""COMPUTED_VALUE"""),"Si")</f>
        <v>Si</v>
      </c>
      <c r="AA109" s="7" t="str">
        <f>IFERROR(__xludf.DUMMYFUNCTION("""COMPUTED_VALUE"""),"Acepto")</f>
        <v>Acepto</v>
      </c>
      <c r="AB109" s="7" t="str">
        <f>IFERROR(__xludf.DUMMYFUNCTION("""COMPUTED_VALUE"""),"Terminado")</f>
        <v>Terminado</v>
      </c>
      <c r="AC109" s="7">
        <f>IFERROR(__xludf.DUMMYFUNCTION("""COMPUTED_VALUE"""),50000.0)</f>
        <v>50000</v>
      </c>
      <c r="AD109" s="7">
        <f>IFERROR(__xludf.DUMMYFUNCTION("""COMPUTED_VALUE"""),205648.0)</f>
        <v>205648</v>
      </c>
      <c r="AE109" s="7" t="str">
        <f>IFERROR(__xludf.DUMMYFUNCTION("""COMPUTED_VALUE"""),"TRF 10-09")</f>
        <v>TRF 10-09</v>
      </c>
      <c r="AF109" s="7" t="str">
        <f>IFERROR(__xludf.DUMMYFUNCTION("""COMPUTED_VALUE"""),"OK")</f>
        <v>OK</v>
      </c>
      <c r="AG109" s="45" t="str">
        <f>IFERROR(__xludf.DUMMYFUNCTION("""COMPUTED_VALUE"""),"SI")</f>
        <v>SI</v>
      </c>
    </row>
    <row r="110">
      <c r="B110" s="42">
        <f>IFERROR(__xludf.DUMMYFUNCTION("""COMPUTED_VALUE"""),45544.66991459491)</f>
        <v>45544.66991</v>
      </c>
      <c r="C110" s="43" t="str">
        <f>IFERROR(__xludf.DUMMYFUNCTION("""COMPUTED_VALUE"""),"Milagros")</f>
        <v>Milagros</v>
      </c>
      <c r="D110" s="43" t="str">
        <f>IFERROR(__xludf.DUMMYFUNCTION("""COMPUTED_VALUE"""),"Peruilh")</f>
        <v>Peruilh</v>
      </c>
      <c r="E110" s="43" t="str">
        <f>IFERROR(__xludf.DUMMYFUNCTION("""COMPUTED_VALUE"""),"CABA")</f>
        <v>CABA</v>
      </c>
      <c r="F110" s="7" t="str">
        <f>IFERROR(__xludf.DUMMYFUNCTION("""COMPUTED_VALUE"""),"ARG")</f>
        <v>ARG</v>
      </c>
      <c r="G110" s="7">
        <f>IFERROR(__xludf.DUMMYFUNCTION("""COMPUTED_VALUE"""),5.214118E7)</f>
        <v>52141180</v>
      </c>
      <c r="H110" s="44">
        <f>IFERROR(__xludf.DUMMYFUNCTION("""COMPUTED_VALUE"""),40951.0)</f>
        <v>40951</v>
      </c>
      <c r="I110" s="45">
        <f>IFERROR(__xludf.DUMMYFUNCTION("""COMPUTED_VALUE"""),1.1625259268E10)</f>
        <v>11625259268</v>
      </c>
      <c r="J110" s="45">
        <f>IFERROR(__xludf.DUMMYFUNCTION("""COMPUTED_VALUE"""),1.162529269E9)</f>
        <v>1162529269</v>
      </c>
      <c r="K110" s="45" t="str">
        <f>IFERROR(__xludf.DUMMYFUNCTION("""COMPUTED_VALUE"""),"peruilh.christian@gmail.com")</f>
        <v>peruilh.christian@gmail.com</v>
      </c>
      <c r="L110" s="45" t="str">
        <f>IFERROR(__xludf.DUMMYFUNCTION("""COMPUTED_VALUE"""),"Femenino")</f>
        <v>Femenino</v>
      </c>
      <c r="M110" s="45" t="str">
        <f>IFERROR(__xludf.DUMMYFUNCTION("""COMPUTED_VALUE"""),"CUBA")</f>
        <v>CUBA</v>
      </c>
      <c r="N110" s="45" t="str">
        <f>IFERROR(__xludf.DUMMYFUNCTION("""COMPUTED_VALUE"""),"Femenino")</f>
        <v>Femenino</v>
      </c>
      <c r="O110" s="45" t="str">
        <f>IFERROR(__xludf.DUMMYFUNCTION("""COMPUTED_VALUE"""),"OPTIMIST PRINCIPIANTES")</f>
        <v>OPTIMIST PRINCIPIANTES</v>
      </c>
      <c r="P110" s="45"/>
      <c r="Q110" s="45">
        <f>IFERROR(__xludf.DUMMYFUNCTION("""COMPUTED_VALUE"""),3120.0)</f>
        <v>3120</v>
      </c>
      <c r="R110" s="45"/>
      <c r="S110" s="45"/>
      <c r="T110" s="45"/>
      <c r="U110" s="45"/>
      <c r="V110" s="45"/>
      <c r="W110" s="45"/>
      <c r="X110" s="45"/>
      <c r="Y110" s="45">
        <f>IFERROR(__xludf.DUMMYFUNCTION("""COMPUTED_VALUE"""),6.1409265405E10)</f>
        <v>61409265405</v>
      </c>
      <c r="Z110" s="7" t="str">
        <f>IFERROR(__xludf.DUMMYFUNCTION("""COMPUTED_VALUE"""),"Si")</f>
        <v>Si</v>
      </c>
      <c r="AA110" s="7" t="str">
        <f>IFERROR(__xludf.DUMMYFUNCTION("""COMPUTED_VALUE"""),"Acepto")</f>
        <v>Acepto</v>
      </c>
      <c r="AB110" s="7" t="str">
        <f>IFERROR(__xludf.DUMMYFUNCTION("""COMPUTED_VALUE"""),"Terminado")</f>
        <v>Terminado</v>
      </c>
      <c r="AC110" s="7">
        <f>IFERROR(__xludf.DUMMYFUNCTION("""COMPUTED_VALUE"""),50000.0)</f>
        <v>50000</v>
      </c>
      <c r="AD110" s="7">
        <f>IFERROR(__xludf.DUMMYFUNCTION("""COMPUTED_VALUE"""),205626.0)</f>
        <v>205626</v>
      </c>
      <c r="AE110" s="7" t="str">
        <f>IFERROR(__xludf.DUMMYFUNCTION("""COMPUTED_VALUE"""),"TRF 09-09")</f>
        <v>TRF 09-09</v>
      </c>
      <c r="AF110" s="7" t="str">
        <f>IFERROR(__xludf.DUMMYFUNCTION("""COMPUTED_VALUE"""),"OK")</f>
        <v>OK</v>
      </c>
      <c r="AG110" s="45"/>
    </row>
    <row r="111">
      <c r="B111" s="42">
        <f>IFERROR(__xludf.DUMMYFUNCTION("""COMPUTED_VALUE"""),45544.7165784838)</f>
        <v>45544.71658</v>
      </c>
      <c r="C111" s="43" t="str">
        <f>IFERROR(__xludf.DUMMYFUNCTION("""COMPUTED_VALUE"""),"Francisco")</f>
        <v>Francisco</v>
      </c>
      <c r="D111" s="43" t="str">
        <f>IFERROR(__xludf.DUMMYFUNCTION("""COMPUTED_VALUE"""),"calabrese")</f>
        <v>calabrese</v>
      </c>
      <c r="E111" s="43" t="str">
        <f>IFERROR(__xludf.DUMMYFUNCTION("""COMPUTED_VALUE"""),"Nordelta, Buenos Aires")</f>
        <v>Nordelta, Buenos Aires</v>
      </c>
      <c r="F111" s="7" t="str">
        <f>IFERROR(__xludf.DUMMYFUNCTION("""COMPUTED_VALUE"""),"ARG")</f>
        <v>ARG</v>
      </c>
      <c r="G111" s="7">
        <f>IFERROR(__xludf.DUMMYFUNCTION("""COMPUTED_VALUE"""),5.3202237E7)</f>
        <v>53202237</v>
      </c>
      <c r="H111" s="44">
        <f>IFERROR(__xludf.DUMMYFUNCTION("""COMPUTED_VALUE"""),41415.0)</f>
        <v>41415</v>
      </c>
      <c r="I111" s="45" t="str">
        <f>IFERROR(__xludf.DUMMYFUNCTION("""COMPUTED_VALUE"""),"+5491121600067")</f>
        <v>+5491121600067</v>
      </c>
      <c r="J111" s="45" t="str">
        <f>IFERROR(__xludf.DUMMYFUNCTION("""COMPUTED_VALUE"""),"+5491130801082")</f>
        <v>+5491130801082</v>
      </c>
      <c r="K111" s="45" t="str">
        <f>IFERROR(__xludf.DUMMYFUNCTION("""COMPUTED_VALUE"""),"marcela.domato@gmail.com")</f>
        <v>marcela.domato@gmail.com</v>
      </c>
      <c r="L111" s="45" t="str">
        <f>IFERROR(__xludf.DUMMYFUNCTION("""COMPUTED_VALUE"""),"Masculino")</f>
        <v>Masculino</v>
      </c>
      <c r="M111" s="45" t="str">
        <f>IFERROR(__xludf.DUMMYFUNCTION("""COMPUTED_VALUE"""),"YCA")</f>
        <v>YCA</v>
      </c>
      <c r="N111" s="45"/>
      <c r="O111" s="45" t="str">
        <f>IFERROR(__xludf.DUMMYFUNCTION("""COMPUTED_VALUE"""),"OPTIMIST PRINCIPIANTES")</f>
        <v>OPTIMIST PRINCIPIANTES</v>
      </c>
      <c r="P111" s="45"/>
      <c r="Q111" s="45" t="str">
        <f>IFERROR(__xludf.DUMMYFUNCTION("""COMPUTED_VALUE"""),"ARG 4122")</f>
        <v>ARG 4122</v>
      </c>
      <c r="R111" s="45" t="str">
        <f>IFERROR(__xludf.DUMMYFUNCTION("""COMPUTED_VALUE"""),"Eh Amigo!")</f>
        <v>Eh Amigo!</v>
      </c>
      <c r="S111" s="45"/>
      <c r="T111" s="45"/>
      <c r="U111" s="45"/>
      <c r="V111" s="45"/>
      <c r="W111" s="45"/>
      <c r="X111" s="45"/>
      <c r="Y111" s="45">
        <f>IFERROR(__xludf.DUMMYFUNCTION("""COMPUTED_VALUE"""),6.1011049603E10)</f>
        <v>61011049603</v>
      </c>
      <c r="Z111" s="7" t="str">
        <f>IFERROR(__xludf.DUMMYFUNCTION("""COMPUTED_VALUE"""),"No")</f>
        <v>No</v>
      </c>
      <c r="AA111" s="7" t="str">
        <f>IFERROR(__xludf.DUMMYFUNCTION("""COMPUTED_VALUE"""),"Acepto")</f>
        <v>Acepto</v>
      </c>
      <c r="AB111" s="7" t="str">
        <f>IFERROR(__xludf.DUMMYFUNCTION("""COMPUTED_VALUE"""),"Terminado")</f>
        <v>Terminado</v>
      </c>
      <c r="AC111" s="7">
        <f>IFERROR(__xludf.DUMMYFUNCTION("""COMPUTED_VALUE"""),50000.0)</f>
        <v>50000</v>
      </c>
      <c r="AD111" s="7">
        <f>IFERROR(__xludf.DUMMYFUNCTION("""COMPUTED_VALUE"""),205663.0)</f>
        <v>205663</v>
      </c>
      <c r="AE111" s="7" t="str">
        <f>IFERROR(__xludf.DUMMYFUNCTION("""COMPUTED_VALUE"""),"TRF 10-09")</f>
        <v>TRF 10-09</v>
      </c>
      <c r="AF111" s="7" t="str">
        <f>IFERROR(__xludf.DUMMYFUNCTION("""COMPUTED_VALUE"""),"OK")</f>
        <v>OK</v>
      </c>
      <c r="AG111" s="45"/>
    </row>
    <row r="112">
      <c r="B112" s="42">
        <f>IFERROR(__xludf.DUMMYFUNCTION("""COMPUTED_VALUE"""),45544.73210686343)</f>
        <v>45544.73211</v>
      </c>
      <c r="C112" s="43" t="str">
        <f>IFERROR(__xludf.DUMMYFUNCTION("""COMPUTED_VALUE"""),"Ariel Martín ")</f>
        <v>Ariel Martín </v>
      </c>
      <c r="D112" s="43" t="str">
        <f>IFERROR(__xludf.DUMMYFUNCTION("""COMPUTED_VALUE"""),"García")</f>
        <v>García</v>
      </c>
      <c r="E112" s="43" t="str">
        <f>IFERROR(__xludf.DUMMYFUNCTION("""COMPUTED_VALUE"""),"San Isidro")</f>
        <v>San Isidro</v>
      </c>
      <c r="F112" s="7" t="str">
        <f>IFERROR(__xludf.DUMMYFUNCTION("""COMPUTED_VALUE"""),"ARG")</f>
        <v>ARG</v>
      </c>
      <c r="G112" s="7">
        <f>IFERROR(__xludf.DUMMYFUNCTION("""COMPUTED_VALUE"""),5.008865E7)</f>
        <v>50088650</v>
      </c>
      <c r="H112" s="44">
        <f>IFERROR(__xludf.DUMMYFUNCTION("""COMPUTED_VALUE"""),40201.0)</f>
        <v>40201</v>
      </c>
      <c r="I112" s="45">
        <f>IFERROR(__xludf.DUMMYFUNCTION("""COMPUTED_VALUE"""),1.140374722E9)</f>
        <v>1140374722</v>
      </c>
      <c r="J112" s="45" t="str">
        <f>IFERROR(__xludf.DUMMYFUNCTION("""COMPUTED_VALUE"""),"1140374722  1131394074")</f>
        <v>1140374722  1131394074</v>
      </c>
      <c r="K112" s="45" t="str">
        <f>IFERROR(__xludf.DUMMYFUNCTION("""COMPUTED_VALUE"""),"caroltramu@gmail.com")</f>
        <v>caroltramu@gmail.com</v>
      </c>
      <c r="L112" s="45" t="str">
        <f>IFERROR(__xludf.DUMMYFUNCTION("""COMPUTED_VALUE"""),"Masculino")</f>
        <v>Masculino</v>
      </c>
      <c r="M112" s="45" t="str">
        <f>IFERROR(__xludf.DUMMYFUNCTION("""COMPUTED_VALUE"""),"CVSI")</f>
        <v>CVSI</v>
      </c>
      <c r="N112" s="45"/>
      <c r="O112" s="45" t="str">
        <f>IFERROR(__xludf.DUMMYFUNCTION("""COMPUTED_VALUE"""),"OPTIMIST PRINCIPIANTES")</f>
        <v>OPTIMIST PRINCIPIANTES</v>
      </c>
      <c r="P112" s="45"/>
      <c r="Q112" s="45">
        <f>IFERROR(__xludf.DUMMYFUNCTION("""COMPUTED_VALUE"""),3648.0)</f>
        <v>3648</v>
      </c>
      <c r="R112" s="45" t="str">
        <f>IFERROR(__xludf.DUMMYFUNCTION("""COMPUTED_VALUE"""),"Post Mortem")</f>
        <v>Post Mortem</v>
      </c>
      <c r="S112" s="45"/>
      <c r="T112" s="45"/>
      <c r="U112" s="45"/>
      <c r="V112" s="45"/>
      <c r="W112" s="45"/>
      <c r="X112" s="45"/>
      <c r="Y112" s="45" t="str">
        <f>IFERROR(__xludf.DUMMYFUNCTION("""COMPUTED_VALUE"""),"Obra Social del Personal de Farmacia")</f>
        <v>Obra Social del Personal de Farmacia</v>
      </c>
      <c r="Z112" s="7" t="str">
        <f>IFERROR(__xludf.DUMMYFUNCTION("""COMPUTED_VALUE"""),"No")</f>
        <v>No</v>
      </c>
      <c r="AA112" s="7" t="str">
        <f>IFERROR(__xludf.DUMMYFUNCTION("""COMPUTED_VALUE"""),"Acepto")</f>
        <v>Acepto</v>
      </c>
      <c r="AB112" s="7" t="str">
        <f>IFERROR(__xludf.DUMMYFUNCTION("""COMPUTED_VALUE"""),"Terminado")</f>
        <v>Terminado</v>
      </c>
      <c r="AC112" s="7">
        <f>IFERROR(__xludf.DUMMYFUNCTION("""COMPUTED_VALUE"""),50000.0)</f>
        <v>50000</v>
      </c>
      <c r="AD112" s="7">
        <f>IFERROR(__xludf.DUMMYFUNCTION("""COMPUTED_VALUE"""),205627.0)</f>
        <v>205627</v>
      </c>
      <c r="AE112" s="7" t="str">
        <f>IFERROR(__xludf.DUMMYFUNCTION("""COMPUTED_VALUE"""),"TRF 09-09")</f>
        <v>TRF 09-09</v>
      </c>
      <c r="AF112" s="7" t="str">
        <f>IFERROR(__xludf.DUMMYFUNCTION("""COMPUTED_VALUE"""),"OK")</f>
        <v>OK</v>
      </c>
      <c r="AG112" s="45"/>
    </row>
    <row r="113">
      <c r="B113" s="42">
        <f>IFERROR(__xludf.DUMMYFUNCTION("""COMPUTED_VALUE"""),45544.7819759375)</f>
        <v>45544.78198</v>
      </c>
      <c r="C113" s="43" t="str">
        <f>IFERROR(__xludf.DUMMYFUNCTION("""COMPUTED_VALUE"""),"Martina")</f>
        <v>Martina</v>
      </c>
      <c r="D113" s="43" t="str">
        <f>IFERROR(__xludf.DUMMYFUNCTION("""COMPUTED_VALUE"""),"Pittaluga")</f>
        <v>Pittaluga</v>
      </c>
      <c r="E113" s="43" t="str">
        <f>IFERROR(__xludf.DUMMYFUNCTION("""COMPUTED_VALUE"""),"CABA")</f>
        <v>CABA</v>
      </c>
      <c r="F113" s="7" t="str">
        <f>IFERROR(__xludf.DUMMYFUNCTION("""COMPUTED_VALUE"""),"ARG")</f>
        <v>ARG</v>
      </c>
      <c r="G113" s="7">
        <f>IFERROR(__xludf.DUMMYFUNCTION("""COMPUTED_VALUE"""),5.2441977E7)</f>
        <v>52441977</v>
      </c>
      <c r="H113" s="44">
        <f>IFERROR(__xludf.DUMMYFUNCTION("""COMPUTED_VALUE"""),40998.0)</f>
        <v>40998</v>
      </c>
      <c r="I113" s="45">
        <f>IFERROR(__xludf.DUMMYFUNCTION("""COMPUTED_VALUE"""),1.163217878E9)</f>
        <v>1163217878</v>
      </c>
      <c r="J113" s="45">
        <f>IFERROR(__xludf.DUMMYFUNCTION("""COMPUTED_VALUE"""),1.163217878E9)</f>
        <v>1163217878</v>
      </c>
      <c r="K113" s="45" t="str">
        <f>IFERROR(__xludf.DUMMYFUNCTION("""COMPUTED_VALUE"""),"ejpittaluga@gmail.com")</f>
        <v>ejpittaluga@gmail.com</v>
      </c>
      <c r="L113" s="45" t="str">
        <f>IFERROR(__xludf.DUMMYFUNCTION("""COMPUTED_VALUE"""),"Femenino")</f>
        <v>Femenino</v>
      </c>
      <c r="M113" s="45" t="str">
        <f>IFERROR(__xludf.DUMMYFUNCTION("""COMPUTED_VALUE"""),"YCA")</f>
        <v>YCA</v>
      </c>
      <c r="N113" s="45" t="str">
        <f>IFERROR(__xludf.DUMMYFUNCTION("""COMPUTED_VALUE"""),"Femenino")</f>
        <v>Femenino</v>
      </c>
      <c r="O113" s="45" t="str">
        <f>IFERROR(__xludf.DUMMYFUNCTION("""COMPUTED_VALUE"""),"OPTIMIST PRINCIPIANTES")</f>
        <v>OPTIMIST PRINCIPIANTES</v>
      </c>
      <c r="P113" s="45"/>
      <c r="Q113" s="45" t="str">
        <f>IFERROR(__xludf.DUMMYFUNCTION("""COMPUTED_VALUE"""),"ARG-3970")</f>
        <v>ARG-3970</v>
      </c>
      <c r="R113" s="45" t="str">
        <f>IFERROR(__xludf.DUMMYFUNCTION("""COMPUTED_VALUE"""),"La Brava")</f>
        <v>La Brava</v>
      </c>
      <c r="S113" s="45"/>
      <c r="T113" s="45"/>
      <c r="U113" s="45"/>
      <c r="V113" s="45"/>
      <c r="W113" s="45"/>
      <c r="X113" s="45"/>
      <c r="Y113" s="45" t="str">
        <f>IFERROR(__xludf.DUMMYFUNCTION("""COMPUTED_VALUE"""),"OSDE - 60916820602")</f>
        <v>OSDE - 60916820602</v>
      </c>
      <c r="Z113" s="7" t="str">
        <f>IFERROR(__xludf.DUMMYFUNCTION("""COMPUTED_VALUE"""),"Si")</f>
        <v>Si</v>
      </c>
      <c r="AA113" s="7" t="str">
        <f>IFERROR(__xludf.DUMMYFUNCTION("""COMPUTED_VALUE"""),"Acepto")</f>
        <v>Acepto</v>
      </c>
      <c r="AB113" s="7" t="str">
        <f>IFERROR(__xludf.DUMMYFUNCTION("""COMPUTED_VALUE"""),"Terminado")</f>
        <v>Terminado</v>
      </c>
      <c r="AC113" s="7">
        <f>IFERROR(__xludf.DUMMYFUNCTION("""COMPUTED_VALUE"""),50000.0)</f>
        <v>50000</v>
      </c>
      <c r="AD113" s="7">
        <f>IFERROR(__xludf.DUMMYFUNCTION("""COMPUTED_VALUE"""),205628.0)</f>
        <v>205628</v>
      </c>
      <c r="AE113" s="7" t="str">
        <f>IFERROR(__xludf.DUMMYFUNCTION("""COMPUTED_VALUE"""),"TRF 09-09")</f>
        <v>TRF 09-09</v>
      </c>
      <c r="AF113" s="7" t="str">
        <f>IFERROR(__xludf.DUMMYFUNCTION("""COMPUTED_VALUE"""),"OK")</f>
        <v>OK</v>
      </c>
      <c r="AG113" s="45"/>
    </row>
    <row r="114">
      <c r="B114" s="42">
        <f>IFERROR(__xludf.DUMMYFUNCTION("""COMPUTED_VALUE"""),45544.87126648148)</f>
        <v>45544.87127</v>
      </c>
      <c r="C114" s="43" t="str">
        <f>IFERROR(__xludf.DUMMYFUNCTION("""COMPUTED_VALUE"""),"Chiara")</f>
        <v>Chiara</v>
      </c>
      <c r="D114" s="43" t="str">
        <f>IFERROR(__xludf.DUMMYFUNCTION("""COMPUTED_VALUE"""),"Arcuri")</f>
        <v>Arcuri</v>
      </c>
      <c r="E114" s="43" t="str">
        <f>IFERROR(__xludf.DUMMYFUNCTION("""COMPUTED_VALUE"""),"San Isidro")</f>
        <v>San Isidro</v>
      </c>
      <c r="F114" s="7" t="str">
        <f>IFERROR(__xludf.DUMMYFUNCTION("""COMPUTED_VALUE"""),"ARG")</f>
        <v>ARG</v>
      </c>
      <c r="G114" s="7">
        <f>IFERROR(__xludf.DUMMYFUNCTION("""COMPUTED_VALUE"""),5.285498E7)</f>
        <v>52854980</v>
      </c>
      <c r="H114" s="44">
        <f>IFERROR(__xludf.DUMMYFUNCTION("""COMPUTED_VALUE"""),41237.0)</f>
        <v>41237</v>
      </c>
      <c r="I114" s="45">
        <f>IFERROR(__xludf.DUMMYFUNCTION("""COMPUTED_VALUE"""),1.133244946E9)</f>
        <v>1133244946</v>
      </c>
      <c r="J114" s="45">
        <f>IFERROR(__xludf.DUMMYFUNCTION("""COMPUTED_VALUE"""),1.133244946E9)</f>
        <v>1133244946</v>
      </c>
      <c r="K114" s="45" t="str">
        <f>IFERROR(__xludf.DUMMYFUNCTION("""COMPUTED_VALUE"""),"francisco _arcuri@mac.com")</f>
        <v>francisco _arcuri@mac.com</v>
      </c>
      <c r="L114" s="45" t="str">
        <f>IFERROR(__xludf.DUMMYFUNCTION("""COMPUTED_VALUE"""),"Femenino")</f>
        <v>Femenino</v>
      </c>
      <c r="M114" s="45" t="str">
        <f>IFERROR(__xludf.DUMMYFUNCTION("""COMPUTED_VALUE"""),"YCA")</f>
        <v>YCA</v>
      </c>
      <c r="N114" s="45" t="str">
        <f>IFERROR(__xludf.DUMMYFUNCTION("""COMPUTED_VALUE"""),"Femenino")</f>
        <v>Femenino</v>
      </c>
      <c r="O114" s="45" t="str">
        <f>IFERROR(__xludf.DUMMYFUNCTION("""COMPUTED_VALUE"""),"OPTIMIST PRINCIPIANTES")</f>
        <v>OPTIMIST PRINCIPIANTES</v>
      </c>
      <c r="P114" s="45"/>
      <c r="Q114" s="45">
        <f>IFERROR(__xludf.DUMMYFUNCTION("""COMPUTED_VALUE"""),3441.0)</f>
        <v>3441</v>
      </c>
      <c r="R114" s="45" t="str">
        <f>IFERROR(__xludf.DUMMYFUNCTION("""COMPUTED_VALUE"""),"Magic")</f>
        <v>Magic</v>
      </c>
      <c r="S114" s="45"/>
      <c r="T114" s="45"/>
      <c r="U114" s="45"/>
      <c r="V114" s="45"/>
      <c r="W114" s="45"/>
      <c r="X114" s="45"/>
      <c r="Y114" s="45" t="str">
        <f>IFERROR(__xludf.DUMMYFUNCTION("""COMPUTED_VALUE"""),"Medicus")</f>
        <v>Medicus</v>
      </c>
      <c r="Z114" s="7" t="str">
        <f>IFERROR(__xludf.DUMMYFUNCTION("""COMPUTED_VALUE"""),"No")</f>
        <v>No</v>
      </c>
      <c r="AA114" s="7" t="str">
        <f>IFERROR(__xludf.DUMMYFUNCTION("""COMPUTED_VALUE"""),"Acepto")</f>
        <v>Acepto</v>
      </c>
      <c r="AB114" s="7" t="str">
        <f>IFERROR(__xludf.DUMMYFUNCTION("""COMPUTED_VALUE"""),"Terminado")</f>
        <v>Terminado</v>
      </c>
      <c r="AC114" s="7">
        <f>IFERROR(__xludf.DUMMYFUNCTION("""COMPUTED_VALUE"""),50000.0)</f>
        <v>50000</v>
      </c>
      <c r="AD114" s="7">
        <f>IFERROR(__xludf.DUMMYFUNCTION("""COMPUTED_VALUE"""),205630.0)</f>
        <v>205630</v>
      </c>
      <c r="AE114" s="7" t="str">
        <f>IFERROR(__xludf.DUMMYFUNCTION("""COMPUTED_VALUE"""),"TRF 09-09")</f>
        <v>TRF 09-09</v>
      </c>
      <c r="AF114" s="7" t="str">
        <f>IFERROR(__xludf.DUMMYFUNCTION("""COMPUTED_VALUE"""),"OK")</f>
        <v>OK</v>
      </c>
      <c r="AG114" s="45"/>
    </row>
    <row r="115">
      <c r="B115" s="42">
        <f>IFERROR(__xludf.DUMMYFUNCTION("""COMPUTED_VALUE"""),45544.87328768519)</f>
        <v>45544.87329</v>
      </c>
      <c r="C115" s="43" t="str">
        <f>IFERROR(__xludf.DUMMYFUNCTION("""COMPUTED_VALUE"""),"Follero ")</f>
        <v>Follero </v>
      </c>
      <c r="D115" s="43" t="str">
        <f>IFERROR(__xludf.DUMMYFUNCTION("""COMPUTED_VALUE"""),"Follero Parente")</f>
        <v>Follero Parente</v>
      </c>
      <c r="E115" s="43" t="str">
        <f>IFERROR(__xludf.DUMMYFUNCTION("""COMPUTED_VALUE"""),"San Fernando")</f>
        <v>San Fernando</v>
      </c>
      <c r="F115" s="7" t="str">
        <f>IFERROR(__xludf.DUMMYFUNCTION("""COMPUTED_VALUE"""),"ARG")</f>
        <v>ARG</v>
      </c>
      <c r="G115" s="7">
        <f>IFERROR(__xludf.DUMMYFUNCTION("""COMPUTED_VALUE"""),5.3761009E7)</f>
        <v>53761009</v>
      </c>
      <c r="H115" s="44">
        <f>IFERROR(__xludf.DUMMYFUNCTION("""COMPUTED_VALUE"""),41649.0)</f>
        <v>41649</v>
      </c>
      <c r="I115" s="45">
        <f>IFERROR(__xludf.DUMMYFUNCTION("""COMPUTED_VALUE"""),5.3761009E7)</f>
        <v>53761009</v>
      </c>
      <c r="J115" s="45">
        <f>IFERROR(__xludf.DUMMYFUNCTION("""COMPUTED_VALUE"""),1.531731753E9)</f>
        <v>1531731753</v>
      </c>
      <c r="K115" s="45" t="str">
        <f>IFERROR(__xludf.DUMMYFUNCTION("""COMPUTED_VALUE"""),"Parentegeraldine10@gmail.com ")</f>
        <v>Parentegeraldine10@gmail.com </v>
      </c>
      <c r="L115" s="45" t="str">
        <f>IFERROR(__xludf.DUMMYFUNCTION("""COMPUTED_VALUE"""),"Femenino")</f>
        <v>Femenino</v>
      </c>
      <c r="M115" s="45" t="str">
        <f>IFERROR(__xludf.DUMMYFUNCTION("""COMPUTED_VALUE"""),"CVB")</f>
        <v>CVB</v>
      </c>
      <c r="N115" s="45"/>
      <c r="O115" s="45" t="str">
        <f>IFERROR(__xludf.DUMMYFUNCTION("""COMPUTED_VALUE"""),"OPTIMIST PRINCIPIANTES")</f>
        <v>OPTIMIST PRINCIPIANTES</v>
      </c>
      <c r="P115" s="45"/>
      <c r="Q115" s="45">
        <f>IFERROR(__xludf.DUMMYFUNCTION("""COMPUTED_VALUE"""),4000.0)</f>
        <v>4000</v>
      </c>
      <c r="R115" s="45"/>
      <c r="S115" s="45"/>
      <c r="T115" s="45"/>
      <c r="U115" s="45"/>
      <c r="V115" s="45"/>
      <c r="W115" s="45"/>
      <c r="X115" s="45"/>
      <c r="Y115" s="45" t="str">
        <f>IFERROR(__xludf.DUMMYFUNCTION("""COMPUTED_VALUE"""),"Prevención salud")</f>
        <v>Prevención salud</v>
      </c>
      <c r="Z115" s="7" t="str">
        <f>IFERROR(__xludf.DUMMYFUNCTION("""COMPUTED_VALUE"""),"Si")</f>
        <v>Si</v>
      </c>
      <c r="AA115" s="7" t="str">
        <f>IFERROR(__xludf.DUMMYFUNCTION("""COMPUTED_VALUE"""),"Acepto")</f>
        <v>Acepto</v>
      </c>
      <c r="AB115" s="7" t="str">
        <f>IFERROR(__xludf.DUMMYFUNCTION("""COMPUTED_VALUE"""),"Terminado")</f>
        <v>Terminado</v>
      </c>
      <c r="AC115" s="7">
        <f>IFERROR(__xludf.DUMMYFUNCTION("""COMPUTED_VALUE"""),50000.0)</f>
        <v>50000</v>
      </c>
      <c r="AD115" s="7">
        <f>IFERROR(__xludf.DUMMYFUNCTION("""COMPUTED_VALUE"""),205631.0)</f>
        <v>205631</v>
      </c>
      <c r="AE115" s="7" t="str">
        <f>IFERROR(__xludf.DUMMYFUNCTION("""COMPUTED_VALUE"""),"TRF 09-09")</f>
        <v>TRF 09-09</v>
      </c>
      <c r="AF115" s="7" t="str">
        <f>IFERROR(__xludf.DUMMYFUNCTION("""COMPUTED_VALUE"""),"OK")</f>
        <v>OK</v>
      </c>
      <c r="AG115" s="45" t="str">
        <f>IFERROR(__xludf.DUMMYFUNCTION("""COMPUTED_VALUE"""),"SI")</f>
        <v>SI</v>
      </c>
    </row>
    <row r="116">
      <c r="B116" s="42">
        <f>IFERROR(__xludf.DUMMYFUNCTION("""COMPUTED_VALUE"""),45544.880731805555)</f>
        <v>45544.88073</v>
      </c>
      <c r="C116" s="43" t="str">
        <f>IFERROR(__xludf.DUMMYFUNCTION("""COMPUTED_VALUE"""),"Lucía ")</f>
        <v>Lucía </v>
      </c>
      <c r="D116" s="43" t="str">
        <f>IFERROR(__xludf.DUMMYFUNCTION("""COMPUTED_VALUE"""),"Arcuri")</f>
        <v>Arcuri</v>
      </c>
      <c r="E116" s="43" t="str">
        <f>IFERROR(__xludf.DUMMYFUNCTION("""COMPUTED_VALUE"""),"San Isidro ")</f>
        <v>San Isidro </v>
      </c>
      <c r="F116" s="7" t="str">
        <f>IFERROR(__xludf.DUMMYFUNCTION("""COMPUTED_VALUE"""),"ARG")</f>
        <v>ARG</v>
      </c>
      <c r="G116" s="7">
        <f>IFERROR(__xludf.DUMMYFUNCTION("""COMPUTED_VALUE"""),5.4460028E7)</f>
        <v>54460028</v>
      </c>
      <c r="H116" s="44">
        <f>IFERROR(__xludf.DUMMYFUNCTION("""COMPUTED_VALUE"""),42006.0)</f>
        <v>42006</v>
      </c>
      <c r="I116" s="45">
        <f>IFERROR(__xludf.DUMMYFUNCTION("""COMPUTED_VALUE"""),1.133244946E9)</f>
        <v>1133244946</v>
      </c>
      <c r="J116" s="45">
        <f>IFERROR(__xludf.DUMMYFUNCTION("""COMPUTED_VALUE"""),1.133244947E9)</f>
        <v>1133244947</v>
      </c>
      <c r="K116" s="45" t="str">
        <f>IFERROR(__xludf.DUMMYFUNCTION("""COMPUTED_VALUE"""),"francisco_arcuri@mac.com")</f>
        <v>francisco_arcuri@mac.com</v>
      </c>
      <c r="L116" s="45" t="str">
        <f>IFERROR(__xludf.DUMMYFUNCTION("""COMPUTED_VALUE"""),"Femenino")</f>
        <v>Femenino</v>
      </c>
      <c r="M116" s="45" t="str">
        <f>IFERROR(__xludf.DUMMYFUNCTION("""COMPUTED_VALUE"""),"YCA")</f>
        <v>YCA</v>
      </c>
      <c r="N116" s="45" t="str">
        <f>IFERROR(__xludf.DUMMYFUNCTION("""COMPUTED_VALUE"""),"Femenino")</f>
        <v>Femenino</v>
      </c>
      <c r="O116" s="45" t="str">
        <f>IFERROR(__xludf.DUMMYFUNCTION("""COMPUTED_VALUE"""),"OPTIMIST PRINCIPIANTES")</f>
        <v>OPTIMIST PRINCIPIANTES</v>
      </c>
      <c r="P116" s="45"/>
      <c r="Q116" s="45">
        <f>IFERROR(__xludf.DUMMYFUNCTION("""COMPUTED_VALUE"""),3614.0)</f>
        <v>3614</v>
      </c>
      <c r="R116" s="45" t="str">
        <f>IFERROR(__xludf.DUMMYFUNCTION("""COMPUTED_VALUE"""),"Black Bull")</f>
        <v>Black Bull</v>
      </c>
      <c r="S116" s="45"/>
      <c r="T116" s="45"/>
      <c r="U116" s="45"/>
      <c r="V116" s="45"/>
      <c r="W116" s="45"/>
      <c r="X116" s="45"/>
      <c r="Y116" s="45" t="str">
        <f>IFERROR(__xludf.DUMMYFUNCTION("""COMPUTED_VALUE"""),"Medicus ")</f>
        <v>Medicus </v>
      </c>
      <c r="Z116" s="7" t="str">
        <f>IFERROR(__xludf.DUMMYFUNCTION("""COMPUTED_VALUE"""),"No")</f>
        <v>No</v>
      </c>
      <c r="AA116" s="7" t="str">
        <f>IFERROR(__xludf.DUMMYFUNCTION("""COMPUTED_VALUE"""),"Acepto")</f>
        <v>Acepto</v>
      </c>
      <c r="AB116" s="7" t="str">
        <f>IFERROR(__xludf.DUMMYFUNCTION("""COMPUTED_VALUE"""),"Terminado")</f>
        <v>Terminado</v>
      </c>
      <c r="AC116" s="7">
        <f>IFERROR(__xludf.DUMMYFUNCTION("""COMPUTED_VALUE"""),50000.0)</f>
        <v>50000</v>
      </c>
      <c r="AD116" s="7">
        <f>IFERROR(__xludf.DUMMYFUNCTION("""COMPUTED_VALUE"""),205630.0)</f>
        <v>205630</v>
      </c>
      <c r="AE116" s="7" t="str">
        <f>IFERROR(__xludf.DUMMYFUNCTION("""COMPUTED_VALUE"""),"TRF 09-09")</f>
        <v>TRF 09-09</v>
      </c>
      <c r="AF116" s="7" t="str">
        <f>IFERROR(__xludf.DUMMYFUNCTION("""COMPUTED_VALUE"""),"Pendiente")</f>
        <v>Pendiente</v>
      </c>
      <c r="AG116" s="45"/>
    </row>
    <row r="117">
      <c r="B117" s="42">
        <f>IFERROR(__xludf.DUMMYFUNCTION("""COMPUTED_VALUE"""),45545.168573310184)</f>
        <v>45545.16857</v>
      </c>
      <c r="C117" s="43" t="str">
        <f>IFERROR(__xludf.DUMMYFUNCTION("""COMPUTED_VALUE"""),"Felipe ")</f>
        <v>Felipe </v>
      </c>
      <c r="D117" s="43" t="str">
        <f>IFERROR(__xludf.DUMMYFUNCTION("""COMPUTED_VALUE"""),"Ridella ")</f>
        <v>Ridella </v>
      </c>
      <c r="E117" s="43" t="str">
        <f>IFERROR(__xludf.DUMMYFUNCTION("""COMPUTED_VALUE"""),"Tigre")</f>
        <v>Tigre</v>
      </c>
      <c r="F117" s="7" t="str">
        <f>IFERROR(__xludf.DUMMYFUNCTION("""COMPUTED_VALUE"""),"ARG")</f>
        <v>ARG</v>
      </c>
      <c r="G117" s="7">
        <f>IFERROR(__xludf.DUMMYFUNCTION("""COMPUTED_VALUE"""),5.2703082E7)</f>
        <v>52703082</v>
      </c>
      <c r="H117" s="44">
        <f>IFERROR(__xludf.DUMMYFUNCTION("""COMPUTED_VALUE"""),41168.0)</f>
        <v>41168</v>
      </c>
      <c r="I117" s="45">
        <f>IFERROR(__xludf.DUMMYFUNCTION("""COMPUTED_VALUE"""),1.164697301E9)</f>
        <v>1164697301</v>
      </c>
      <c r="J117" s="45">
        <f>IFERROR(__xludf.DUMMYFUNCTION("""COMPUTED_VALUE"""),1.169625716E9)</f>
        <v>1169625716</v>
      </c>
      <c r="K117" s="45" t="str">
        <f>IFERROR(__xludf.DUMMYFUNCTION("""COMPUTED_VALUE"""),"pabloridella@hotmail.com")</f>
        <v>pabloridella@hotmail.com</v>
      </c>
      <c r="L117" s="45" t="str">
        <f>IFERROR(__xludf.DUMMYFUNCTION("""COMPUTED_VALUE"""),"Masculino")</f>
        <v>Masculino</v>
      </c>
      <c r="M117" s="45" t="str">
        <f>IFERROR(__xludf.DUMMYFUNCTION("""COMPUTED_VALUE"""),"CNSE")</f>
        <v>CNSE</v>
      </c>
      <c r="N117" s="45" t="str">
        <f>IFERROR(__xludf.DUMMYFUNCTION("""COMPUTED_VALUE"""),"Principiante optimist")</f>
        <v>Principiante optimist</v>
      </c>
      <c r="O117" s="45" t="str">
        <f>IFERROR(__xludf.DUMMYFUNCTION("""COMPUTED_VALUE"""),"OPTIMIST PRINCIPIANTES")</f>
        <v>OPTIMIST PRINCIPIANTES</v>
      </c>
      <c r="P117" s="45"/>
      <c r="Q117" s="45">
        <f>IFERROR(__xludf.DUMMYFUNCTION("""COMPUTED_VALUE"""),4071.0)</f>
        <v>4071</v>
      </c>
      <c r="R117" s="45"/>
      <c r="S117" s="45"/>
      <c r="T117" s="45"/>
      <c r="U117" s="45"/>
      <c r="V117" s="45"/>
      <c r="W117" s="45"/>
      <c r="X117" s="45"/>
      <c r="Y117" s="45" t="str">
        <f>IFERROR(__xludf.DUMMYFUNCTION("""COMPUTED_VALUE"""),"Smg 800006 0472280 03 0016")</f>
        <v>Smg 800006 0472280 03 0016</v>
      </c>
      <c r="Z117" s="7" t="str">
        <f>IFERROR(__xludf.DUMMYFUNCTION("""COMPUTED_VALUE"""),"Si")</f>
        <v>Si</v>
      </c>
      <c r="AA117" s="7" t="str">
        <f>IFERROR(__xludf.DUMMYFUNCTION("""COMPUTED_VALUE"""),"Acepto")</f>
        <v>Acepto</v>
      </c>
      <c r="AB117" s="7" t="str">
        <f>IFERROR(__xludf.DUMMYFUNCTION("""COMPUTED_VALUE"""),"Terminado")</f>
        <v>Terminado</v>
      </c>
      <c r="AC117" s="7">
        <f>IFERROR(__xludf.DUMMYFUNCTION("""COMPUTED_VALUE"""),50000.0)</f>
        <v>50000</v>
      </c>
      <c r="AD117" s="7">
        <f>IFERROR(__xludf.DUMMYFUNCTION("""COMPUTED_VALUE"""),205639.0)</f>
        <v>205639</v>
      </c>
      <c r="AE117" s="7" t="str">
        <f>IFERROR(__xludf.DUMMYFUNCTION("""COMPUTED_VALUE"""),"TRF 09-09")</f>
        <v>TRF 09-09</v>
      </c>
      <c r="AF117" s="7" t="str">
        <f>IFERROR(__xludf.DUMMYFUNCTION("""COMPUTED_VALUE"""),"OK")</f>
        <v>OK</v>
      </c>
      <c r="AG117" s="45"/>
    </row>
    <row r="118">
      <c r="B118" s="42">
        <f>IFERROR(__xludf.DUMMYFUNCTION("""COMPUTED_VALUE"""),45545.358510300925)</f>
        <v>45545.35851</v>
      </c>
      <c r="C118" s="43" t="str">
        <f>IFERROR(__xludf.DUMMYFUNCTION("""COMPUTED_VALUE"""),"Ian ")</f>
        <v>Ian </v>
      </c>
      <c r="D118" s="43" t="str">
        <f>IFERROR(__xludf.DUMMYFUNCTION("""COMPUTED_VALUE"""),"Sly")</f>
        <v>Sly</v>
      </c>
      <c r="E118" s="43" t="str">
        <f>IFERROR(__xludf.DUMMYFUNCTION("""COMPUTED_VALUE"""),"Martinez")</f>
        <v>Martinez</v>
      </c>
      <c r="F118" s="7" t="str">
        <f>IFERROR(__xludf.DUMMYFUNCTION("""COMPUTED_VALUE"""),"ARG")</f>
        <v>ARG</v>
      </c>
      <c r="G118" s="7">
        <f>IFERROR(__xludf.DUMMYFUNCTION("""COMPUTED_VALUE"""),5.2703564E7)</f>
        <v>52703564</v>
      </c>
      <c r="H118" s="44">
        <f>IFERROR(__xludf.DUMMYFUNCTION("""COMPUTED_VALUE"""),41158.0)</f>
        <v>41158</v>
      </c>
      <c r="I118" s="45">
        <f>IFERROR(__xludf.DUMMYFUNCTION("""COMPUTED_VALUE"""),1.149747273E9)</f>
        <v>1149747273</v>
      </c>
      <c r="J118" s="45">
        <f>IFERROR(__xludf.DUMMYFUNCTION("""COMPUTED_VALUE"""),1.149747273E9)</f>
        <v>1149747273</v>
      </c>
      <c r="K118" s="45" t="str">
        <f>IFERROR(__xludf.DUMMYFUNCTION("""COMPUTED_VALUE"""),"roysly@gmail.com")</f>
        <v>roysly@gmail.com</v>
      </c>
      <c r="L118" s="45" t="str">
        <f>IFERROR(__xludf.DUMMYFUNCTION("""COMPUTED_VALUE"""),"Masculino")</f>
        <v>Masculino</v>
      </c>
      <c r="M118" s="45" t="str">
        <f>IFERROR(__xludf.DUMMYFUNCTION("""COMPUTED_VALUE"""),"CVB")</f>
        <v>CVB</v>
      </c>
      <c r="N118" s="45"/>
      <c r="O118" s="45" t="str">
        <f>IFERROR(__xludf.DUMMYFUNCTION("""COMPUTED_VALUE"""),"OPTIMIST PRINCIPIANTES")</f>
        <v>OPTIMIST PRINCIPIANTES</v>
      </c>
      <c r="P118" s="45"/>
      <c r="Q118" s="45">
        <f>IFERROR(__xludf.DUMMYFUNCTION("""COMPUTED_VALUE"""),3527.0)</f>
        <v>3527</v>
      </c>
      <c r="R118" s="45" t="str">
        <f>IFERROR(__xludf.DUMMYFUNCTION("""COMPUTED_VALUE"""),"Quinto Elemento")</f>
        <v>Quinto Elemento</v>
      </c>
      <c r="S118" s="45"/>
      <c r="T118" s="45"/>
      <c r="U118" s="45"/>
      <c r="V118" s="45"/>
      <c r="W118" s="45"/>
      <c r="X118" s="45"/>
      <c r="Y118" s="45" t="str">
        <f>IFERROR(__xludf.DUMMYFUNCTION("""COMPUTED_VALUE"""),"Unión Personal")</f>
        <v>Unión Personal</v>
      </c>
      <c r="Z118" s="7" t="str">
        <f>IFERROR(__xludf.DUMMYFUNCTION("""COMPUTED_VALUE"""),"Si")</f>
        <v>Si</v>
      </c>
      <c r="AA118" s="7" t="str">
        <f>IFERROR(__xludf.DUMMYFUNCTION("""COMPUTED_VALUE"""),"Acepto")</f>
        <v>Acepto</v>
      </c>
      <c r="AB118" s="7" t="str">
        <f>IFERROR(__xludf.DUMMYFUNCTION("""COMPUTED_VALUE"""),"Pendiente")</f>
        <v>Pendiente</v>
      </c>
      <c r="AC118" s="7"/>
      <c r="AD118" s="7"/>
      <c r="AE118" s="7"/>
      <c r="AF118" s="7" t="str">
        <f>IFERROR(__xludf.DUMMYFUNCTION("""COMPUTED_VALUE"""),"OK")</f>
        <v>OK</v>
      </c>
      <c r="AG118" s="45" t="str">
        <f>IFERROR(__xludf.DUMMYFUNCTION("""COMPUTED_VALUE"""),"SI")</f>
        <v>SI</v>
      </c>
    </row>
    <row r="119">
      <c r="B119" s="42">
        <f>IFERROR(__xludf.DUMMYFUNCTION("""COMPUTED_VALUE"""),45545.36074309028)</f>
        <v>45545.36074</v>
      </c>
      <c r="C119" s="43" t="str">
        <f>IFERROR(__xludf.DUMMYFUNCTION("""COMPUTED_VALUE"""),"MANUEL W")</f>
        <v>MANUEL W</v>
      </c>
      <c r="D119" s="43" t="str">
        <f>IFERROR(__xludf.DUMMYFUNCTION("""COMPUTED_VALUE"""),"IGLESIAS KUSTER")</f>
        <v>IGLESIAS KUSTER</v>
      </c>
      <c r="E119" s="43" t="str">
        <f>IFERROR(__xludf.DUMMYFUNCTION("""COMPUTED_VALUE"""),"SAN JUAN")</f>
        <v>SAN JUAN</v>
      </c>
      <c r="F119" s="7" t="str">
        <f>IFERROR(__xludf.DUMMYFUNCTION("""COMPUTED_VALUE"""),"ARG")</f>
        <v>ARG</v>
      </c>
      <c r="G119" s="7">
        <f>IFERROR(__xludf.DUMMYFUNCTION("""COMPUTED_VALUE"""),5.2069861E7)</f>
        <v>52069861</v>
      </c>
      <c r="H119" s="44">
        <f>IFERROR(__xludf.DUMMYFUNCTION("""COMPUTED_VALUE"""),40940.0)</f>
        <v>40940</v>
      </c>
      <c r="I119" s="45" t="str">
        <f>IFERROR(__xludf.DUMMYFUNCTION("""COMPUTED_VALUE"""),"+5492644704475")</f>
        <v>+5492644704475</v>
      </c>
      <c r="J119" s="45" t="str">
        <f>IFERROR(__xludf.DUMMYFUNCTION("""COMPUTED_VALUE"""),"+5492644114077")</f>
        <v>+5492644114077</v>
      </c>
      <c r="K119" s="45" t="str">
        <f>IFERROR(__xludf.DUMMYFUNCTION("""COMPUTED_VALUE"""),"jukuster-iglesias@hotmail.com")</f>
        <v>jukuster-iglesias@hotmail.com</v>
      </c>
      <c r="L119" s="45" t="str">
        <f>IFERROR(__xludf.DUMMYFUNCTION("""COMPUTED_VALUE"""),"Masculino")</f>
        <v>Masculino</v>
      </c>
      <c r="M119" s="45" t="str">
        <f>IFERROR(__xludf.DUMMYFUNCTION("""COMPUTED_VALUE"""),"CSV&amp;R")</f>
        <v>CSV&amp;R</v>
      </c>
      <c r="N119" s="45" t="str">
        <f>IFERROR(__xludf.DUMMYFUNCTION("""COMPUTED_VALUE"""),"Interior (Optimist)")</f>
        <v>Interior (Optimist)</v>
      </c>
      <c r="O119" s="45" t="str">
        <f>IFERROR(__xludf.DUMMYFUNCTION("""COMPUTED_VALUE"""),"OPTIMIST PRINCIPIANTES")</f>
        <v>OPTIMIST PRINCIPIANTES</v>
      </c>
      <c r="P119" s="45"/>
      <c r="Q119" s="45">
        <f>IFERROR(__xludf.DUMMYFUNCTION("""COMPUTED_VALUE"""),3244.0)</f>
        <v>3244</v>
      </c>
      <c r="R119" s="45" t="str">
        <f>IFERROR(__xludf.DUMMYFUNCTION("""COMPUTED_VALUE"""),"BANDIDO III")</f>
        <v>BANDIDO III</v>
      </c>
      <c r="S119" s="45"/>
      <c r="T119" s="45"/>
      <c r="U119" s="45"/>
      <c r="V119" s="45"/>
      <c r="W119" s="45"/>
      <c r="X119" s="45"/>
      <c r="Y119" s="45">
        <f>IFERROR(__xludf.DUMMYFUNCTION("""COMPUTED_VALUE"""),6.1017100204E10)</f>
        <v>61017100204</v>
      </c>
      <c r="Z119" s="7" t="str">
        <f>IFERROR(__xludf.DUMMYFUNCTION("""COMPUTED_VALUE"""),"Si")</f>
        <v>Si</v>
      </c>
      <c r="AA119" s="7" t="str">
        <f>IFERROR(__xludf.DUMMYFUNCTION("""COMPUTED_VALUE"""),"Acepto")</f>
        <v>Acepto</v>
      </c>
      <c r="AB119" s="7" t="str">
        <f>IFERROR(__xludf.DUMMYFUNCTION("""COMPUTED_VALUE"""),"Terminado")</f>
        <v>Terminado</v>
      </c>
      <c r="AC119" s="7">
        <f>IFERROR(__xludf.DUMMYFUNCTION("""COMPUTED_VALUE"""),42500.0)</f>
        <v>42500</v>
      </c>
      <c r="AD119" s="7">
        <f>IFERROR(__xludf.DUMMYFUNCTION("""COMPUTED_VALUE"""),205662.0)</f>
        <v>205662</v>
      </c>
      <c r="AE119" s="7" t="str">
        <f>IFERROR(__xludf.DUMMYFUNCTION("""COMPUTED_VALUE"""),"TRF 10-09")</f>
        <v>TRF 10-09</v>
      </c>
      <c r="AF119" s="7" t="str">
        <f>IFERROR(__xludf.DUMMYFUNCTION("""COMPUTED_VALUE"""),"OK")</f>
        <v>OK</v>
      </c>
      <c r="AG119" s="45"/>
    </row>
    <row r="120">
      <c r="B120" s="42">
        <f>IFERROR(__xludf.DUMMYFUNCTION("""COMPUTED_VALUE"""),45545.52495329861)</f>
        <v>45545.52495</v>
      </c>
      <c r="C120" s="43" t="str">
        <f>IFERROR(__xludf.DUMMYFUNCTION("""COMPUTED_VALUE"""),"ca")</f>
        <v>ca</v>
      </c>
      <c r="D120" s="43" t="str">
        <f>IFERROR(__xludf.DUMMYFUNCTION("""COMPUTED_VALUE"""),"e")</f>
        <v>e</v>
      </c>
      <c r="E120" s="43" t="str">
        <f>IFERROR(__xludf.DUMMYFUNCTION("""COMPUTED_VALUE"""),"e")</f>
        <v>e</v>
      </c>
      <c r="F120" s="7" t="str">
        <f>IFERROR(__xludf.DUMMYFUNCTION("""COMPUTED_VALUE"""),"ARG")</f>
        <v>ARG</v>
      </c>
      <c r="G120" s="7">
        <f>IFERROR(__xludf.DUMMYFUNCTION("""COMPUTED_VALUE"""),111.0)</f>
        <v>111</v>
      </c>
      <c r="H120" s="44">
        <f>IFERROR(__xludf.DUMMYFUNCTION("""COMPUTED_VALUE"""),40493.0)</f>
        <v>40493</v>
      </c>
      <c r="I120" s="45"/>
      <c r="J120" s="45"/>
      <c r="K120" s="45" t="str">
        <f>IFERROR(__xludf.DUMMYFUNCTION("""COMPUTED_VALUE"""),"@")</f>
        <v>@</v>
      </c>
      <c r="L120" s="45" t="str">
        <f>IFERROR(__xludf.DUMMYFUNCTION("""COMPUTED_VALUE"""),"Masculino")</f>
        <v>Masculino</v>
      </c>
      <c r="M120" s="45" t="str">
        <f>IFERROR(__xludf.DUMMYFUNCTION("""COMPUTED_VALUE"""),"qqwwqw")</f>
        <v>qqwwqw</v>
      </c>
      <c r="N120" s="45" t="str">
        <f>IFERROR(__xludf.DUMMYFUNCTION("""COMPUTED_VALUE"""),"Interior (Optimist)")</f>
        <v>Interior (Optimist)</v>
      </c>
      <c r="O120" s="45" t="str">
        <f>IFERROR(__xludf.DUMMYFUNCTION("""COMPUTED_VALUE"""),"OPTIMIST PRINCIPIANTES")</f>
        <v>OPTIMIST PRINCIPIANTES</v>
      </c>
      <c r="P120" s="45">
        <f>IFERROR(__xludf.DUMMYFUNCTION("""COMPUTED_VALUE"""),223.0)</f>
        <v>223</v>
      </c>
      <c r="Q120" s="45">
        <f>IFERROR(__xludf.DUMMYFUNCTION("""COMPUTED_VALUE"""),2112.0)</f>
        <v>2112</v>
      </c>
      <c r="R120" s="45"/>
      <c r="S120" s="45"/>
      <c r="T120" s="45"/>
      <c r="U120" s="45"/>
      <c r="V120" s="45"/>
      <c r="W120" s="45"/>
      <c r="X120" s="45"/>
      <c r="Y120" s="45"/>
      <c r="Z120" s="7" t="str">
        <f>IFERROR(__xludf.DUMMYFUNCTION("""COMPUTED_VALUE"""),"No")</f>
        <v>No</v>
      </c>
      <c r="AA120" s="7" t="str">
        <f>IFERROR(__xludf.DUMMYFUNCTION("""COMPUTED_VALUE"""),"Acepto")</f>
        <v>Acepto</v>
      </c>
      <c r="AB120" s="7" t="str">
        <f>IFERROR(__xludf.DUMMYFUNCTION("""COMPUTED_VALUE"""),"Pendiente")</f>
        <v>Pendiente</v>
      </c>
      <c r="AC120" s="7"/>
      <c r="AD120" s="7"/>
      <c r="AE120" s="7"/>
      <c r="AF120" s="7" t="str">
        <f>IFERROR(__xludf.DUMMYFUNCTION("""COMPUTED_VALUE"""),"Pendiente")</f>
        <v>Pendiente</v>
      </c>
      <c r="AG120" s="45"/>
    </row>
    <row r="121">
      <c r="B121" s="42">
        <f>IFERROR(__xludf.DUMMYFUNCTION("""COMPUTED_VALUE"""),45545.52671101852)</f>
        <v>45545.52671</v>
      </c>
      <c r="C121" s="43" t="str">
        <f>IFERROR(__xludf.DUMMYFUNCTION("""COMPUTED_VALUE"""),"Isabella ")</f>
        <v>Isabella </v>
      </c>
      <c r="D121" s="43" t="str">
        <f>IFERROR(__xludf.DUMMYFUNCTION("""COMPUTED_VALUE"""),"Sagretti ")</f>
        <v>Sagretti </v>
      </c>
      <c r="E121" s="43" t="str">
        <f>IFERROR(__xludf.DUMMYFUNCTION("""COMPUTED_VALUE"""),"Buenos Aires")</f>
        <v>Buenos Aires</v>
      </c>
      <c r="F121" s="7" t="str">
        <f>IFERROR(__xludf.DUMMYFUNCTION("""COMPUTED_VALUE"""),"ARG")</f>
        <v>ARG</v>
      </c>
      <c r="G121" s="7">
        <f>IFERROR(__xludf.DUMMYFUNCTION("""COMPUTED_VALUE"""),5.5074992E7)</f>
        <v>55074992</v>
      </c>
      <c r="H121" s="44">
        <f>IFERROR(__xludf.DUMMYFUNCTION("""COMPUTED_VALUE"""),42264.0)</f>
        <v>42264</v>
      </c>
      <c r="I121" s="45">
        <f>IFERROR(__xludf.DUMMYFUNCTION("""COMPUTED_VALUE"""),1.163028894E9)</f>
        <v>1163028894</v>
      </c>
      <c r="J121" s="45">
        <f>IFERROR(__xludf.DUMMYFUNCTION("""COMPUTED_VALUE"""),1.163028894E9)</f>
        <v>1163028894</v>
      </c>
      <c r="K121" s="45" t="str">
        <f>IFERROR(__xludf.DUMMYFUNCTION("""COMPUTED_VALUE"""),"javier.sagretti@gmail.com")</f>
        <v>javier.sagretti@gmail.com</v>
      </c>
      <c r="L121" s="45" t="str">
        <f>IFERROR(__xludf.DUMMYFUNCTION("""COMPUTED_VALUE"""),"Femenino")</f>
        <v>Femenino</v>
      </c>
      <c r="M121" s="45" t="str">
        <f>IFERROR(__xludf.DUMMYFUNCTION("""COMPUTED_VALUE"""),"YCO")</f>
        <v>YCO</v>
      </c>
      <c r="N121" s="45" t="str">
        <f>IFERROR(__xludf.DUMMYFUNCTION("""COMPUTED_VALUE"""),"Interior (Optimist)")</f>
        <v>Interior (Optimist)</v>
      </c>
      <c r="O121" s="45" t="str">
        <f>IFERROR(__xludf.DUMMYFUNCTION("""COMPUTED_VALUE"""),"OPTIMIST PRINCIPIANTES")</f>
        <v>OPTIMIST PRINCIPIANTES</v>
      </c>
      <c r="P121" s="45"/>
      <c r="Q121" s="45">
        <f>IFERROR(__xludf.DUMMYFUNCTION("""COMPUTED_VALUE"""),3278.0)</f>
        <v>3278</v>
      </c>
      <c r="R121" s="45"/>
      <c r="S121" s="45"/>
      <c r="T121" s="45"/>
      <c r="U121" s="45"/>
      <c r="V121" s="45"/>
      <c r="W121" s="45"/>
      <c r="X121" s="45"/>
      <c r="Y121" s="45" t="str">
        <f>IFERROR(__xludf.DUMMYFUNCTION("""COMPUTED_VALUE"""),"OSDE")</f>
        <v>OSDE</v>
      </c>
      <c r="Z121" s="7" t="str">
        <f>IFERROR(__xludf.DUMMYFUNCTION("""COMPUTED_VALUE"""),"Si")</f>
        <v>Si</v>
      </c>
      <c r="AA121" s="7" t="str">
        <f>IFERROR(__xludf.DUMMYFUNCTION("""COMPUTED_VALUE"""),"Acepto")</f>
        <v>Acepto</v>
      </c>
      <c r="AB121" s="7" t="str">
        <f>IFERROR(__xludf.DUMMYFUNCTION("""COMPUTED_VALUE"""),"Pendiente")</f>
        <v>Pendiente</v>
      </c>
      <c r="AC121" s="7"/>
      <c r="AD121" s="7"/>
      <c r="AE121" s="7"/>
      <c r="AF121" s="7" t="str">
        <f>IFERROR(__xludf.DUMMYFUNCTION("""COMPUTED_VALUE"""),"Pendiente")</f>
        <v>Pendiente</v>
      </c>
      <c r="AG121" s="45"/>
    </row>
    <row r="122">
      <c r="B122" s="42">
        <f>IFERROR(__xludf.DUMMYFUNCTION("""COMPUTED_VALUE"""),45545.52955070602)</f>
        <v>45545.52955</v>
      </c>
      <c r="C122" s="43" t="str">
        <f>IFERROR(__xludf.DUMMYFUNCTION("""COMPUTED_VALUE"""),"Isabella ")</f>
        <v>Isabella </v>
      </c>
      <c r="D122" s="43" t="str">
        <f>IFERROR(__xludf.DUMMYFUNCTION("""COMPUTED_VALUE"""),"Sagretti ")</f>
        <v>Sagretti </v>
      </c>
      <c r="E122" s="43" t="str">
        <f>IFERROR(__xludf.DUMMYFUNCTION("""COMPUTED_VALUE"""),"Bue")</f>
        <v>Bue</v>
      </c>
      <c r="F122" s="7" t="str">
        <f>IFERROR(__xludf.DUMMYFUNCTION("""COMPUTED_VALUE"""),"ARG")</f>
        <v>ARG</v>
      </c>
      <c r="G122" s="7">
        <f>IFERROR(__xludf.DUMMYFUNCTION("""COMPUTED_VALUE"""),5.5074992E7)</f>
        <v>55074992</v>
      </c>
      <c r="H122" s="44">
        <f>IFERROR(__xludf.DUMMYFUNCTION("""COMPUTED_VALUE"""),42264.0)</f>
        <v>42264</v>
      </c>
      <c r="I122" s="45">
        <f>IFERROR(__xludf.DUMMYFUNCTION("""COMPUTED_VALUE"""),1.163928894E9)</f>
        <v>1163928894</v>
      </c>
      <c r="J122" s="45">
        <f>IFERROR(__xludf.DUMMYFUNCTION("""COMPUTED_VALUE"""),1.103028894E9)</f>
        <v>1103028894</v>
      </c>
      <c r="K122" s="45" t="str">
        <f>IFERROR(__xludf.DUMMYFUNCTION("""COMPUTED_VALUE"""),"javier.sagretti@gmail.com")</f>
        <v>javier.sagretti@gmail.com</v>
      </c>
      <c r="L122" s="45" t="str">
        <f>IFERROR(__xludf.DUMMYFUNCTION("""COMPUTED_VALUE"""),"Femenino")</f>
        <v>Femenino</v>
      </c>
      <c r="M122" s="45" t="str">
        <f>IFERROR(__xludf.DUMMYFUNCTION("""COMPUTED_VALUE"""),"YCO")</f>
        <v>YCO</v>
      </c>
      <c r="N122" s="45" t="str">
        <f>IFERROR(__xludf.DUMMYFUNCTION("""COMPUTED_VALUE"""),"Femenino")</f>
        <v>Femenino</v>
      </c>
      <c r="O122" s="45" t="str">
        <f>IFERROR(__xludf.DUMMYFUNCTION("""COMPUTED_VALUE"""),"OPTIMIST PRINCIPIANTES")</f>
        <v>OPTIMIST PRINCIPIANTES</v>
      </c>
      <c r="P122" s="45"/>
      <c r="Q122" s="45">
        <f>IFERROR(__xludf.DUMMYFUNCTION("""COMPUTED_VALUE"""),3278.0)</f>
        <v>3278</v>
      </c>
      <c r="R122" s="45"/>
      <c r="S122" s="45"/>
      <c r="T122" s="45"/>
      <c r="U122" s="45"/>
      <c r="V122" s="45"/>
      <c r="W122" s="45"/>
      <c r="X122" s="45"/>
      <c r="Y122" s="45" t="str">
        <f>IFERROR(__xludf.DUMMYFUNCTION("""COMPUTED_VALUE"""),"OSDE")</f>
        <v>OSDE</v>
      </c>
      <c r="Z122" s="7" t="str">
        <f>IFERROR(__xludf.DUMMYFUNCTION("""COMPUTED_VALUE"""),"Si")</f>
        <v>Si</v>
      </c>
      <c r="AA122" s="7" t="str">
        <f>IFERROR(__xludf.DUMMYFUNCTION("""COMPUTED_VALUE"""),"Acepto")</f>
        <v>Acepto</v>
      </c>
      <c r="AB122" s="7" t="str">
        <f>IFERROR(__xludf.DUMMYFUNCTION("""COMPUTED_VALUE"""),"Repetido")</f>
        <v>Repetido</v>
      </c>
      <c r="AC122" s="7"/>
      <c r="AD122" s="7"/>
      <c r="AE122" s="7"/>
      <c r="AF122" s="7" t="str">
        <f>IFERROR(__xludf.DUMMYFUNCTION("""COMPUTED_VALUE"""),"Pendiente")</f>
        <v>Pendiente</v>
      </c>
      <c r="AG122" s="45"/>
    </row>
    <row r="123">
      <c r="B123" s="42">
        <f>IFERROR(__xludf.DUMMYFUNCTION("""COMPUTED_VALUE"""),45545.70399340278)</f>
        <v>45545.70399</v>
      </c>
      <c r="C123" s="43" t="str">
        <f>IFERROR(__xludf.DUMMYFUNCTION("""COMPUTED_VALUE"""),"Juana")</f>
        <v>Juana</v>
      </c>
      <c r="D123" s="43" t="str">
        <f>IFERROR(__xludf.DUMMYFUNCTION("""COMPUTED_VALUE"""),"Maldonado")</f>
        <v>Maldonado</v>
      </c>
      <c r="E123" s="43" t="str">
        <f>IFERROR(__xludf.DUMMYFUNCTION("""COMPUTED_VALUE"""),"San Fernando")</f>
        <v>San Fernando</v>
      </c>
      <c r="F123" s="7" t="str">
        <f>IFERROR(__xludf.DUMMYFUNCTION("""COMPUTED_VALUE"""),"ARG")</f>
        <v>ARG</v>
      </c>
      <c r="G123" s="7">
        <f>IFERROR(__xludf.DUMMYFUNCTION("""COMPUTED_VALUE"""),5.4055425E7)</f>
        <v>54055425</v>
      </c>
      <c r="H123" s="44">
        <f>IFERROR(__xludf.DUMMYFUNCTION("""COMPUTED_VALUE"""),41765.0)</f>
        <v>41765</v>
      </c>
      <c r="I123" s="45">
        <f>IFERROR(__xludf.DUMMYFUNCTION("""COMPUTED_VALUE"""),1.134014525E9)</f>
        <v>1134014525</v>
      </c>
      <c r="J123" s="45">
        <f>IFERROR(__xludf.DUMMYFUNCTION("""COMPUTED_VALUE"""),1.134014521E9)</f>
        <v>1134014521</v>
      </c>
      <c r="K123" s="45" t="str">
        <f>IFERROR(__xludf.DUMMYFUNCTION("""COMPUTED_VALUE"""),"amaldonado_prepol@gmail.com.ar")</f>
        <v>amaldonado_prepol@gmail.com.ar</v>
      </c>
      <c r="L123" s="45" t="str">
        <f>IFERROR(__xludf.DUMMYFUNCTION("""COMPUTED_VALUE"""),"Femenino")</f>
        <v>Femenino</v>
      </c>
      <c r="M123" s="45" t="str">
        <f>IFERROR(__xludf.DUMMYFUNCTION("""COMPUTED_VALUE"""),"CVB")</f>
        <v>CVB</v>
      </c>
      <c r="N123" s="45" t="str">
        <f>IFERROR(__xludf.DUMMYFUNCTION("""COMPUTED_VALUE"""),"Femenino")</f>
        <v>Femenino</v>
      </c>
      <c r="O123" s="45" t="str">
        <f>IFERROR(__xludf.DUMMYFUNCTION("""COMPUTED_VALUE"""),"OPTIMIST PRINCIPIANTES")</f>
        <v>OPTIMIST PRINCIPIANTES</v>
      </c>
      <c r="P123" s="45"/>
      <c r="Q123" s="45">
        <f>IFERROR(__xludf.DUMMYFUNCTION("""COMPUTED_VALUE"""),13676.0)</f>
        <v>13676</v>
      </c>
      <c r="R123" s="45"/>
      <c r="S123" s="45"/>
      <c r="T123" s="45"/>
      <c r="U123" s="45"/>
      <c r="V123" s="45"/>
      <c r="W123" s="45"/>
      <c r="X123" s="45"/>
      <c r="Y123" s="45" t="str">
        <f>IFERROR(__xludf.DUMMYFUNCTION("""COMPUTED_VALUE"""),"Medicus")</f>
        <v>Medicus</v>
      </c>
      <c r="Z123" s="7" t="str">
        <f>IFERROR(__xludf.DUMMYFUNCTION("""COMPUTED_VALUE"""),"Si")</f>
        <v>Si</v>
      </c>
      <c r="AA123" s="7" t="str">
        <f>IFERROR(__xludf.DUMMYFUNCTION("""COMPUTED_VALUE"""),"Acepto")</f>
        <v>Acepto</v>
      </c>
      <c r="AB123" s="7" t="str">
        <f>IFERROR(__xludf.DUMMYFUNCTION("""COMPUTED_VALUE"""),"Terminado")</f>
        <v>Terminado</v>
      </c>
      <c r="AC123" s="7">
        <f>IFERROR(__xludf.DUMMYFUNCTION("""COMPUTED_VALUE"""),50000.0)</f>
        <v>50000</v>
      </c>
      <c r="AD123" s="7">
        <f>IFERROR(__xludf.DUMMYFUNCTION("""COMPUTED_VALUE"""),205664.0)</f>
        <v>205664</v>
      </c>
      <c r="AE123" s="7" t="str">
        <f>IFERROR(__xludf.DUMMYFUNCTION("""COMPUTED_VALUE"""),"TRF 10-09")</f>
        <v>TRF 10-09</v>
      </c>
      <c r="AF123" s="7" t="str">
        <f>IFERROR(__xludf.DUMMYFUNCTION("""COMPUTED_VALUE"""),"OK")</f>
        <v>OK</v>
      </c>
      <c r="AG123" s="45" t="str">
        <f>IFERROR(__xludf.DUMMYFUNCTION("""COMPUTED_VALUE"""),"SI")</f>
        <v>SI</v>
      </c>
    </row>
    <row r="124">
      <c r="B124" s="42">
        <f>IFERROR(__xludf.DUMMYFUNCTION("""COMPUTED_VALUE"""),45545.74603722223)</f>
        <v>45545.74604</v>
      </c>
      <c r="C124" s="43" t="str">
        <f>IFERROR(__xludf.DUMMYFUNCTION("""COMPUTED_VALUE"""),"Emilia")</f>
        <v>Emilia</v>
      </c>
      <c r="D124" s="43" t="str">
        <f>IFERROR(__xludf.DUMMYFUNCTION("""COMPUTED_VALUE"""),"Iribarne ")</f>
        <v>Iribarne </v>
      </c>
      <c r="E124" s="43" t="str">
        <f>IFERROR(__xludf.DUMMYFUNCTION("""COMPUTED_VALUE"""),"Bahia Blanca")</f>
        <v>Bahia Blanca</v>
      </c>
      <c r="F124" s="7" t="str">
        <f>IFERROR(__xludf.DUMMYFUNCTION("""COMPUTED_VALUE"""),"ARG")</f>
        <v>ARG</v>
      </c>
      <c r="G124" s="7">
        <f>IFERROR(__xludf.DUMMYFUNCTION("""COMPUTED_VALUE"""),5.2784897E7)</f>
        <v>52784897</v>
      </c>
      <c r="H124" s="44">
        <f>IFERROR(__xludf.DUMMYFUNCTION("""COMPUTED_VALUE"""),41198.0)</f>
        <v>41198</v>
      </c>
      <c r="I124" s="45">
        <f>IFERROR(__xludf.DUMMYFUNCTION("""COMPUTED_VALUE"""),2.91418476E9)</f>
        <v>2914184760</v>
      </c>
      <c r="J124" s="45">
        <f>IFERROR(__xludf.DUMMYFUNCTION("""COMPUTED_VALUE"""),2.91418476E9)</f>
        <v>2914184760</v>
      </c>
      <c r="K124" s="45" t="str">
        <f>IFERROR(__xludf.DUMMYFUNCTION("""COMPUTED_VALUE"""),"isamanuela84@gmail.com")</f>
        <v>isamanuela84@gmail.com</v>
      </c>
      <c r="L124" s="45" t="str">
        <f>IFERROR(__xludf.DUMMYFUNCTION("""COMPUTED_VALUE"""),"Femenino")</f>
        <v>Femenino</v>
      </c>
      <c r="M124" s="45" t="str">
        <f>IFERROR(__xludf.DUMMYFUNCTION("""COMPUTED_VALUE"""),"CNBB")</f>
        <v>CNBB</v>
      </c>
      <c r="N124" s="45" t="str">
        <f>IFERROR(__xludf.DUMMYFUNCTION("""COMPUTED_VALUE"""),"Interior (Optimist)")</f>
        <v>Interior (Optimist)</v>
      </c>
      <c r="O124" s="45" t="str">
        <f>IFERROR(__xludf.DUMMYFUNCTION("""COMPUTED_VALUE"""),"OPTIMIST PRINCIPIANTES")</f>
        <v>OPTIMIST PRINCIPIANTES</v>
      </c>
      <c r="P124" s="45"/>
      <c r="Q124" s="45">
        <f>IFERROR(__xludf.DUMMYFUNCTION("""COMPUTED_VALUE"""),3809.0)</f>
        <v>3809</v>
      </c>
      <c r="R124" s="45" t="str">
        <f>IFERROR(__xludf.DUMMYFUNCTION("""COMPUTED_VALUE"""),"Aupa")</f>
        <v>Aupa</v>
      </c>
      <c r="S124" s="45"/>
      <c r="T124" s="45"/>
      <c r="U124" s="45"/>
      <c r="V124" s="45"/>
      <c r="W124" s="45"/>
      <c r="X124" s="45"/>
      <c r="Y124" s="45" t="str">
        <f>IFERROR(__xludf.DUMMYFUNCTION("""COMPUTED_VALUE"""),"Federada Salud")</f>
        <v>Federada Salud</v>
      </c>
      <c r="Z124" s="7" t="str">
        <f>IFERROR(__xludf.DUMMYFUNCTION("""COMPUTED_VALUE"""),"Si")</f>
        <v>Si</v>
      </c>
      <c r="AA124" s="7" t="str">
        <f>IFERROR(__xludf.DUMMYFUNCTION("""COMPUTED_VALUE"""),"Acepto")</f>
        <v>Acepto</v>
      </c>
      <c r="AB124" s="7" t="str">
        <f>IFERROR(__xludf.DUMMYFUNCTION("""COMPUTED_VALUE"""),"Terminado")</f>
        <v>Terminado</v>
      </c>
      <c r="AC124" s="7">
        <f>IFERROR(__xludf.DUMMYFUNCTION("""COMPUTED_VALUE"""),42500.0)</f>
        <v>42500</v>
      </c>
      <c r="AD124" s="7">
        <f>IFERROR(__xludf.DUMMYFUNCTION("""COMPUTED_VALUE"""),205655.0)</f>
        <v>205655</v>
      </c>
      <c r="AE124" s="7" t="str">
        <f>IFERROR(__xludf.DUMMYFUNCTION("""COMPUTED_VALUE"""),"TRF 10-09")</f>
        <v>TRF 10-09</v>
      </c>
      <c r="AF124" s="7" t="str">
        <f>IFERROR(__xludf.DUMMYFUNCTION("""COMPUTED_VALUE"""),"OK")</f>
        <v>OK</v>
      </c>
      <c r="AG124" s="45"/>
    </row>
    <row r="125">
      <c r="B125" s="42">
        <f>IFERROR(__xludf.DUMMYFUNCTION("""COMPUTED_VALUE"""),45545.884586342596)</f>
        <v>45545.88459</v>
      </c>
      <c r="C125" s="43" t="str">
        <f>IFERROR(__xludf.DUMMYFUNCTION("""COMPUTED_VALUE"""),"Paula")</f>
        <v>Paula</v>
      </c>
      <c r="D125" s="43" t="str">
        <f>IFERROR(__xludf.DUMMYFUNCTION("""COMPUTED_VALUE"""),"Carneiro Uralde")</f>
        <v>Carneiro Uralde</v>
      </c>
      <c r="E125" s="43" t="str">
        <f>IFERROR(__xludf.DUMMYFUNCTION("""COMPUTED_VALUE"""),"Martínez")</f>
        <v>Martínez</v>
      </c>
      <c r="F125" s="7" t="str">
        <f>IFERROR(__xludf.DUMMYFUNCTION("""COMPUTED_VALUE"""),"ARG")</f>
        <v>ARG</v>
      </c>
      <c r="G125" s="7">
        <f>IFERROR(__xludf.DUMMYFUNCTION("""COMPUTED_VALUE"""),5.4098565E7)</f>
        <v>54098565</v>
      </c>
      <c r="H125" s="44">
        <f>IFERROR(__xludf.DUMMYFUNCTION("""COMPUTED_VALUE"""),41815.0)</f>
        <v>41815</v>
      </c>
      <c r="I125" s="45">
        <f>IFERROR(__xludf.DUMMYFUNCTION("""COMPUTED_VALUE"""),1.13183024E9)</f>
        <v>1131830240</v>
      </c>
      <c r="J125" s="45">
        <f>IFERROR(__xludf.DUMMYFUNCTION("""COMPUTED_VALUE"""),1.13183024E9)</f>
        <v>1131830240</v>
      </c>
      <c r="K125" s="45" t="str">
        <f>IFERROR(__xludf.DUMMYFUNCTION("""COMPUTED_VALUE"""),"mcarneiro.estudio@gmail.com")</f>
        <v>mcarneiro.estudio@gmail.com</v>
      </c>
      <c r="L125" s="45" t="str">
        <f>IFERROR(__xludf.DUMMYFUNCTION("""COMPUTED_VALUE"""),"Femenino")</f>
        <v>Femenino</v>
      </c>
      <c r="M125" s="45" t="str">
        <f>IFERROR(__xludf.DUMMYFUNCTION("""COMPUTED_VALUE"""),"YCO")</f>
        <v>YCO</v>
      </c>
      <c r="N125" s="45" t="str">
        <f>IFERROR(__xludf.DUMMYFUNCTION("""COMPUTED_VALUE"""),"Femenino, Optimist principiante")</f>
        <v>Femenino, Optimist principiante</v>
      </c>
      <c r="O125" s="45" t="str">
        <f>IFERROR(__xludf.DUMMYFUNCTION("""COMPUTED_VALUE"""),"OPTIMIST PRINCIPIANTES")</f>
        <v>OPTIMIST PRINCIPIANTES</v>
      </c>
      <c r="P125" s="45"/>
      <c r="Q125" s="45" t="str">
        <f>IFERROR(__xludf.DUMMYFUNCTION("""COMPUTED_VALUE"""),"ARG 3817")</f>
        <v>ARG 3817</v>
      </c>
      <c r="R125" s="45"/>
      <c r="S125" s="45"/>
      <c r="T125" s="45"/>
      <c r="U125" s="45"/>
      <c r="V125" s="45"/>
      <c r="W125" s="45"/>
      <c r="X125" s="45"/>
      <c r="Y125" s="45" t="str">
        <f>IFERROR(__xludf.DUMMYFUNCTION("""COMPUTED_VALUE"""),"Swiss Medical")</f>
        <v>Swiss Medical</v>
      </c>
      <c r="Z125" s="7" t="str">
        <f>IFERROR(__xludf.DUMMYFUNCTION("""COMPUTED_VALUE"""),"Si")</f>
        <v>Si</v>
      </c>
      <c r="AA125" s="7" t="str">
        <f>IFERROR(__xludf.DUMMYFUNCTION("""COMPUTED_VALUE"""),"Acepto")</f>
        <v>Acepto</v>
      </c>
      <c r="AB125" s="7" t="str">
        <f>IFERROR(__xludf.DUMMYFUNCTION("""COMPUTED_VALUE"""),"Terminado")</f>
        <v>Terminado</v>
      </c>
      <c r="AC125" s="7">
        <f>IFERROR(__xludf.DUMMYFUNCTION("""COMPUTED_VALUE"""),50000.0)</f>
        <v>50000</v>
      </c>
      <c r="AD125" s="7"/>
      <c r="AE125" s="7" t="str">
        <f>IFERROR(__xludf.DUMMYFUNCTION("""COMPUTED_VALUE"""),"AF")</f>
        <v>AF</v>
      </c>
      <c r="AF125" s="7" t="str">
        <f>IFERROR(__xludf.DUMMYFUNCTION("""COMPUTED_VALUE"""),"Pendiente")</f>
        <v>Pendiente</v>
      </c>
      <c r="AG125" s="45"/>
    </row>
    <row r="126">
      <c r="B126" s="42">
        <f>IFERROR(__xludf.DUMMYFUNCTION("""COMPUTED_VALUE"""),45546.427971261575)</f>
        <v>45546.42797</v>
      </c>
      <c r="C126" s="43" t="str">
        <f>IFERROR(__xludf.DUMMYFUNCTION("""COMPUTED_VALUE"""),"Rodrigo")</f>
        <v>Rodrigo</v>
      </c>
      <c r="D126" s="43" t="str">
        <f>IFERROR(__xludf.DUMMYFUNCTION("""COMPUTED_VALUE"""),"Zabala")</f>
        <v>Zabala</v>
      </c>
      <c r="E126" s="43" t="str">
        <f>IFERROR(__xludf.DUMMYFUNCTION("""COMPUTED_VALUE"""),"CABA")</f>
        <v>CABA</v>
      </c>
      <c r="F126" s="7" t="str">
        <f>IFERROR(__xludf.DUMMYFUNCTION("""COMPUTED_VALUE"""),"ARG")</f>
        <v>ARG</v>
      </c>
      <c r="G126" s="7">
        <f>IFERROR(__xludf.DUMMYFUNCTION("""COMPUTED_VALUE"""),5.4184438E7)</f>
        <v>54184438</v>
      </c>
      <c r="H126" s="44">
        <f>IFERROR(__xludf.DUMMYFUNCTION("""COMPUTED_VALUE"""),41848.0)</f>
        <v>41848</v>
      </c>
      <c r="I126" s="45">
        <f>IFERROR(__xludf.DUMMYFUNCTION("""COMPUTED_VALUE"""),1.161607139E9)</f>
        <v>1161607139</v>
      </c>
      <c r="J126" s="45">
        <f>IFERROR(__xludf.DUMMYFUNCTION("""COMPUTED_VALUE"""),1.156401702E9)</f>
        <v>1156401702</v>
      </c>
      <c r="K126" s="45" t="str">
        <f>IFERROR(__xludf.DUMMYFUNCTION("""COMPUTED_VALUE"""),"franciscozabala@gmail.com")</f>
        <v>franciscozabala@gmail.com</v>
      </c>
      <c r="L126" s="45" t="str">
        <f>IFERROR(__xludf.DUMMYFUNCTION("""COMPUTED_VALUE"""),"Masculino")</f>
        <v>Masculino</v>
      </c>
      <c r="M126" s="45" t="str">
        <f>IFERROR(__xludf.DUMMYFUNCTION("""COMPUTED_VALUE"""),"CUBA")</f>
        <v>CUBA</v>
      </c>
      <c r="N126" s="45"/>
      <c r="O126" s="45" t="str">
        <f>IFERROR(__xludf.DUMMYFUNCTION("""COMPUTED_VALUE"""),"OPTIMIST PRINCIPIANTES")</f>
        <v>OPTIMIST PRINCIPIANTES</v>
      </c>
      <c r="P126" s="45"/>
      <c r="Q126" s="45">
        <f>IFERROR(__xludf.DUMMYFUNCTION("""COMPUTED_VALUE"""),3434.0)</f>
        <v>3434</v>
      </c>
      <c r="R126" s="45" t="str">
        <f>IFERROR(__xludf.DUMMYFUNCTION("""COMPUTED_VALUE"""),"Roderick")</f>
        <v>Roderick</v>
      </c>
      <c r="S126" s="45"/>
      <c r="T126" s="45"/>
      <c r="U126" s="45"/>
      <c r="V126" s="45"/>
      <c r="W126" s="45"/>
      <c r="X126" s="45"/>
      <c r="Y126" s="45" t="str">
        <f>IFERROR(__xludf.DUMMYFUNCTION("""COMPUTED_VALUE"""),"OSDE Nro. 61368940104")</f>
        <v>OSDE Nro. 61368940104</v>
      </c>
      <c r="Z126" s="7" t="str">
        <f>IFERROR(__xludf.DUMMYFUNCTION("""COMPUTED_VALUE"""),"Si")</f>
        <v>Si</v>
      </c>
      <c r="AA126" s="7" t="str">
        <f>IFERROR(__xludf.DUMMYFUNCTION("""COMPUTED_VALUE"""),"Acepto")</f>
        <v>Acepto</v>
      </c>
      <c r="AB126" s="7" t="str">
        <f>IFERROR(__xludf.DUMMYFUNCTION("""COMPUTED_VALUE"""),"Terminado")</f>
        <v>Terminado</v>
      </c>
      <c r="AC126" s="7">
        <f>IFERROR(__xludf.DUMMYFUNCTION("""COMPUTED_VALUE"""),50000.0)</f>
        <v>50000</v>
      </c>
      <c r="AD126" s="7">
        <f>IFERROR(__xludf.DUMMYFUNCTION("""COMPUTED_VALUE"""),205684.0)</f>
        <v>205684</v>
      </c>
      <c r="AE126" s="7" t="str">
        <f>IFERROR(__xludf.DUMMYFUNCTION("""COMPUTED_VALUE"""),"TRF 11-09")</f>
        <v>TRF 11-09</v>
      </c>
      <c r="AF126" s="7" t="str">
        <f>IFERROR(__xludf.DUMMYFUNCTION("""COMPUTED_VALUE"""),"OK")</f>
        <v>OK</v>
      </c>
      <c r="AG126" s="45"/>
    </row>
    <row r="127">
      <c r="B127" s="42">
        <f>IFERROR(__xludf.DUMMYFUNCTION("""COMPUTED_VALUE"""),45546.522915891204)</f>
        <v>45546.52292</v>
      </c>
      <c r="C127" s="43" t="str">
        <f>IFERROR(__xludf.DUMMYFUNCTION("""COMPUTED_VALUE"""),"ROCIO")</f>
        <v>ROCIO</v>
      </c>
      <c r="D127" s="43" t="str">
        <f>IFERROR(__xludf.DUMMYFUNCTION("""COMPUTED_VALUE"""),"SUAREZ VAZQUEZ")</f>
        <v>SUAREZ VAZQUEZ</v>
      </c>
      <c r="E127" s="43" t="str">
        <f>IFERROR(__xludf.DUMMYFUNCTION("""COMPUTED_VALUE"""),"BUENOS AIRES")</f>
        <v>BUENOS AIRES</v>
      </c>
      <c r="F127" s="7" t="str">
        <f>IFERROR(__xludf.DUMMYFUNCTION("""COMPUTED_VALUE"""),"ARG")</f>
        <v>ARG</v>
      </c>
      <c r="G127" s="7">
        <f>IFERROR(__xludf.DUMMYFUNCTION("""COMPUTED_VALUE"""),5.3718044E7)</f>
        <v>53718044</v>
      </c>
      <c r="H127" s="44">
        <f>IFERROR(__xludf.DUMMYFUNCTION("""COMPUTED_VALUE"""),41678.0)</f>
        <v>41678</v>
      </c>
      <c r="I127" s="45">
        <f>IFERROR(__xludf.DUMMYFUNCTION("""COMPUTED_VALUE"""),1.13413993E9)</f>
        <v>1134139930</v>
      </c>
      <c r="J127" s="45">
        <f>IFERROR(__xludf.DUMMYFUNCTION("""COMPUTED_VALUE"""),1.13413993E9)</f>
        <v>1134139930</v>
      </c>
      <c r="K127" s="45" t="str">
        <f>IFERROR(__xludf.DUMMYFUNCTION("""COMPUTED_VALUE"""),"hernan.suarez@northsails.com")</f>
        <v>hernan.suarez@northsails.com</v>
      </c>
      <c r="L127" s="45" t="str">
        <f>IFERROR(__xludf.DUMMYFUNCTION("""COMPUTED_VALUE"""),"Femenino")</f>
        <v>Femenino</v>
      </c>
      <c r="M127" s="45" t="str">
        <f>IFERROR(__xludf.DUMMYFUNCTION("""COMPUTED_VALUE"""),"YCA")</f>
        <v>YCA</v>
      </c>
      <c r="N127" s="45" t="str">
        <f>IFERROR(__xludf.DUMMYFUNCTION("""COMPUTED_VALUE"""),"Femenino")</f>
        <v>Femenino</v>
      </c>
      <c r="O127" s="45" t="str">
        <f>IFERROR(__xludf.DUMMYFUNCTION("""COMPUTED_VALUE"""),"OPTIMIST PRINCIPIANTES")</f>
        <v>OPTIMIST PRINCIPIANTES</v>
      </c>
      <c r="P127" s="45"/>
      <c r="Q127" s="45">
        <f>IFERROR(__xludf.DUMMYFUNCTION("""COMPUTED_VALUE"""),3507.0)</f>
        <v>3507</v>
      </c>
      <c r="R127" s="45" t="str">
        <f>IFERROR(__xludf.DUMMYFUNCTION("""COMPUTED_VALUE"""),"BESTIA")</f>
        <v>BESTIA</v>
      </c>
      <c r="S127" s="45"/>
      <c r="T127" s="45"/>
      <c r="U127" s="45"/>
      <c r="V127" s="45"/>
      <c r="W127" s="45"/>
      <c r="X127" s="45"/>
      <c r="Y127" s="45" t="str">
        <f>IFERROR(__xludf.DUMMYFUNCTION("""COMPUTED_VALUE"""),"OSDE")</f>
        <v>OSDE</v>
      </c>
      <c r="Z127" s="7" t="str">
        <f>IFERROR(__xludf.DUMMYFUNCTION("""COMPUTED_VALUE"""),"No")</f>
        <v>No</v>
      </c>
      <c r="AA127" s="7" t="str">
        <f>IFERROR(__xludf.DUMMYFUNCTION("""COMPUTED_VALUE"""),"Acepto")</f>
        <v>Acepto</v>
      </c>
      <c r="AB127" s="7" t="str">
        <f>IFERROR(__xludf.DUMMYFUNCTION("""COMPUTED_VALUE"""),"Terminado")</f>
        <v>Terminado</v>
      </c>
      <c r="AC127" s="7">
        <f>IFERROR(__xludf.DUMMYFUNCTION("""COMPUTED_VALUE"""),50000.0)</f>
        <v>50000</v>
      </c>
      <c r="AD127" s="7">
        <f>IFERROR(__xludf.DUMMYFUNCTION("""COMPUTED_VALUE"""),205679.0)</f>
        <v>205679</v>
      </c>
      <c r="AE127" s="7" t="str">
        <f>IFERROR(__xludf.DUMMYFUNCTION("""COMPUTED_VALUE"""),"TRF 11-09")</f>
        <v>TRF 11-09</v>
      </c>
      <c r="AF127" s="7" t="str">
        <f>IFERROR(__xludf.DUMMYFUNCTION("""COMPUTED_VALUE"""),"OK")</f>
        <v>OK</v>
      </c>
      <c r="AG127" s="45"/>
    </row>
    <row r="128">
      <c r="B128" s="42">
        <f>IFERROR(__xludf.DUMMYFUNCTION("""COMPUTED_VALUE"""),45546.57291310185)</f>
        <v>45546.57291</v>
      </c>
      <c r="C128" s="43" t="str">
        <f>IFERROR(__xludf.DUMMYFUNCTION("""COMPUTED_VALUE"""),"Marco ")</f>
        <v>Marco </v>
      </c>
      <c r="D128" s="43" t="str">
        <f>IFERROR(__xludf.DUMMYFUNCTION("""COMPUTED_VALUE"""),"Bertone")</f>
        <v>Bertone</v>
      </c>
      <c r="E128" s="43" t="str">
        <f>IFERROR(__xludf.DUMMYFUNCTION("""COMPUTED_VALUE"""),"Hurlingham ")</f>
        <v>Hurlingham </v>
      </c>
      <c r="F128" s="7" t="str">
        <f>IFERROR(__xludf.DUMMYFUNCTION("""COMPUTED_VALUE"""),"ARG")</f>
        <v>ARG</v>
      </c>
      <c r="G128" s="7">
        <f>IFERROR(__xludf.DUMMYFUNCTION("""COMPUTED_VALUE"""),5.030509E7)</f>
        <v>50305090</v>
      </c>
      <c r="H128" s="44">
        <f>IFERROR(__xludf.DUMMYFUNCTION("""COMPUTED_VALUE"""),40306.0)</f>
        <v>40306</v>
      </c>
      <c r="I128" s="45">
        <f>IFERROR(__xludf.DUMMYFUNCTION("""COMPUTED_VALUE"""),1.168212201E9)</f>
        <v>1168212201</v>
      </c>
      <c r="J128" s="45">
        <f>IFERROR(__xludf.DUMMYFUNCTION("""COMPUTED_VALUE"""),1.168212201E9)</f>
        <v>1168212201</v>
      </c>
      <c r="K128" s="45" t="str">
        <f>IFERROR(__xludf.DUMMYFUNCTION("""COMPUTED_VALUE"""),"mariacarolinagarcia@icloud.com")</f>
        <v>mariacarolinagarcia@icloud.com</v>
      </c>
      <c r="L128" s="45" t="str">
        <f>IFERROR(__xludf.DUMMYFUNCTION("""COMPUTED_VALUE"""),"Masculino")</f>
        <v>Masculino</v>
      </c>
      <c r="M128" s="45" t="str">
        <f>IFERROR(__xludf.DUMMYFUNCTION("""COMPUTED_VALUE"""),"YCA")</f>
        <v>YCA</v>
      </c>
      <c r="N128" s="45"/>
      <c r="O128" s="45" t="str">
        <f>IFERROR(__xludf.DUMMYFUNCTION("""COMPUTED_VALUE"""),"OPTIMIST PRINCIPIANTES")</f>
        <v>OPTIMIST PRINCIPIANTES</v>
      </c>
      <c r="P128" s="45"/>
      <c r="Q128" s="45" t="str">
        <f>IFERROR(__xludf.DUMMYFUNCTION("""COMPUTED_VALUE"""),"Arg 3697")</f>
        <v>Arg 3697</v>
      </c>
      <c r="R128" s="45" t="str">
        <f>IFERROR(__xludf.DUMMYFUNCTION("""COMPUTED_VALUE"""),"Skywalker")</f>
        <v>Skywalker</v>
      </c>
      <c r="S128" s="45"/>
      <c r="T128" s="45"/>
      <c r="U128" s="45"/>
      <c r="V128" s="45"/>
      <c r="W128" s="45"/>
      <c r="X128" s="45"/>
      <c r="Y128" s="45" t="str">
        <f>IFERROR(__xludf.DUMMYFUNCTION("""COMPUTED_VALUE"""),"Dosuba 116890-01")</f>
        <v>Dosuba 116890-01</v>
      </c>
      <c r="Z128" s="7" t="str">
        <f>IFERROR(__xludf.DUMMYFUNCTION("""COMPUTED_VALUE"""),"No")</f>
        <v>No</v>
      </c>
      <c r="AA128" s="7" t="str">
        <f>IFERROR(__xludf.DUMMYFUNCTION("""COMPUTED_VALUE"""),"Acepto")</f>
        <v>Acepto</v>
      </c>
      <c r="AB128" s="7" t="str">
        <f>IFERROR(__xludf.DUMMYFUNCTION("""COMPUTED_VALUE"""),"Terminado")</f>
        <v>Terminado</v>
      </c>
      <c r="AC128" s="7">
        <f>IFERROR(__xludf.DUMMYFUNCTION("""COMPUTED_VALUE"""),50000.0)</f>
        <v>50000</v>
      </c>
      <c r="AD128" s="7">
        <f>IFERROR(__xludf.DUMMYFUNCTION("""COMPUTED_VALUE"""),205691.0)</f>
        <v>205691</v>
      </c>
      <c r="AE128" s="7" t="str">
        <f>IFERROR(__xludf.DUMMYFUNCTION("""COMPUTED_VALUE"""),"TRF 11-09")</f>
        <v>TRF 11-09</v>
      </c>
      <c r="AF128" s="7" t="str">
        <f>IFERROR(__xludf.DUMMYFUNCTION("""COMPUTED_VALUE"""),"OK")</f>
        <v>OK</v>
      </c>
      <c r="AG128" s="45"/>
    </row>
    <row r="129">
      <c r="B129" s="42">
        <f>IFERROR(__xludf.DUMMYFUNCTION("""COMPUTED_VALUE"""),45546.66887231481)</f>
        <v>45546.66887</v>
      </c>
      <c r="C129" s="43" t="str">
        <f>IFERROR(__xludf.DUMMYFUNCTION("""COMPUTED_VALUE"""),"Mora")</f>
        <v>Mora</v>
      </c>
      <c r="D129" s="43" t="str">
        <f>IFERROR(__xludf.DUMMYFUNCTION("""COMPUTED_VALUE"""),"Berard")</f>
        <v>Berard</v>
      </c>
      <c r="E129" s="43" t="str">
        <f>IFERROR(__xludf.DUMMYFUNCTION("""COMPUTED_VALUE"""),"Buenos Aires")</f>
        <v>Buenos Aires</v>
      </c>
      <c r="F129" s="7" t="str">
        <f>IFERROR(__xludf.DUMMYFUNCTION("""COMPUTED_VALUE"""),"ARG")</f>
        <v>ARG</v>
      </c>
      <c r="G129" s="7">
        <f>IFERROR(__xludf.DUMMYFUNCTION("""COMPUTED_VALUE"""),5.3742144E7)</f>
        <v>53742144</v>
      </c>
      <c r="H129" s="44">
        <f>IFERROR(__xludf.DUMMYFUNCTION("""COMPUTED_VALUE"""),41789.0)</f>
        <v>41789</v>
      </c>
      <c r="I129" s="45">
        <f>IFERROR(__xludf.DUMMYFUNCTION("""COMPUTED_VALUE"""),1.153073821E9)</f>
        <v>1153073821</v>
      </c>
      <c r="J129" s="45">
        <f>IFERROR(__xludf.DUMMYFUNCTION("""COMPUTED_VALUE"""),1.153073821E9)</f>
        <v>1153073821</v>
      </c>
      <c r="K129" s="45" t="str">
        <f>IFERROR(__xludf.DUMMYFUNCTION("""COMPUTED_VALUE"""),"verocriston@gmail.com ")</f>
        <v>verocriston@gmail.com </v>
      </c>
      <c r="L129" s="45" t="str">
        <f>IFERROR(__xludf.DUMMYFUNCTION("""COMPUTED_VALUE"""),"Femenino")</f>
        <v>Femenino</v>
      </c>
      <c r="M129" s="45" t="str">
        <f>IFERROR(__xludf.DUMMYFUNCTION("""COMPUTED_VALUE"""),"Cvb")</f>
        <v>Cvb</v>
      </c>
      <c r="N129" s="45" t="str">
        <f>IFERROR(__xludf.DUMMYFUNCTION("""COMPUTED_VALUE"""),"Principiante")</f>
        <v>Principiante</v>
      </c>
      <c r="O129" s="45" t="str">
        <f>IFERROR(__xludf.DUMMYFUNCTION("""COMPUTED_VALUE"""),"OPTIMIST PRINCIPIANTES")</f>
        <v>OPTIMIST PRINCIPIANTES</v>
      </c>
      <c r="P129" s="45"/>
      <c r="Q129" s="45">
        <f>IFERROR(__xludf.DUMMYFUNCTION("""COMPUTED_VALUE"""),3111.0)</f>
        <v>3111</v>
      </c>
      <c r="R129" s="45"/>
      <c r="S129" s="45"/>
      <c r="T129" s="45"/>
      <c r="U129" s="45"/>
      <c r="V129" s="45"/>
      <c r="W129" s="45"/>
      <c r="X129" s="45"/>
      <c r="Y129" s="45" t="str">
        <f>IFERROR(__xludf.DUMMYFUNCTION("""COMPUTED_VALUE"""),"Union personal ")</f>
        <v>Union personal </v>
      </c>
      <c r="Z129" s="7" t="str">
        <f>IFERROR(__xludf.DUMMYFUNCTION("""COMPUTED_VALUE"""),"Si")</f>
        <v>Si</v>
      </c>
      <c r="AA129" s="7" t="str">
        <f>IFERROR(__xludf.DUMMYFUNCTION("""COMPUTED_VALUE"""),"Acepto")</f>
        <v>Acepto</v>
      </c>
      <c r="AB129" s="7" t="str">
        <f>IFERROR(__xludf.DUMMYFUNCTION("""COMPUTED_VALUE"""),"Terminado")</f>
        <v>Terminado</v>
      </c>
      <c r="AC129" s="7">
        <f>IFERROR(__xludf.DUMMYFUNCTION("""COMPUTED_VALUE"""),50000.0)</f>
        <v>50000</v>
      </c>
      <c r="AD129" s="7">
        <f>IFERROR(__xludf.DUMMYFUNCTION("""COMPUTED_VALUE"""),205694.0)</f>
        <v>205694</v>
      </c>
      <c r="AE129" s="7" t="str">
        <f>IFERROR(__xludf.DUMMYFUNCTION("""COMPUTED_VALUE"""),"TRF 11-09")</f>
        <v>TRF 11-09</v>
      </c>
      <c r="AF129" s="7" t="str">
        <f>IFERROR(__xludf.DUMMYFUNCTION("""COMPUTED_VALUE"""),"OK")</f>
        <v>OK</v>
      </c>
      <c r="AG129" s="45" t="str">
        <f>IFERROR(__xludf.DUMMYFUNCTION("""COMPUTED_VALUE"""),"SI")</f>
        <v>SI</v>
      </c>
    </row>
    <row r="130">
      <c r="B130" s="42">
        <f>IFERROR(__xludf.DUMMYFUNCTION("""COMPUTED_VALUE"""),45546.67165478009)</f>
        <v>45546.67165</v>
      </c>
      <c r="C130" s="43" t="str">
        <f>IFERROR(__xludf.DUMMYFUNCTION("""COMPUTED_VALUE"""),"Luna")</f>
        <v>Luna</v>
      </c>
      <c r="D130" s="43" t="str">
        <f>IFERROR(__xludf.DUMMYFUNCTION("""COMPUTED_VALUE"""),"Berard")</f>
        <v>Berard</v>
      </c>
      <c r="E130" s="43" t="str">
        <f>IFERROR(__xludf.DUMMYFUNCTION("""COMPUTED_VALUE"""),"Buenos aires")</f>
        <v>Buenos aires</v>
      </c>
      <c r="F130" s="7" t="str">
        <f>IFERROR(__xludf.DUMMYFUNCTION("""COMPUTED_VALUE"""),"ARG")</f>
        <v>ARG</v>
      </c>
      <c r="G130" s="7">
        <f>IFERROR(__xludf.DUMMYFUNCTION("""COMPUTED_VALUE"""),5.2703398E7)</f>
        <v>52703398</v>
      </c>
      <c r="H130" s="44">
        <f>IFERROR(__xludf.DUMMYFUNCTION("""COMPUTED_VALUE"""),41228.0)</f>
        <v>41228</v>
      </c>
      <c r="I130" s="45">
        <f>IFERROR(__xludf.DUMMYFUNCTION("""COMPUTED_VALUE"""),1.153073821E9)</f>
        <v>1153073821</v>
      </c>
      <c r="J130" s="45">
        <f>IFERROR(__xludf.DUMMYFUNCTION("""COMPUTED_VALUE"""),1.153073821E9)</f>
        <v>1153073821</v>
      </c>
      <c r="K130" s="45" t="str">
        <f>IFERROR(__xludf.DUMMYFUNCTION("""COMPUTED_VALUE"""),"verocriston@gmail.com")</f>
        <v>verocriston@gmail.com</v>
      </c>
      <c r="L130" s="45" t="str">
        <f>IFERROR(__xludf.DUMMYFUNCTION("""COMPUTED_VALUE"""),"Femenino")</f>
        <v>Femenino</v>
      </c>
      <c r="M130" s="45" t="str">
        <f>IFERROR(__xludf.DUMMYFUNCTION("""COMPUTED_VALUE"""),"Cvb")</f>
        <v>Cvb</v>
      </c>
      <c r="N130" s="45" t="str">
        <f>IFERROR(__xludf.DUMMYFUNCTION("""COMPUTED_VALUE"""),"Principiante")</f>
        <v>Principiante</v>
      </c>
      <c r="O130" s="45" t="str">
        <f>IFERROR(__xludf.DUMMYFUNCTION("""COMPUTED_VALUE"""),"OPTIMIST PRINCIPIANTES")</f>
        <v>OPTIMIST PRINCIPIANTES</v>
      </c>
      <c r="P130" s="45"/>
      <c r="Q130" s="45">
        <f>IFERROR(__xludf.DUMMYFUNCTION("""COMPUTED_VALUE"""),3898.0)</f>
        <v>3898</v>
      </c>
      <c r="R130" s="45"/>
      <c r="S130" s="45"/>
      <c r="T130" s="45"/>
      <c r="U130" s="45"/>
      <c r="V130" s="45"/>
      <c r="W130" s="45"/>
      <c r="X130" s="45"/>
      <c r="Y130" s="45" t="str">
        <f>IFERROR(__xludf.DUMMYFUNCTION("""COMPUTED_VALUE"""),"Union personal ")</f>
        <v>Union personal </v>
      </c>
      <c r="Z130" s="7" t="str">
        <f>IFERROR(__xludf.DUMMYFUNCTION("""COMPUTED_VALUE"""),"Si")</f>
        <v>Si</v>
      </c>
      <c r="AA130" s="7" t="str">
        <f>IFERROR(__xludf.DUMMYFUNCTION("""COMPUTED_VALUE"""),"Acepto")</f>
        <v>Acepto</v>
      </c>
      <c r="AB130" s="7" t="str">
        <f>IFERROR(__xludf.DUMMYFUNCTION("""COMPUTED_VALUE"""),"Terminado")</f>
        <v>Terminado</v>
      </c>
      <c r="AC130" s="7">
        <f>IFERROR(__xludf.DUMMYFUNCTION("""COMPUTED_VALUE"""),50000.0)</f>
        <v>50000</v>
      </c>
      <c r="AD130" s="7">
        <f>IFERROR(__xludf.DUMMYFUNCTION("""COMPUTED_VALUE"""),205694.0)</f>
        <v>205694</v>
      </c>
      <c r="AE130" s="7" t="str">
        <f>IFERROR(__xludf.DUMMYFUNCTION("""COMPUTED_VALUE"""),"TRF 11-09")</f>
        <v>TRF 11-09</v>
      </c>
      <c r="AF130" s="7" t="str">
        <f>IFERROR(__xludf.DUMMYFUNCTION("""COMPUTED_VALUE"""),"OK")</f>
        <v>OK</v>
      </c>
      <c r="AG130" s="45" t="str">
        <f>IFERROR(__xludf.DUMMYFUNCTION("""COMPUTED_VALUE"""),"SI")</f>
        <v>SI</v>
      </c>
    </row>
    <row r="131">
      <c r="B131" s="42">
        <f>IFERROR(__xludf.DUMMYFUNCTION("""COMPUTED_VALUE"""),45547.33010331019)</f>
        <v>45547.3301</v>
      </c>
      <c r="C131" s="43" t="str">
        <f>IFERROR(__xludf.DUMMYFUNCTION("""COMPUTED_VALUE"""),"Olivia")</f>
        <v>Olivia</v>
      </c>
      <c r="D131" s="43" t="str">
        <f>IFERROR(__xludf.DUMMYFUNCTION("""COMPUTED_VALUE"""),"Caramielo Hrzina ")</f>
        <v>Caramielo Hrzina </v>
      </c>
      <c r="E131" s="43" t="str">
        <f>IFERROR(__xludf.DUMMYFUNCTION("""COMPUTED_VALUE"""),"CABA")</f>
        <v>CABA</v>
      </c>
      <c r="F131" s="7" t="str">
        <f>IFERROR(__xludf.DUMMYFUNCTION("""COMPUTED_VALUE"""),"ARG")</f>
        <v>ARG</v>
      </c>
      <c r="G131" s="7">
        <f>IFERROR(__xludf.DUMMYFUNCTION("""COMPUTED_VALUE"""),5.1122233E7)</f>
        <v>51122233</v>
      </c>
      <c r="H131" s="44">
        <f>IFERROR(__xludf.DUMMYFUNCTION("""COMPUTED_VALUE"""),40668.0)</f>
        <v>40668</v>
      </c>
      <c r="I131" s="45">
        <f>IFERROR(__xludf.DUMMYFUNCTION("""COMPUTED_VALUE"""),1.157655571E9)</f>
        <v>1157655571</v>
      </c>
      <c r="J131" s="45">
        <f>IFERROR(__xludf.DUMMYFUNCTION("""COMPUTED_VALUE"""),1.13511451E9)</f>
        <v>1135114510</v>
      </c>
      <c r="K131" s="45" t="str">
        <f>IFERROR(__xludf.DUMMYFUNCTION("""COMPUTED_VALUE"""),"Barbarahrzina@gmail.com")</f>
        <v>Barbarahrzina@gmail.com</v>
      </c>
      <c r="L131" s="45" t="str">
        <f>IFERROR(__xludf.DUMMYFUNCTION("""COMPUTED_VALUE"""),"Femenino")</f>
        <v>Femenino</v>
      </c>
      <c r="M131" s="45" t="str">
        <f>IFERROR(__xludf.DUMMYFUNCTION("""COMPUTED_VALUE"""),"CNAZ")</f>
        <v>CNAZ</v>
      </c>
      <c r="N131" s="45" t="str">
        <f>IFERROR(__xludf.DUMMYFUNCTION("""COMPUTED_VALUE"""),"Interior (Optimist)")</f>
        <v>Interior (Optimist)</v>
      </c>
      <c r="O131" s="45" t="str">
        <f>IFERROR(__xludf.DUMMYFUNCTION("""COMPUTED_VALUE"""),"OPTIMIST PRINCIPIANTES")</f>
        <v>OPTIMIST PRINCIPIANTES</v>
      </c>
      <c r="P131" s="45"/>
      <c r="Q131" s="45">
        <f>IFERROR(__xludf.DUMMYFUNCTION("""COMPUTED_VALUE"""),351.0)</f>
        <v>351</v>
      </c>
      <c r="R131" s="45"/>
      <c r="S131" s="45"/>
      <c r="T131" s="45"/>
      <c r="U131" s="45"/>
      <c r="V131" s="45"/>
      <c r="W131" s="45"/>
      <c r="X131" s="45"/>
      <c r="Y131" s="45" t="str">
        <f>IFERROR(__xludf.DUMMYFUNCTION("""COMPUTED_VALUE"""),"Ospjn 73516/31")</f>
        <v>Ospjn 73516/31</v>
      </c>
      <c r="Z131" s="7" t="str">
        <f>IFERROR(__xludf.DUMMYFUNCTION("""COMPUTED_VALUE"""),"Si")</f>
        <v>Si</v>
      </c>
      <c r="AA131" s="7" t="str">
        <f>IFERROR(__xludf.DUMMYFUNCTION("""COMPUTED_VALUE"""),"Acepto")</f>
        <v>Acepto</v>
      </c>
      <c r="AB131" s="7" t="str">
        <f>IFERROR(__xludf.DUMMYFUNCTION("""COMPUTED_VALUE"""),"Pendiente")</f>
        <v>Pendiente</v>
      </c>
      <c r="AC131" s="7"/>
      <c r="AD131" s="7"/>
      <c r="AE131" s="7"/>
      <c r="AF131" s="7" t="str">
        <f>IFERROR(__xludf.DUMMYFUNCTION("""COMPUTED_VALUE"""),"OK")</f>
        <v>OK</v>
      </c>
      <c r="AG131" s="45"/>
    </row>
    <row r="132">
      <c r="B132" s="42">
        <f>IFERROR(__xludf.DUMMYFUNCTION("""COMPUTED_VALUE"""),45547.45860414352)</f>
        <v>45547.4586</v>
      </c>
      <c r="C132" s="43" t="str">
        <f>IFERROR(__xludf.DUMMYFUNCTION("""COMPUTED_VALUE"""),"Julia")</f>
        <v>Julia</v>
      </c>
      <c r="D132" s="43" t="str">
        <f>IFERROR(__xludf.DUMMYFUNCTION("""COMPUTED_VALUE"""),"Isaacson")</f>
        <v>Isaacson</v>
      </c>
      <c r="E132" s="43" t="str">
        <f>IFERROR(__xludf.DUMMYFUNCTION("""COMPUTED_VALUE"""),"Buenos Aires")</f>
        <v>Buenos Aires</v>
      </c>
      <c r="F132" s="7" t="str">
        <f>IFERROR(__xludf.DUMMYFUNCTION("""COMPUTED_VALUE"""),"ARG")</f>
        <v>ARG</v>
      </c>
      <c r="G132" s="7">
        <f>IFERROR(__xludf.DUMMYFUNCTION("""COMPUTED_VALUE"""),5.2643126E7)</f>
        <v>52643126</v>
      </c>
      <c r="H132" s="44">
        <f>IFERROR(__xludf.DUMMYFUNCTION("""COMPUTED_VALUE"""),41105.0)</f>
        <v>41105</v>
      </c>
      <c r="I132" s="45">
        <f>IFERROR(__xludf.DUMMYFUNCTION("""COMPUTED_VALUE"""),1.165754774E9)</f>
        <v>1165754774</v>
      </c>
      <c r="J132" s="45">
        <f>IFERROR(__xludf.DUMMYFUNCTION("""COMPUTED_VALUE"""),1.160952334E9)</f>
        <v>1160952334</v>
      </c>
      <c r="K132" s="45" t="str">
        <f>IFERROR(__xludf.DUMMYFUNCTION("""COMPUTED_VALUE"""),"Belenisaacson@gmail.com")</f>
        <v>Belenisaacson@gmail.com</v>
      </c>
      <c r="L132" s="45" t="str">
        <f>IFERROR(__xludf.DUMMYFUNCTION("""COMPUTED_VALUE"""),"Femenino")</f>
        <v>Femenino</v>
      </c>
      <c r="M132" s="45" t="str">
        <f>IFERROR(__xludf.DUMMYFUNCTION("""COMPUTED_VALUE"""),"CNSE")</f>
        <v>CNSE</v>
      </c>
      <c r="N132" s="45" t="str">
        <f>IFERROR(__xludf.DUMMYFUNCTION("""COMPUTED_VALUE"""),"Femenino")</f>
        <v>Femenino</v>
      </c>
      <c r="O132" s="45" t="str">
        <f>IFERROR(__xludf.DUMMYFUNCTION("""COMPUTED_VALUE"""),"OPTIMIST PRINCIPIANTES")</f>
        <v>OPTIMIST PRINCIPIANTES</v>
      </c>
      <c r="P132" s="45"/>
      <c r="Q132" s="45">
        <f>IFERROR(__xludf.DUMMYFUNCTION("""COMPUTED_VALUE"""),3544.0)</f>
        <v>3544</v>
      </c>
      <c r="R132" s="45" t="str">
        <f>IFERROR(__xludf.DUMMYFUNCTION("""COMPUTED_VALUE"""),"Merengue")</f>
        <v>Merengue</v>
      </c>
      <c r="S132" s="45"/>
      <c r="T132" s="45"/>
      <c r="U132" s="45"/>
      <c r="V132" s="45"/>
      <c r="W132" s="45"/>
      <c r="X132" s="45"/>
      <c r="Y132" s="45" t="str">
        <f>IFERROR(__xludf.DUMMYFUNCTION("""COMPUTED_VALUE"""),"Osde 410 - 61469362302")</f>
        <v>Osde 410 - 61469362302</v>
      </c>
      <c r="Z132" s="7" t="str">
        <f>IFERROR(__xludf.DUMMYFUNCTION("""COMPUTED_VALUE"""),"Si")</f>
        <v>Si</v>
      </c>
      <c r="AA132" s="7" t="str">
        <f>IFERROR(__xludf.DUMMYFUNCTION("""COMPUTED_VALUE"""),"Acepto")</f>
        <v>Acepto</v>
      </c>
      <c r="AB132" s="7" t="str">
        <f>IFERROR(__xludf.DUMMYFUNCTION("""COMPUTED_VALUE"""),"Pendiente")</f>
        <v>Pendiente</v>
      </c>
      <c r="AC132" s="7"/>
      <c r="AD132" s="7"/>
      <c r="AE132" s="7"/>
      <c r="AF132" s="7" t="str">
        <f>IFERROR(__xludf.DUMMYFUNCTION("""COMPUTED_VALUE"""),"Pendiente")</f>
        <v>Pendiente</v>
      </c>
      <c r="AG132" s="45"/>
    </row>
    <row r="133">
      <c r="B133" s="42">
        <f>IFERROR(__xludf.DUMMYFUNCTION("""COMPUTED_VALUE"""),45547.467579143515)</f>
        <v>45547.46758</v>
      </c>
      <c r="C133" s="43" t="str">
        <f>IFERROR(__xludf.DUMMYFUNCTION("""COMPUTED_VALUE"""),"Elena")</f>
        <v>Elena</v>
      </c>
      <c r="D133" s="43" t="str">
        <f>IFERROR(__xludf.DUMMYFUNCTION("""COMPUTED_VALUE"""),"Tiscornia")</f>
        <v>Tiscornia</v>
      </c>
      <c r="E133" s="43" t="str">
        <f>IFERROR(__xludf.DUMMYFUNCTION("""COMPUTED_VALUE"""),"San Isidro")</f>
        <v>San Isidro</v>
      </c>
      <c r="F133" s="7" t="str">
        <f>IFERROR(__xludf.DUMMYFUNCTION("""COMPUTED_VALUE"""),"ARG")</f>
        <v>ARG</v>
      </c>
      <c r="G133" s="7">
        <f>IFERROR(__xludf.DUMMYFUNCTION("""COMPUTED_VALUE"""),5.2703218E7)</f>
        <v>52703218</v>
      </c>
      <c r="H133" s="44">
        <f>IFERROR(__xludf.DUMMYFUNCTION("""COMPUTED_VALUE"""),41170.0)</f>
        <v>41170</v>
      </c>
      <c r="I133" s="45" t="str">
        <f>IFERROR(__xludf.DUMMYFUNCTION("""COMPUTED_VALUE"""),"11 44794035")</f>
        <v>11 44794035</v>
      </c>
      <c r="J133" s="45" t="str">
        <f>IFERROR(__xludf.DUMMYFUNCTION("""COMPUTED_VALUE"""),"1144794035 / 1135978500")</f>
        <v>1144794035 / 1135978500</v>
      </c>
      <c r="K133" s="45" t="str">
        <f>IFERROR(__xludf.DUMMYFUNCTION("""COMPUTED_VALUE"""),"atiscornia@arguelaw.com")</f>
        <v>atiscornia@arguelaw.com</v>
      </c>
      <c r="L133" s="45" t="str">
        <f>IFERROR(__xludf.DUMMYFUNCTION("""COMPUTED_VALUE"""),"Femenino")</f>
        <v>Femenino</v>
      </c>
      <c r="M133" s="45" t="str">
        <f>IFERROR(__xludf.DUMMYFUNCTION("""COMPUTED_VALUE"""),"CNSE")</f>
        <v>CNSE</v>
      </c>
      <c r="N133" s="45" t="str">
        <f>IFERROR(__xludf.DUMMYFUNCTION("""COMPUTED_VALUE"""),"Femenino")</f>
        <v>Femenino</v>
      </c>
      <c r="O133" s="45" t="str">
        <f>IFERROR(__xludf.DUMMYFUNCTION("""COMPUTED_VALUE"""),"OPTIMIST PRINCIPIANTES")</f>
        <v>OPTIMIST PRINCIPIANTES</v>
      </c>
      <c r="P133" s="45"/>
      <c r="Q133" s="45">
        <f>IFERROR(__xludf.DUMMYFUNCTION("""COMPUTED_VALUE"""),3634.0)</f>
        <v>3634</v>
      </c>
      <c r="R133" s="45" t="str">
        <f>IFERROR(__xludf.DUMMYFUNCTION("""COMPUTED_VALUE"""),"MASCARDI")</f>
        <v>MASCARDI</v>
      </c>
      <c r="S133" s="45"/>
      <c r="T133" s="45"/>
      <c r="U133" s="45"/>
      <c r="V133" s="45"/>
      <c r="W133" s="45"/>
      <c r="X133" s="45"/>
      <c r="Y133" s="45" t="str">
        <f>IFERROR(__xludf.DUMMYFUNCTION("""COMPUTED_VALUE"""),"CEMIC 409 120918-001")</f>
        <v>CEMIC 409 120918-001</v>
      </c>
      <c r="Z133" s="7" t="str">
        <f>IFERROR(__xludf.DUMMYFUNCTION("""COMPUTED_VALUE"""),"Si")</f>
        <v>Si</v>
      </c>
      <c r="AA133" s="7" t="str">
        <f>IFERROR(__xludf.DUMMYFUNCTION("""COMPUTED_VALUE"""),"Acepto")</f>
        <v>Acepto</v>
      </c>
      <c r="AB133" s="7" t="str">
        <f>IFERROR(__xludf.DUMMYFUNCTION("""COMPUTED_VALUE"""),"Pendiente")</f>
        <v>Pendiente</v>
      </c>
      <c r="AC133" s="7"/>
      <c r="AD133" s="7"/>
      <c r="AE133" s="7"/>
      <c r="AF133" s="7" t="str">
        <f>IFERROR(__xludf.DUMMYFUNCTION("""COMPUTED_VALUE"""),"SI")</f>
        <v>SI</v>
      </c>
      <c r="AG133" s="45"/>
    </row>
    <row r="134">
      <c r="B134" s="42">
        <f>IFERROR(__xludf.DUMMYFUNCTION("""COMPUTED_VALUE"""),45547.54134505787)</f>
        <v>45547.54135</v>
      </c>
      <c r="C134" s="43" t="str">
        <f>IFERROR(__xludf.DUMMYFUNCTION("""COMPUTED_VALUE"""),"Maite")</f>
        <v>Maite</v>
      </c>
      <c r="D134" s="43" t="str">
        <f>IFERROR(__xludf.DUMMYFUNCTION("""COMPUTED_VALUE"""),"Arrechea Cavallo")</f>
        <v>Arrechea Cavallo</v>
      </c>
      <c r="E134" s="43" t="str">
        <f>IFERROR(__xludf.DUMMYFUNCTION("""COMPUTED_VALUE"""),"Martinez")</f>
        <v>Martinez</v>
      </c>
      <c r="F134" s="7" t="str">
        <f>IFERROR(__xludf.DUMMYFUNCTION("""COMPUTED_VALUE"""),"ARG")</f>
        <v>ARG</v>
      </c>
      <c r="G134" s="7">
        <f>IFERROR(__xludf.DUMMYFUNCTION("""COMPUTED_VALUE"""),4.9764015E7)</f>
        <v>49764015</v>
      </c>
      <c r="H134" s="44">
        <f>IFERROR(__xludf.DUMMYFUNCTION("""COMPUTED_VALUE"""),40037.0)</f>
        <v>40037</v>
      </c>
      <c r="I134" s="45">
        <f>IFERROR(__xludf.DUMMYFUNCTION("""COMPUTED_VALUE"""),1.163766785E9)</f>
        <v>1163766785</v>
      </c>
      <c r="J134" s="45">
        <f>IFERROR(__xludf.DUMMYFUNCTION("""COMPUTED_VALUE"""),1.163766785E9)</f>
        <v>1163766785</v>
      </c>
      <c r="K134" s="45" t="str">
        <f>IFERROR(__xludf.DUMMYFUNCTION("""COMPUTED_VALUE"""),"crusticavallo@gmail.com")</f>
        <v>crusticavallo@gmail.com</v>
      </c>
      <c r="L134" s="45" t="str">
        <f>IFERROR(__xludf.DUMMYFUNCTION("""COMPUTED_VALUE"""),"Femenino")</f>
        <v>Femenino</v>
      </c>
      <c r="M134" s="45" t="str">
        <f>IFERROR(__xludf.DUMMYFUNCTION("""COMPUTED_VALUE"""),"CNSE")</f>
        <v>CNSE</v>
      </c>
      <c r="N134" s="45" t="str">
        <f>IFERROR(__xludf.DUMMYFUNCTION("""COMPUTED_VALUE"""),"Femenino")</f>
        <v>Femenino</v>
      </c>
      <c r="O134" s="45" t="str">
        <f>IFERROR(__xludf.DUMMYFUNCTION("""COMPUTED_VALUE"""),"OPTIMIST PRINCIPIANTES")</f>
        <v>OPTIMIST PRINCIPIANTES</v>
      </c>
      <c r="P134" s="45"/>
      <c r="Q134" s="45">
        <f>IFERROR(__xludf.DUMMYFUNCTION("""COMPUTED_VALUE"""),3550.0)</f>
        <v>3550</v>
      </c>
      <c r="R134" s="45" t="str">
        <f>IFERROR(__xludf.DUMMYFUNCTION("""COMPUTED_VALUE"""),"Tefiti")</f>
        <v>Tefiti</v>
      </c>
      <c r="S134" s="45"/>
      <c r="T134" s="45"/>
      <c r="U134" s="45"/>
      <c r="V134" s="45"/>
      <c r="W134" s="45"/>
      <c r="X134" s="45"/>
      <c r="Y134" s="45" t="str">
        <f>IFERROR(__xludf.DUMMYFUNCTION("""COMPUTED_VALUE"""),"OSDE")</f>
        <v>OSDE</v>
      </c>
      <c r="Z134" s="7" t="str">
        <f>IFERROR(__xludf.DUMMYFUNCTION("""COMPUTED_VALUE"""),"Si")</f>
        <v>Si</v>
      </c>
      <c r="AA134" s="7" t="str">
        <f>IFERROR(__xludf.DUMMYFUNCTION("""COMPUTED_VALUE"""),"Acepto")</f>
        <v>Acepto</v>
      </c>
      <c r="AB134" s="7" t="str">
        <f>IFERROR(__xludf.DUMMYFUNCTION("""COMPUTED_VALUE"""),"Pendiente")</f>
        <v>Pendiente</v>
      </c>
      <c r="AC134" s="7"/>
      <c r="AD134" s="7"/>
      <c r="AE134" s="7"/>
      <c r="AF134" s="7" t="str">
        <f>IFERROR(__xludf.DUMMYFUNCTION("""COMPUTED_VALUE"""),"OK")</f>
        <v>OK</v>
      </c>
      <c r="AG134" s="45"/>
    </row>
    <row r="135">
      <c r="B135" s="42">
        <f>IFERROR(__xludf.DUMMYFUNCTION("""COMPUTED_VALUE"""),45547.54342965278)</f>
        <v>45547.54343</v>
      </c>
      <c r="C135" s="7" t="str">
        <f>IFERROR(__xludf.DUMMYFUNCTION("""COMPUTED_VALUE"""),"Patricio")</f>
        <v>Patricio</v>
      </c>
      <c r="D135" s="7" t="str">
        <f>IFERROR(__xludf.DUMMYFUNCTION("""COMPUTED_VALUE"""),"Campo")</f>
        <v>Campo</v>
      </c>
      <c r="E135" s="7" t="str">
        <f>IFERROR(__xludf.DUMMYFUNCTION("""COMPUTED_VALUE"""),"San Isidro")</f>
        <v>San Isidro</v>
      </c>
      <c r="F135" s="7" t="str">
        <f>IFERROR(__xludf.DUMMYFUNCTION("""COMPUTED_VALUE"""),"ARG")</f>
        <v>ARG</v>
      </c>
      <c r="G135" s="7">
        <f>IFERROR(__xludf.DUMMYFUNCTION("""COMPUTED_VALUE"""),5.3468717E7)</f>
        <v>53468717</v>
      </c>
      <c r="H135" s="44">
        <f>IFERROR(__xludf.DUMMYFUNCTION("""COMPUTED_VALUE"""),41515.0)</f>
        <v>41515</v>
      </c>
      <c r="I135" s="45">
        <f>IFERROR(__xludf.DUMMYFUNCTION("""COMPUTED_VALUE"""),1.158550121E9)</f>
        <v>1158550121</v>
      </c>
      <c r="J135" s="45" t="str">
        <f>IFERROR(__xludf.DUMMYFUNCTION("""COMPUTED_VALUE"""),"01158550121")</f>
        <v>01158550121</v>
      </c>
      <c r="K135" s="45" t="str">
        <f>IFERROR(__xludf.DUMMYFUNCTION("""COMPUTED_VALUE"""),"patodc@hotmail.com")</f>
        <v>patodc@hotmail.com</v>
      </c>
      <c r="L135" s="45" t="str">
        <f>IFERROR(__xludf.DUMMYFUNCTION("""COMPUTED_VALUE"""),"Masculino")</f>
        <v>Masculino</v>
      </c>
      <c r="M135" s="45" t="str">
        <f>IFERROR(__xludf.DUMMYFUNCTION("""COMPUTED_VALUE"""),"CNSI")</f>
        <v>CNSI</v>
      </c>
      <c r="N135" s="45" t="str">
        <f>IFERROR(__xludf.DUMMYFUNCTION("""COMPUTED_VALUE"""),"OPTIMIST PRINCIPIANTES")</f>
        <v>OPTIMIST PRINCIPIANTES</v>
      </c>
      <c r="O135" s="45" t="str">
        <f>IFERROR(__xludf.DUMMYFUNCTION("""COMPUTED_VALUE"""),"OPTIMIST PRINCIPIANTES")</f>
        <v>OPTIMIST PRINCIPIANTES</v>
      </c>
      <c r="P135" s="45"/>
      <c r="Q135" s="45" t="str">
        <f>IFERROR(__xludf.DUMMYFUNCTION("""COMPUTED_VALUE"""),"ARG4061")</f>
        <v>ARG4061</v>
      </c>
      <c r="R135" s="45" t="str">
        <f>IFERROR(__xludf.DUMMYFUNCTION("""COMPUTED_VALUE"""),"Tranqui super turbo")</f>
        <v>Tranqui super turbo</v>
      </c>
      <c r="S135" s="45"/>
      <c r="T135" s="45"/>
      <c r="U135" s="45"/>
      <c r="V135" s="45"/>
      <c r="W135" s="45"/>
      <c r="X135" s="45"/>
      <c r="Y135" s="45" t="str">
        <f>IFERROR(__xludf.DUMMYFUNCTION("""COMPUTED_VALUE"""),"OMINT")</f>
        <v>OMINT</v>
      </c>
      <c r="Z135" s="7" t="str">
        <f>IFERROR(__xludf.DUMMYFUNCTION("""COMPUTED_VALUE"""),"Si")</f>
        <v>Si</v>
      </c>
      <c r="AA135" s="7" t="str">
        <f>IFERROR(__xludf.DUMMYFUNCTION("""COMPUTED_VALUE"""),"Acepto")</f>
        <v>Acepto</v>
      </c>
      <c r="AB135" s="7" t="str">
        <f>IFERROR(__xludf.DUMMYFUNCTION("""COMPUTED_VALUE"""),"Pendiente")</f>
        <v>Pendiente</v>
      </c>
      <c r="AC135" s="7"/>
      <c r="AD135" s="7"/>
      <c r="AE135" s="7"/>
      <c r="AF135" s="7" t="str">
        <f>IFERROR(__xludf.DUMMYFUNCTION("""COMPUTED_VALUE"""),"OK")</f>
        <v>OK</v>
      </c>
      <c r="AG135" s="45"/>
    </row>
    <row r="136">
      <c r="B136" s="42">
        <f>IFERROR(__xludf.DUMMYFUNCTION("""COMPUTED_VALUE"""),45547.612218009264)</f>
        <v>45547.61222</v>
      </c>
      <c r="C136" s="7" t="str">
        <f>IFERROR(__xludf.DUMMYFUNCTION("""COMPUTED_VALUE"""),"Josefina")</f>
        <v>Josefina</v>
      </c>
      <c r="D136" s="7" t="str">
        <f>IFERROR(__xludf.DUMMYFUNCTION("""COMPUTED_VALUE"""),"Elizondo")</f>
        <v>Elizondo</v>
      </c>
      <c r="E136" s="7" t="str">
        <f>IFERROR(__xludf.DUMMYFUNCTION("""COMPUTED_VALUE"""),"Ciudad de Buenos Aires ")</f>
        <v>Ciudad de Buenos Aires </v>
      </c>
      <c r="F136" s="7" t="str">
        <f>IFERROR(__xludf.DUMMYFUNCTION("""COMPUTED_VALUE"""),"ARG")</f>
        <v>ARG</v>
      </c>
      <c r="G136" s="7">
        <f>IFERROR(__xludf.DUMMYFUNCTION("""COMPUTED_VALUE"""),5.2095733E7)</f>
        <v>52095733</v>
      </c>
      <c r="H136" s="44">
        <f>IFERROR(__xludf.DUMMYFUNCTION("""COMPUTED_VALUE"""),40936.0)</f>
        <v>40936</v>
      </c>
      <c r="I136" s="45">
        <f>IFERROR(__xludf.DUMMYFUNCTION("""COMPUTED_VALUE"""),1.167952429E9)</f>
        <v>1167952429</v>
      </c>
      <c r="J136" s="45">
        <f>IFERROR(__xludf.DUMMYFUNCTION("""COMPUTED_VALUE"""),1.167952429E9)</f>
        <v>1167952429</v>
      </c>
      <c r="K136" s="45" t="str">
        <f>IFERROR(__xludf.DUMMYFUNCTION("""COMPUTED_VALUE"""),"Jarraelizondo@gmail.com")</f>
        <v>Jarraelizondo@gmail.com</v>
      </c>
      <c r="L136" s="45" t="str">
        <f>IFERROR(__xludf.DUMMYFUNCTION("""COMPUTED_VALUE"""),"Femenino")</f>
        <v>Femenino</v>
      </c>
      <c r="M136" s="45" t="str">
        <f>IFERROR(__xludf.DUMMYFUNCTION("""COMPUTED_VALUE"""),"CUBA")</f>
        <v>CUBA</v>
      </c>
      <c r="N136" s="45" t="str">
        <f>IFERROR(__xludf.DUMMYFUNCTION("""COMPUTED_VALUE"""),"Interior (Optimist)")</f>
        <v>Interior (Optimist)</v>
      </c>
      <c r="O136" s="45" t="str">
        <f>IFERROR(__xludf.DUMMYFUNCTION("""COMPUTED_VALUE"""),"OPTIMIST PRINCIPIANTES")</f>
        <v>OPTIMIST PRINCIPIANTES</v>
      </c>
      <c r="P136" s="45"/>
      <c r="Q136" s="45">
        <f>IFERROR(__xludf.DUMMYFUNCTION("""COMPUTED_VALUE"""),3869.0)</f>
        <v>3869</v>
      </c>
      <c r="R136" s="45" t="str">
        <f>IFERROR(__xludf.DUMMYFUNCTION("""COMPUTED_VALUE"""),"Hagrid")</f>
        <v>Hagrid</v>
      </c>
      <c r="S136" s="45"/>
      <c r="T136" s="45"/>
      <c r="U136" s="45"/>
      <c r="V136" s="45"/>
      <c r="W136" s="45"/>
      <c r="X136" s="45"/>
      <c r="Y136" s="45"/>
      <c r="Z136" s="7" t="str">
        <f>IFERROR(__xludf.DUMMYFUNCTION("""COMPUTED_VALUE"""),"Si")</f>
        <v>Si</v>
      </c>
      <c r="AA136" s="7" t="str">
        <f>IFERROR(__xludf.DUMMYFUNCTION("""COMPUTED_VALUE"""),"Acepto")</f>
        <v>Acepto</v>
      </c>
      <c r="AB136" s="7" t="str">
        <f>IFERROR(__xludf.DUMMYFUNCTION("""COMPUTED_VALUE"""),"Pendiente")</f>
        <v>Pendiente</v>
      </c>
      <c r="AC136" s="7"/>
      <c r="AD136" s="7"/>
      <c r="AE136" s="7"/>
      <c r="AF136" s="7" t="str">
        <f>IFERROR(__xludf.DUMMYFUNCTION("""COMPUTED_VALUE"""),"Pendiente")</f>
        <v>Pendiente</v>
      </c>
      <c r="AG136" s="45"/>
    </row>
    <row r="137">
      <c r="C137" s="7"/>
      <c r="D137" s="7"/>
      <c r="E137" s="7"/>
      <c r="F137" s="7"/>
      <c r="G137" s="7"/>
      <c r="Z137" s="7"/>
      <c r="AA137" s="7"/>
      <c r="AB137" s="7"/>
      <c r="AC137" s="7"/>
      <c r="AD137" s="7"/>
      <c r="AE137" s="7"/>
      <c r="AF137" s="7"/>
    </row>
    <row r="138">
      <c r="C138" s="7"/>
      <c r="D138" s="7"/>
      <c r="E138" s="7"/>
      <c r="F138" s="7"/>
      <c r="G138" s="7"/>
      <c r="Z138" s="7"/>
      <c r="AA138" s="7"/>
      <c r="AB138" s="7"/>
      <c r="AC138" s="7"/>
      <c r="AD138" s="7"/>
      <c r="AE138" s="7"/>
      <c r="AF138" s="7"/>
    </row>
    <row r="139">
      <c r="C139" s="7"/>
      <c r="D139" s="7"/>
      <c r="E139" s="7"/>
      <c r="F139" s="7"/>
      <c r="G139" s="7"/>
      <c r="AB139" s="7"/>
      <c r="AC139" s="7"/>
      <c r="AD139" s="7"/>
      <c r="AF139" s="7"/>
    </row>
    <row r="140">
      <c r="C140" s="7"/>
      <c r="D140" s="7"/>
      <c r="E140" s="7"/>
      <c r="F140" s="7"/>
      <c r="G140" s="7"/>
      <c r="AB140" s="7"/>
      <c r="AC140" s="7"/>
      <c r="AD140" s="7"/>
      <c r="AF140" s="7"/>
    </row>
    <row r="141">
      <c r="C141" s="7"/>
      <c r="D141" s="7"/>
      <c r="E141" s="7"/>
      <c r="F141" s="7"/>
      <c r="G141" s="7"/>
      <c r="AB141" s="7"/>
      <c r="AC141" s="7"/>
      <c r="AD141" s="7"/>
      <c r="AF141" s="7"/>
    </row>
    <row r="142">
      <c r="C142" s="7"/>
      <c r="D142" s="7"/>
      <c r="E142" s="7"/>
      <c r="F142" s="7"/>
      <c r="G142" s="7"/>
      <c r="AB142" s="7"/>
      <c r="AC142" s="7"/>
      <c r="AD142" s="7"/>
      <c r="AF142" s="7"/>
    </row>
    <row r="143">
      <c r="C143" s="7"/>
      <c r="D143" s="7"/>
      <c r="E143" s="7"/>
      <c r="F143" s="7"/>
      <c r="G143" s="7"/>
      <c r="AB143" s="7"/>
      <c r="AC143" s="7"/>
      <c r="AD143" s="7"/>
      <c r="AF143" s="7"/>
    </row>
    <row r="144">
      <c r="C144" s="7"/>
      <c r="D144" s="7"/>
      <c r="E144" s="7"/>
      <c r="F144" s="7"/>
      <c r="G144" s="7"/>
      <c r="AB144" s="7"/>
      <c r="AC144" s="7"/>
      <c r="AD144" s="7"/>
      <c r="AF144" s="7"/>
    </row>
    <row r="145">
      <c r="C145" s="7"/>
      <c r="D145" s="7"/>
      <c r="E145" s="7"/>
      <c r="F145" s="7"/>
      <c r="G145" s="7"/>
      <c r="AB145" s="7"/>
      <c r="AC145" s="7"/>
      <c r="AD145" s="7"/>
      <c r="AF145" s="7"/>
    </row>
    <row r="146">
      <c r="C146" s="7"/>
      <c r="D146" s="7"/>
      <c r="E146" s="7"/>
      <c r="F146" s="7"/>
      <c r="G146" s="7"/>
      <c r="AB146" s="7"/>
      <c r="AC146" s="7"/>
      <c r="AD146" s="7"/>
      <c r="AF146" s="7"/>
    </row>
    <row r="147">
      <c r="C147" s="7"/>
      <c r="D147" s="7"/>
      <c r="E147" s="7"/>
      <c r="F147" s="7"/>
      <c r="G147" s="7"/>
      <c r="AB147" s="7"/>
      <c r="AC147" s="7"/>
      <c r="AD147" s="7"/>
      <c r="AF147" s="7"/>
    </row>
    <row r="148">
      <c r="C148" s="7"/>
      <c r="D148" s="7"/>
      <c r="E148" s="7"/>
      <c r="F148" s="7"/>
      <c r="G148" s="7"/>
      <c r="AB148" s="7"/>
      <c r="AC148" s="7"/>
      <c r="AD148" s="7"/>
      <c r="AF148" s="7"/>
    </row>
    <row r="149">
      <c r="C149" s="7"/>
      <c r="D149" s="7"/>
      <c r="E149" s="7"/>
      <c r="F149" s="7"/>
      <c r="G149" s="7"/>
      <c r="AB149" s="7"/>
      <c r="AC149" s="7"/>
      <c r="AD149" s="7"/>
      <c r="AF149" s="7"/>
    </row>
    <row r="150">
      <c r="C150" s="7"/>
      <c r="D150" s="7"/>
      <c r="E150" s="7"/>
      <c r="F150" s="7"/>
      <c r="G150" s="7"/>
      <c r="AB150" s="7"/>
      <c r="AC150" s="7"/>
      <c r="AD150" s="7"/>
      <c r="AF150" s="7"/>
    </row>
    <row r="151">
      <c r="C151" s="7"/>
      <c r="D151" s="7"/>
      <c r="E151" s="7"/>
      <c r="F151" s="7"/>
      <c r="G151" s="7"/>
      <c r="AB151" s="7"/>
      <c r="AC151" s="7"/>
      <c r="AD151" s="7"/>
      <c r="AF151" s="7"/>
    </row>
    <row r="152">
      <c r="C152" s="7"/>
      <c r="D152" s="7"/>
      <c r="E152" s="7"/>
      <c r="F152" s="7"/>
      <c r="G152" s="7"/>
      <c r="AB152" s="7"/>
      <c r="AC152" s="7"/>
      <c r="AD152" s="7"/>
      <c r="AF152" s="7"/>
    </row>
    <row r="153">
      <c r="C153" s="7"/>
      <c r="D153" s="7"/>
      <c r="E153" s="7"/>
      <c r="F153" s="7"/>
      <c r="G153" s="7"/>
      <c r="AB153" s="7"/>
      <c r="AC153" s="7"/>
      <c r="AD153" s="7"/>
      <c r="AF153" s="7"/>
    </row>
    <row r="154">
      <c r="C154" s="7"/>
      <c r="D154" s="7"/>
      <c r="E154" s="7"/>
      <c r="F154" s="7"/>
      <c r="G154" s="7"/>
      <c r="AB154" s="7"/>
      <c r="AC154" s="7"/>
      <c r="AD154" s="7"/>
      <c r="AF154" s="7"/>
    </row>
    <row r="155">
      <c r="C155" s="7"/>
      <c r="D155" s="7"/>
      <c r="E155" s="7"/>
      <c r="F155" s="7"/>
      <c r="G155" s="7"/>
      <c r="AB155" s="7"/>
      <c r="AC155" s="7"/>
      <c r="AD155" s="7"/>
      <c r="AF155" s="7"/>
    </row>
    <row r="156">
      <c r="C156" s="7"/>
      <c r="D156" s="7"/>
      <c r="E156" s="7"/>
      <c r="F156" s="7"/>
      <c r="G156" s="7"/>
      <c r="AB156" s="7"/>
      <c r="AC156" s="7"/>
      <c r="AD156" s="7"/>
      <c r="AF156" s="7"/>
    </row>
    <row r="157">
      <c r="C157" s="7"/>
      <c r="D157" s="7"/>
      <c r="E157" s="7"/>
      <c r="F157" s="7"/>
      <c r="G157" s="7"/>
      <c r="AB157" s="7"/>
      <c r="AC157" s="7"/>
      <c r="AD157" s="7"/>
      <c r="AF157" s="7"/>
    </row>
    <row r="158">
      <c r="C158" s="7"/>
      <c r="D158" s="7"/>
      <c r="E158" s="7"/>
      <c r="F158" s="7"/>
      <c r="G158" s="7"/>
      <c r="AB158" s="7"/>
      <c r="AC158" s="7"/>
      <c r="AD158" s="7"/>
      <c r="AF158" s="7"/>
    </row>
    <row r="159">
      <c r="C159" s="7"/>
      <c r="D159" s="7"/>
      <c r="E159" s="7"/>
      <c r="F159" s="7"/>
      <c r="G159" s="7"/>
      <c r="AB159" s="7"/>
      <c r="AC159" s="7"/>
      <c r="AD159" s="7"/>
      <c r="AF159" s="7"/>
    </row>
    <row r="160">
      <c r="C160" s="7"/>
      <c r="D160" s="7"/>
      <c r="E160" s="7"/>
      <c r="F160" s="7"/>
      <c r="G160" s="7"/>
      <c r="AB160" s="7"/>
      <c r="AC160" s="7"/>
      <c r="AD160" s="7"/>
      <c r="AF160" s="7"/>
    </row>
    <row r="161">
      <c r="C161" s="7"/>
      <c r="D161" s="7"/>
      <c r="E161" s="7"/>
      <c r="F161" s="7"/>
      <c r="G161" s="7"/>
      <c r="AB161" s="7"/>
      <c r="AC161" s="7"/>
      <c r="AD161" s="7"/>
      <c r="AF161" s="7"/>
    </row>
    <row r="162">
      <c r="C162" s="7"/>
      <c r="D162" s="7"/>
      <c r="E162" s="7"/>
      <c r="F162" s="7"/>
      <c r="G162" s="7"/>
      <c r="AB162" s="7"/>
      <c r="AC162" s="7"/>
      <c r="AD162" s="7"/>
      <c r="AF162" s="7"/>
    </row>
    <row r="163">
      <c r="C163" s="7"/>
      <c r="D163" s="7"/>
      <c r="E163" s="7"/>
      <c r="F163" s="7"/>
      <c r="G163" s="7"/>
      <c r="AB163" s="7"/>
      <c r="AC163" s="7"/>
      <c r="AD163" s="7"/>
      <c r="AF163" s="7"/>
    </row>
    <row r="164">
      <c r="C164" s="7"/>
      <c r="D164" s="7"/>
      <c r="E164" s="7"/>
      <c r="F164" s="7"/>
      <c r="G164" s="7"/>
      <c r="AB164" s="7"/>
      <c r="AC164" s="7"/>
      <c r="AD164" s="7"/>
      <c r="AF164" s="7"/>
    </row>
    <row r="165">
      <c r="C165" s="7"/>
      <c r="D165" s="7"/>
      <c r="E165" s="7"/>
      <c r="F165" s="7"/>
      <c r="G165" s="7"/>
      <c r="AB165" s="7"/>
      <c r="AC165" s="7"/>
      <c r="AD165" s="7"/>
      <c r="AF165" s="7"/>
    </row>
    <row r="166">
      <c r="C166" s="7"/>
      <c r="D166" s="7"/>
      <c r="E166" s="7"/>
      <c r="F166" s="7"/>
      <c r="G166" s="7"/>
      <c r="AB166" s="7"/>
      <c r="AC166" s="7"/>
      <c r="AD166" s="7"/>
      <c r="AF166" s="7"/>
    </row>
    <row r="167">
      <c r="C167" s="7"/>
      <c r="D167" s="7"/>
      <c r="E167" s="7"/>
      <c r="F167" s="7"/>
      <c r="G167" s="7"/>
      <c r="AB167" s="7"/>
      <c r="AC167" s="7"/>
      <c r="AD167" s="7"/>
      <c r="AF167" s="7"/>
    </row>
    <row r="168">
      <c r="C168" s="7"/>
      <c r="D168" s="7"/>
      <c r="E168" s="7"/>
      <c r="F168" s="7"/>
      <c r="G168" s="7"/>
      <c r="AB168" s="7"/>
      <c r="AC168" s="7"/>
      <c r="AD168" s="7"/>
      <c r="AF168" s="7"/>
    </row>
    <row r="169">
      <c r="C169" s="7"/>
      <c r="D169" s="7"/>
      <c r="E169" s="7"/>
      <c r="F169" s="7"/>
      <c r="G169" s="7"/>
      <c r="AB169" s="7"/>
      <c r="AC169" s="7"/>
      <c r="AD169" s="7"/>
      <c r="AF169" s="7"/>
    </row>
    <row r="170">
      <c r="C170" s="7"/>
      <c r="D170" s="7"/>
      <c r="E170" s="7"/>
      <c r="F170" s="7"/>
      <c r="G170" s="7"/>
      <c r="AB170" s="7"/>
      <c r="AC170" s="7"/>
      <c r="AD170" s="7"/>
      <c r="AF170" s="7"/>
    </row>
    <row r="171">
      <c r="C171" s="7"/>
      <c r="D171" s="7"/>
      <c r="E171" s="7"/>
      <c r="F171" s="7"/>
      <c r="G171" s="7"/>
      <c r="AB171" s="7"/>
      <c r="AC171" s="7"/>
      <c r="AD171" s="7"/>
      <c r="AF171" s="7"/>
    </row>
    <row r="172">
      <c r="C172" s="7"/>
      <c r="D172" s="7"/>
      <c r="E172" s="7"/>
      <c r="F172" s="7"/>
      <c r="G172" s="7"/>
      <c r="AB172" s="7"/>
      <c r="AC172" s="7"/>
      <c r="AD172" s="7"/>
      <c r="AF172" s="7"/>
    </row>
    <row r="173">
      <c r="C173" s="7"/>
      <c r="D173" s="7"/>
      <c r="E173" s="7"/>
      <c r="F173" s="7"/>
      <c r="G173" s="7"/>
      <c r="AB173" s="7"/>
      <c r="AC173" s="7"/>
      <c r="AD173" s="7"/>
      <c r="AF173" s="7"/>
    </row>
    <row r="174">
      <c r="C174" s="7"/>
      <c r="D174" s="7"/>
      <c r="E174" s="7"/>
      <c r="F174" s="7"/>
      <c r="G174" s="7"/>
      <c r="AB174" s="7"/>
      <c r="AC174" s="7"/>
      <c r="AD174" s="7"/>
      <c r="AF174" s="7"/>
    </row>
    <row r="175">
      <c r="C175" s="7"/>
      <c r="D175" s="7"/>
      <c r="E175" s="7"/>
      <c r="F175" s="7"/>
      <c r="G175" s="7"/>
      <c r="AB175" s="7"/>
      <c r="AC175" s="7"/>
      <c r="AD175" s="7"/>
      <c r="AF175" s="7"/>
    </row>
    <row r="176">
      <c r="C176" s="7"/>
      <c r="D176" s="7"/>
      <c r="E176" s="7"/>
      <c r="F176" s="7"/>
      <c r="G176" s="7"/>
      <c r="AB176" s="7"/>
      <c r="AC176" s="7"/>
      <c r="AD176" s="7"/>
      <c r="AF176" s="7"/>
    </row>
    <row r="177">
      <c r="C177" s="7"/>
      <c r="D177" s="7"/>
      <c r="E177" s="7"/>
      <c r="F177" s="7"/>
      <c r="G177" s="7"/>
      <c r="AB177" s="7"/>
      <c r="AC177" s="7"/>
      <c r="AD177" s="7"/>
      <c r="AF177" s="7"/>
    </row>
    <row r="178">
      <c r="C178" s="7"/>
      <c r="D178" s="7"/>
      <c r="E178" s="7"/>
      <c r="F178" s="7"/>
      <c r="G178" s="7"/>
      <c r="AB178" s="7"/>
      <c r="AC178" s="7"/>
      <c r="AD178" s="7"/>
      <c r="AF178" s="7"/>
    </row>
    <row r="179">
      <c r="C179" s="7"/>
      <c r="D179" s="7"/>
      <c r="E179" s="7"/>
      <c r="F179" s="7"/>
      <c r="G179" s="7"/>
      <c r="AB179" s="7"/>
      <c r="AC179" s="7"/>
      <c r="AD179" s="7"/>
      <c r="AF179" s="7"/>
    </row>
    <row r="180">
      <c r="C180" s="7"/>
      <c r="D180" s="7"/>
      <c r="E180" s="7"/>
      <c r="F180" s="7"/>
      <c r="G180" s="7"/>
      <c r="AB180" s="7"/>
      <c r="AC180" s="7"/>
      <c r="AD180" s="7"/>
      <c r="AF180" s="7"/>
    </row>
    <row r="181">
      <c r="C181" s="7"/>
      <c r="D181" s="7"/>
      <c r="E181" s="7"/>
      <c r="F181" s="7"/>
      <c r="G181" s="7"/>
      <c r="AB181" s="7"/>
      <c r="AC181" s="7"/>
      <c r="AD181" s="7"/>
      <c r="AF181" s="7"/>
    </row>
    <row r="182">
      <c r="C182" s="7"/>
      <c r="D182" s="7"/>
      <c r="E182" s="7"/>
      <c r="F182" s="7"/>
      <c r="G182" s="7"/>
      <c r="AB182" s="7"/>
      <c r="AC182" s="7"/>
      <c r="AD182" s="7"/>
      <c r="AF182" s="7"/>
    </row>
    <row r="183">
      <c r="C183" s="7"/>
      <c r="D183" s="7"/>
      <c r="E183" s="7"/>
      <c r="F183" s="7"/>
      <c r="G183" s="7"/>
      <c r="AB183" s="7"/>
      <c r="AC183" s="7"/>
      <c r="AD183" s="7"/>
      <c r="AF183" s="7"/>
    </row>
    <row r="184">
      <c r="C184" s="7"/>
      <c r="D184" s="7"/>
      <c r="E184" s="7"/>
      <c r="F184" s="7"/>
      <c r="G184" s="7"/>
      <c r="AB184" s="7"/>
      <c r="AC184" s="7"/>
      <c r="AD184" s="7"/>
      <c r="AF184" s="7"/>
    </row>
    <row r="185">
      <c r="C185" s="7"/>
      <c r="D185" s="7"/>
      <c r="E185" s="7"/>
      <c r="F185" s="7"/>
      <c r="G185" s="7"/>
      <c r="AB185" s="7"/>
      <c r="AC185" s="7"/>
      <c r="AD185" s="7"/>
      <c r="AF185" s="7"/>
    </row>
    <row r="186">
      <c r="C186" s="7"/>
      <c r="D186" s="7"/>
      <c r="E186" s="7"/>
      <c r="F186" s="7"/>
      <c r="G186" s="7"/>
      <c r="AB186" s="7"/>
      <c r="AC186" s="7"/>
      <c r="AD186" s="7"/>
      <c r="AF186" s="7"/>
    </row>
    <row r="187">
      <c r="C187" s="7"/>
      <c r="D187" s="7"/>
      <c r="E187" s="7"/>
      <c r="F187" s="7"/>
      <c r="G187" s="7"/>
      <c r="AB187" s="7"/>
      <c r="AC187" s="7"/>
      <c r="AD187" s="7"/>
      <c r="AF187" s="7"/>
    </row>
    <row r="188">
      <c r="C188" s="7"/>
      <c r="D188" s="7"/>
      <c r="E188" s="7"/>
      <c r="F188" s="7"/>
      <c r="G188" s="7"/>
      <c r="AB188" s="7"/>
      <c r="AC188" s="7"/>
      <c r="AD188" s="7"/>
      <c r="AF188" s="7"/>
    </row>
    <row r="189">
      <c r="C189" s="7"/>
      <c r="D189" s="7"/>
      <c r="E189" s="7"/>
      <c r="F189" s="7"/>
      <c r="G189" s="7"/>
      <c r="AB189" s="7"/>
      <c r="AC189" s="7"/>
      <c r="AD189" s="7"/>
      <c r="AF189" s="7"/>
    </row>
    <row r="190">
      <c r="C190" s="7"/>
      <c r="D190" s="7"/>
      <c r="E190" s="7"/>
      <c r="F190" s="7"/>
      <c r="G190" s="7"/>
      <c r="AB190" s="7"/>
      <c r="AC190" s="7"/>
      <c r="AD190" s="7"/>
      <c r="AF190" s="7"/>
    </row>
    <row r="191">
      <c r="C191" s="7"/>
      <c r="D191" s="7"/>
      <c r="E191" s="7"/>
      <c r="F191" s="7"/>
      <c r="G191" s="7"/>
      <c r="AB191" s="7"/>
      <c r="AC191" s="7"/>
      <c r="AD191" s="7"/>
      <c r="AF191" s="7"/>
    </row>
    <row r="192">
      <c r="C192" s="7"/>
      <c r="D192" s="7"/>
      <c r="E192" s="7"/>
      <c r="F192" s="7"/>
      <c r="G192" s="7"/>
      <c r="AB192" s="7"/>
      <c r="AC192" s="7"/>
      <c r="AD192" s="7"/>
      <c r="AF192" s="7"/>
    </row>
    <row r="193">
      <c r="C193" s="7"/>
      <c r="D193" s="7"/>
      <c r="E193" s="7"/>
      <c r="F193" s="7"/>
      <c r="G193" s="7"/>
      <c r="AB193" s="7"/>
      <c r="AC193" s="7"/>
      <c r="AD193" s="7"/>
      <c r="AF193" s="7"/>
    </row>
    <row r="194">
      <c r="C194" s="7"/>
      <c r="D194" s="7"/>
      <c r="E194" s="7"/>
      <c r="F194" s="7"/>
      <c r="G194" s="7"/>
      <c r="AB194" s="7"/>
      <c r="AC194" s="7"/>
      <c r="AD194" s="7"/>
      <c r="AF194" s="7"/>
    </row>
    <row r="195">
      <c r="C195" s="7"/>
      <c r="D195" s="7"/>
      <c r="E195" s="7"/>
      <c r="F195" s="7"/>
      <c r="G195" s="7"/>
      <c r="AB195" s="7"/>
      <c r="AC195" s="7"/>
      <c r="AD195" s="7"/>
      <c r="AF195" s="7"/>
    </row>
    <row r="196">
      <c r="C196" s="7"/>
      <c r="D196" s="7"/>
      <c r="E196" s="7"/>
      <c r="F196" s="7"/>
      <c r="G196" s="7"/>
      <c r="AB196" s="7"/>
      <c r="AC196" s="7"/>
      <c r="AD196" s="7"/>
      <c r="AF196" s="7"/>
    </row>
    <row r="197">
      <c r="C197" s="7"/>
      <c r="D197" s="7"/>
      <c r="E197" s="7"/>
      <c r="F197" s="7"/>
      <c r="G197" s="7"/>
      <c r="AB197" s="7"/>
      <c r="AC197" s="7"/>
      <c r="AD197" s="7"/>
      <c r="AF197" s="7"/>
    </row>
    <row r="198">
      <c r="C198" s="7"/>
      <c r="D198" s="7"/>
      <c r="E198" s="7"/>
      <c r="F198" s="7"/>
      <c r="G198" s="7"/>
      <c r="AB198" s="7"/>
      <c r="AC198" s="7"/>
      <c r="AD198" s="7"/>
      <c r="AF198" s="7"/>
    </row>
    <row r="199">
      <c r="C199" s="7"/>
      <c r="D199" s="7"/>
      <c r="E199" s="7"/>
      <c r="F199" s="7"/>
      <c r="G199" s="7"/>
      <c r="AB199" s="7"/>
      <c r="AC199" s="7"/>
      <c r="AD199" s="7"/>
      <c r="AF199" s="7"/>
    </row>
    <row r="200">
      <c r="C200" s="7"/>
      <c r="D200" s="7"/>
      <c r="E200" s="7"/>
      <c r="F200" s="7"/>
      <c r="G200" s="7"/>
      <c r="AB200" s="7"/>
      <c r="AC200" s="7"/>
      <c r="AD200" s="7"/>
      <c r="AF200" s="7"/>
    </row>
    <row r="201">
      <c r="C201" s="7"/>
      <c r="D201" s="7"/>
      <c r="E201" s="7"/>
      <c r="F201" s="7"/>
      <c r="G201" s="7"/>
      <c r="AB201" s="7"/>
      <c r="AC201" s="7"/>
      <c r="AD201" s="7"/>
      <c r="AF201" s="7"/>
    </row>
    <row r="202">
      <c r="C202" s="7"/>
      <c r="D202" s="7"/>
      <c r="E202" s="7"/>
      <c r="F202" s="7"/>
      <c r="G202" s="7"/>
      <c r="AB202" s="7"/>
      <c r="AC202" s="7"/>
      <c r="AD202" s="7"/>
      <c r="AF202" s="7"/>
    </row>
    <row r="203">
      <c r="C203" s="7"/>
      <c r="D203" s="7"/>
      <c r="E203" s="7"/>
      <c r="F203" s="7"/>
      <c r="G203" s="7"/>
      <c r="AB203" s="7"/>
      <c r="AC203" s="7"/>
      <c r="AD203" s="7"/>
      <c r="AF203" s="7"/>
    </row>
    <row r="204">
      <c r="C204" s="7"/>
      <c r="D204" s="7"/>
      <c r="E204" s="7"/>
      <c r="F204" s="7"/>
      <c r="G204" s="7"/>
      <c r="AB204" s="7"/>
      <c r="AC204" s="7"/>
      <c r="AD204" s="7"/>
      <c r="AF204" s="7"/>
    </row>
    <row r="205">
      <c r="C205" s="7"/>
      <c r="D205" s="7"/>
      <c r="E205" s="7"/>
      <c r="F205" s="7"/>
      <c r="G205" s="7"/>
      <c r="AB205" s="7"/>
      <c r="AC205" s="7"/>
      <c r="AD205" s="7"/>
      <c r="AF205" s="7"/>
    </row>
    <row r="206">
      <c r="C206" s="7"/>
      <c r="D206" s="7"/>
      <c r="E206" s="7"/>
      <c r="F206" s="7"/>
      <c r="G206" s="7"/>
      <c r="AB206" s="7"/>
      <c r="AC206" s="7"/>
      <c r="AD206" s="7"/>
      <c r="AF206" s="7"/>
    </row>
    <row r="207">
      <c r="C207" s="7"/>
      <c r="D207" s="7"/>
      <c r="E207" s="7"/>
      <c r="F207" s="7"/>
      <c r="G207" s="7"/>
      <c r="AB207" s="7"/>
      <c r="AC207" s="7"/>
      <c r="AD207" s="7"/>
      <c r="AF207" s="7"/>
    </row>
    <row r="208">
      <c r="C208" s="7"/>
      <c r="D208" s="7"/>
      <c r="E208" s="7"/>
      <c r="F208" s="7"/>
      <c r="G208" s="7"/>
      <c r="AB208" s="7"/>
      <c r="AC208" s="7"/>
      <c r="AD208" s="7"/>
      <c r="AF208" s="7"/>
    </row>
    <row r="209">
      <c r="C209" s="7"/>
      <c r="D209" s="7"/>
      <c r="E209" s="7"/>
      <c r="F209" s="7"/>
      <c r="G209" s="7"/>
      <c r="AB209" s="7"/>
      <c r="AC209" s="7"/>
      <c r="AD209" s="7"/>
      <c r="AF209" s="7"/>
    </row>
    <row r="210">
      <c r="C210" s="7"/>
      <c r="D210" s="7"/>
      <c r="E210" s="7"/>
      <c r="F210" s="7"/>
      <c r="G210" s="7"/>
      <c r="AB210" s="7"/>
      <c r="AC210" s="7"/>
      <c r="AD210" s="7"/>
      <c r="AF210" s="7"/>
    </row>
    <row r="211">
      <c r="C211" s="7"/>
      <c r="D211" s="7"/>
      <c r="E211" s="7"/>
      <c r="F211" s="7"/>
      <c r="G211" s="7"/>
      <c r="AB211" s="7"/>
      <c r="AC211" s="7"/>
      <c r="AD211" s="7"/>
      <c r="AF211" s="7"/>
    </row>
    <row r="212">
      <c r="C212" s="7"/>
      <c r="D212" s="7"/>
      <c r="E212" s="7"/>
      <c r="F212" s="7"/>
      <c r="G212" s="7"/>
      <c r="AB212" s="7"/>
      <c r="AC212" s="7"/>
      <c r="AD212" s="7"/>
      <c r="AF212" s="7"/>
    </row>
    <row r="213">
      <c r="C213" s="7"/>
      <c r="D213" s="7"/>
      <c r="E213" s="7"/>
      <c r="F213" s="7"/>
      <c r="G213" s="7"/>
      <c r="AB213" s="7"/>
      <c r="AC213" s="7"/>
      <c r="AD213" s="7"/>
      <c r="AF213" s="7"/>
    </row>
    <row r="214">
      <c r="C214" s="7"/>
      <c r="D214" s="7"/>
      <c r="E214" s="7"/>
      <c r="F214" s="7"/>
      <c r="G214" s="7"/>
      <c r="AB214" s="7"/>
      <c r="AC214" s="7"/>
      <c r="AD214" s="7"/>
      <c r="AF214" s="7"/>
    </row>
    <row r="215">
      <c r="C215" s="7"/>
      <c r="D215" s="7"/>
      <c r="E215" s="7"/>
      <c r="F215" s="7"/>
      <c r="G215" s="7"/>
      <c r="AB215" s="7"/>
      <c r="AC215" s="7"/>
      <c r="AD215" s="7"/>
      <c r="AF215" s="7"/>
    </row>
    <row r="216">
      <c r="C216" s="7"/>
      <c r="D216" s="7"/>
      <c r="E216" s="7"/>
      <c r="F216" s="7"/>
      <c r="G216" s="7"/>
      <c r="AB216" s="7"/>
      <c r="AC216" s="7"/>
      <c r="AD216" s="7"/>
      <c r="AF216" s="7"/>
    </row>
    <row r="217">
      <c r="C217" s="7"/>
      <c r="D217" s="7"/>
      <c r="E217" s="7"/>
      <c r="F217" s="7"/>
      <c r="G217" s="7"/>
      <c r="AB217" s="7"/>
      <c r="AC217" s="7"/>
      <c r="AD217" s="7"/>
      <c r="AF217" s="7"/>
    </row>
    <row r="218">
      <c r="C218" s="7"/>
      <c r="D218" s="7"/>
      <c r="E218" s="7"/>
      <c r="F218" s="7"/>
      <c r="G218" s="7"/>
      <c r="AB218" s="7"/>
      <c r="AC218" s="7"/>
      <c r="AD218" s="7"/>
      <c r="AF218" s="7"/>
    </row>
    <row r="219">
      <c r="D219" s="7"/>
      <c r="E219" s="7"/>
      <c r="F219" s="7"/>
      <c r="G219" s="7"/>
      <c r="AB219" s="7"/>
      <c r="AC219" s="7"/>
      <c r="AD219" s="7"/>
      <c r="AF219" s="7"/>
    </row>
    <row r="220">
      <c r="D220" s="7"/>
      <c r="E220" s="7"/>
      <c r="F220" s="7"/>
      <c r="G220" s="7"/>
      <c r="AB220" s="7"/>
      <c r="AC220" s="7"/>
      <c r="AD220" s="7"/>
      <c r="AF220" s="7"/>
    </row>
    <row r="221">
      <c r="D221" s="7"/>
      <c r="E221" s="7"/>
      <c r="F221" s="7"/>
      <c r="G221" s="7"/>
      <c r="AB221" s="7"/>
      <c r="AC221" s="7"/>
      <c r="AD221" s="7"/>
      <c r="AF221" s="7"/>
    </row>
    <row r="222">
      <c r="D222" s="7"/>
      <c r="E222" s="7"/>
      <c r="F222" s="7"/>
      <c r="G222" s="7"/>
      <c r="AB222" s="7"/>
      <c r="AC222" s="7"/>
      <c r="AD222" s="7"/>
      <c r="AF222" s="7"/>
    </row>
    <row r="223">
      <c r="D223" s="7"/>
      <c r="E223" s="7"/>
      <c r="F223" s="7"/>
      <c r="G223" s="7"/>
      <c r="AB223" s="7"/>
      <c r="AC223" s="7"/>
      <c r="AD223" s="7"/>
      <c r="AF223" s="7"/>
    </row>
    <row r="224">
      <c r="D224" s="7"/>
      <c r="E224" s="7"/>
      <c r="F224" s="7"/>
      <c r="G224" s="7"/>
      <c r="AB224" s="7"/>
      <c r="AC224" s="7"/>
      <c r="AD224" s="7"/>
      <c r="AF224" s="7"/>
    </row>
    <row r="225">
      <c r="D225" s="7"/>
      <c r="E225" s="7"/>
      <c r="F225" s="7"/>
      <c r="G225" s="7"/>
      <c r="AB225" s="7"/>
      <c r="AC225" s="7"/>
      <c r="AD225" s="7"/>
      <c r="AF225" s="7"/>
    </row>
    <row r="226">
      <c r="D226" s="7"/>
      <c r="E226" s="7"/>
      <c r="F226" s="7"/>
      <c r="G226" s="7"/>
      <c r="AB226" s="7"/>
      <c r="AC226" s="7"/>
      <c r="AD226" s="7"/>
      <c r="AF226" s="7"/>
    </row>
    <row r="227">
      <c r="D227" s="7"/>
      <c r="E227" s="7"/>
      <c r="F227" s="7"/>
      <c r="G227" s="7"/>
      <c r="AB227" s="7"/>
      <c r="AC227" s="7"/>
      <c r="AD227" s="7"/>
      <c r="AF227" s="7"/>
    </row>
    <row r="228">
      <c r="D228" s="7"/>
      <c r="E228" s="7"/>
      <c r="F228" s="7"/>
      <c r="G228" s="7"/>
      <c r="AB228" s="7"/>
      <c r="AC228" s="7"/>
      <c r="AD228" s="7"/>
      <c r="AF228" s="7"/>
    </row>
    <row r="229">
      <c r="D229" s="7"/>
      <c r="E229" s="7"/>
      <c r="F229" s="7"/>
      <c r="G229" s="7"/>
      <c r="AB229" s="7"/>
      <c r="AC229" s="7"/>
      <c r="AD229" s="7"/>
      <c r="AF229" s="7"/>
    </row>
    <row r="230">
      <c r="D230" s="7"/>
      <c r="E230" s="7"/>
      <c r="F230" s="7"/>
      <c r="G230" s="7"/>
      <c r="AB230" s="7"/>
      <c r="AC230" s="7"/>
      <c r="AD230" s="7"/>
      <c r="AF230" s="7"/>
    </row>
    <row r="231">
      <c r="D231" s="7"/>
      <c r="E231" s="7"/>
      <c r="F231" s="7"/>
      <c r="G231" s="7"/>
      <c r="AB231" s="7"/>
      <c r="AC231" s="7"/>
      <c r="AD231" s="7"/>
      <c r="AF231" s="7"/>
    </row>
    <row r="232">
      <c r="D232" s="7"/>
      <c r="E232" s="7"/>
      <c r="F232" s="7"/>
      <c r="G232" s="7"/>
      <c r="AB232" s="7"/>
      <c r="AC232" s="7"/>
      <c r="AD232" s="7"/>
      <c r="AF232" s="7"/>
    </row>
    <row r="233">
      <c r="D233" s="7"/>
      <c r="E233" s="7"/>
      <c r="F233" s="7"/>
      <c r="G233" s="7"/>
      <c r="AB233" s="7"/>
      <c r="AC233" s="7"/>
      <c r="AD233" s="7"/>
      <c r="AF233" s="7"/>
    </row>
    <row r="234">
      <c r="D234" s="7"/>
      <c r="E234" s="7"/>
      <c r="F234" s="7"/>
      <c r="G234" s="7"/>
      <c r="AB234" s="7"/>
      <c r="AC234" s="7"/>
      <c r="AD234" s="7"/>
      <c r="AF234" s="7"/>
    </row>
    <row r="235">
      <c r="D235" s="7"/>
      <c r="E235" s="7"/>
      <c r="F235" s="7"/>
      <c r="G235" s="7"/>
      <c r="AB235" s="7"/>
      <c r="AC235" s="7"/>
      <c r="AD235" s="7"/>
      <c r="AF235" s="7"/>
    </row>
    <row r="236">
      <c r="D236" s="7"/>
      <c r="E236" s="7"/>
      <c r="F236" s="7"/>
      <c r="G236" s="7"/>
      <c r="AB236" s="7"/>
      <c r="AC236" s="7"/>
      <c r="AD236" s="7"/>
      <c r="AF236" s="7"/>
    </row>
    <row r="237">
      <c r="D237" s="7"/>
      <c r="E237" s="7"/>
      <c r="F237" s="7"/>
      <c r="G237" s="7"/>
      <c r="AB237" s="7"/>
      <c r="AC237" s="7"/>
      <c r="AD237" s="7"/>
      <c r="AF237" s="7"/>
    </row>
    <row r="238">
      <c r="D238" s="7"/>
      <c r="E238" s="7"/>
      <c r="F238" s="7"/>
      <c r="G238" s="7"/>
      <c r="AB238" s="7"/>
      <c r="AC238" s="7"/>
      <c r="AD238" s="7"/>
      <c r="AF238" s="7"/>
    </row>
    <row r="239">
      <c r="D239" s="7"/>
      <c r="E239" s="7"/>
      <c r="F239" s="7"/>
      <c r="G239" s="7"/>
      <c r="AB239" s="7"/>
      <c r="AC239" s="7"/>
      <c r="AD239" s="7"/>
      <c r="AF239" s="7"/>
    </row>
    <row r="240">
      <c r="D240" s="7"/>
      <c r="E240" s="7"/>
      <c r="F240" s="7"/>
      <c r="G240" s="7"/>
      <c r="AB240" s="7"/>
      <c r="AC240" s="7"/>
      <c r="AD240" s="7"/>
      <c r="AF240" s="7"/>
    </row>
    <row r="241">
      <c r="D241" s="7"/>
      <c r="E241" s="7"/>
      <c r="F241" s="7"/>
      <c r="G241" s="7"/>
      <c r="AB241" s="7"/>
      <c r="AC241" s="7"/>
      <c r="AD241" s="7"/>
      <c r="AF241" s="7"/>
    </row>
    <row r="242">
      <c r="D242" s="7"/>
      <c r="E242" s="7"/>
      <c r="F242" s="7"/>
      <c r="G242" s="7"/>
      <c r="AB242" s="7"/>
      <c r="AC242" s="7"/>
      <c r="AD242" s="7"/>
      <c r="AF242" s="7"/>
    </row>
    <row r="243">
      <c r="D243" s="7"/>
      <c r="E243" s="7"/>
      <c r="F243" s="7"/>
      <c r="G243" s="7"/>
      <c r="AB243" s="7"/>
      <c r="AC243" s="7"/>
      <c r="AD243" s="7"/>
      <c r="AF243" s="7"/>
    </row>
    <row r="244">
      <c r="D244" s="7"/>
      <c r="E244" s="7"/>
      <c r="F244" s="7"/>
      <c r="G244" s="7"/>
      <c r="AB244" s="7"/>
      <c r="AC244" s="7"/>
      <c r="AD244" s="7"/>
      <c r="AF244" s="7"/>
    </row>
    <row r="245">
      <c r="D245" s="7"/>
      <c r="E245" s="7"/>
      <c r="F245" s="7"/>
      <c r="G245" s="7"/>
      <c r="AB245" s="7"/>
      <c r="AC245" s="7"/>
      <c r="AD245" s="7"/>
      <c r="AF245" s="7"/>
    </row>
    <row r="246">
      <c r="D246" s="7"/>
      <c r="E246" s="7"/>
      <c r="F246" s="7"/>
      <c r="G246" s="7"/>
      <c r="AB246" s="7"/>
      <c r="AC246" s="7"/>
      <c r="AD246" s="7"/>
      <c r="AF246" s="7"/>
    </row>
    <row r="247">
      <c r="D247" s="7"/>
      <c r="E247" s="7"/>
      <c r="F247" s="7"/>
      <c r="G247" s="7"/>
      <c r="AB247" s="7"/>
      <c r="AC247" s="7"/>
      <c r="AD247" s="7"/>
      <c r="AF247" s="7"/>
    </row>
    <row r="248">
      <c r="D248" s="7"/>
      <c r="E248" s="7"/>
      <c r="F248" s="7"/>
      <c r="G248" s="7"/>
      <c r="AB248" s="7"/>
      <c r="AC248" s="7"/>
      <c r="AD248" s="7"/>
      <c r="AF248" s="7"/>
    </row>
    <row r="249">
      <c r="D249" s="7"/>
      <c r="E249" s="7"/>
      <c r="F249" s="7"/>
      <c r="G249" s="7"/>
      <c r="AB249" s="7"/>
      <c r="AC249" s="7"/>
      <c r="AD249" s="7"/>
      <c r="AF249" s="7"/>
    </row>
    <row r="250">
      <c r="D250" s="7"/>
      <c r="E250" s="7"/>
      <c r="F250" s="7"/>
      <c r="G250" s="7"/>
      <c r="AB250" s="7"/>
      <c r="AC250" s="7"/>
      <c r="AD250" s="7"/>
      <c r="AF250" s="7"/>
    </row>
    <row r="251">
      <c r="D251" s="7"/>
      <c r="E251" s="7"/>
      <c r="F251" s="7"/>
      <c r="G251" s="7"/>
      <c r="AB251" s="7"/>
      <c r="AC251" s="7"/>
      <c r="AD251" s="7"/>
      <c r="AF251" s="7"/>
    </row>
    <row r="252">
      <c r="D252" s="7"/>
      <c r="E252" s="7"/>
      <c r="F252" s="7"/>
      <c r="G252" s="7"/>
      <c r="AB252" s="7"/>
      <c r="AC252" s="7"/>
      <c r="AD252" s="7"/>
      <c r="AF252" s="7"/>
    </row>
    <row r="253">
      <c r="D253" s="7"/>
      <c r="E253" s="7"/>
      <c r="F253" s="7"/>
      <c r="G253" s="7"/>
      <c r="AB253" s="7"/>
      <c r="AC253" s="7"/>
      <c r="AD253" s="7"/>
      <c r="AF253" s="7"/>
    </row>
    <row r="254">
      <c r="D254" s="7"/>
      <c r="E254" s="7"/>
      <c r="F254" s="7"/>
      <c r="G254" s="7"/>
      <c r="AB254" s="7"/>
      <c r="AC254" s="7"/>
      <c r="AD254" s="7"/>
      <c r="AF254" s="7"/>
    </row>
    <row r="255">
      <c r="D255" s="7"/>
      <c r="E255" s="7"/>
      <c r="F255" s="7"/>
      <c r="G255" s="7"/>
      <c r="AB255" s="7"/>
      <c r="AC255" s="7"/>
      <c r="AD255" s="7"/>
      <c r="AF255" s="7"/>
    </row>
    <row r="256">
      <c r="D256" s="7"/>
      <c r="E256" s="7"/>
      <c r="F256" s="7"/>
      <c r="G256" s="7"/>
      <c r="AB256" s="7"/>
      <c r="AC256" s="7"/>
      <c r="AD256" s="7"/>
      <c r="AF256" s="7"/>
    </row>
    <row r="257">
      <c r="D257" s="7"/>
      <c r="E257" s="7"/>
      <c r="F257" s="7"/>
      <c r="G257" s="7"/>
      <c r="AB257" s="7"/>
      <c r="AC257" s="7"/>
      <c r="AD257" s="7"/>
      <c r="AF257" s="7"/>
    </row>
    <row r="258">
      <c r="D258" s="7"/>
      <c r="E258" s="7"/>
      <c r="F258" s="7"/>
      <c r="G258" s="7"/>
      <c r="AB258" s="7"/>
      <c r="AC258" s="7"/>
      <c r="AD258" s="7"/>
      <c r="AF258" s="7"/>
    </row>
    <row r="259">
      <c r="D259" s="7"/>
      <c r="E259" s="7"/>
      <c r="F259" s="7"/>
      <c r="G259" s="7"/>
      <c r="AB259" s="7"/>
      <c r="AC259" s="7"/>
      <c r="AD259" s="7"/>
      <c r="AF259" s="7"/>
    </row>
    <row r="260">
      <c r="D260" s="7"/>
      <c r="E260" s="7"/>
      <c r="F260" s="7"/>
      <c r="G260" s="7"/>
      <c r="AB260" s="7"/>
      <c r="AC260" s="7"/>
      <c r="AD260" s="7"/>
      <c r="AF260" s="7"/>
    </row>
    <row r="261">
      <c r="D261" s="7"/>
      <c r="E261" s="7"/>
      <c r="F261" s="7"/>
      <c r="G261" s="7"/>
      <c r="AB261" s="7"/>
      <c r="AC261" s="7"/>
      <c r="AD261" s="7"/>
      <c r="AF261" s="7"/>
    </row>
    <row r="262">
      <c r="D262" s="7"/>
      <c r="E262" s="7"/>
      <c r="F262" s="7"/>
      <c r="G262" s="7"/>
      <c r="AB262" s="7"/>
      <c r="AC262" s="7"/>
      <c r="AD262" s="7"/>
      <c r="AF262" s="7"/>
    </row>
    <row r="263">
      <c r="D263" s="7"/>
      <c r="E263" s="7"/>
      <c r="F263" s="7"/>
      <c r="G263" s="7"/>
      <c r="AB263" s="7"/>
      <c r="AC263" s="7"/>
      <c r="AD263" s="7"/>
      <c r="AF263" s="7"/>
    </row>
    <row r="264">
      <c r="D264" s="7"/>
      <c r="E264" s="7"/>
      <c r="F264" s="7"/>
      <c r="G264" s="7"/>
      <c r="AB264" s="7"/>
      <c r="AC264" s="7"/>
      <c r="AD264" s="7"/>
      <c r="AF264" s="7"/>
    </row>
    <row r="265">
      <c r="D265" s="7"/>
      <c r="E265" s="7"/>
      <c r="F265" s="7"/>
      <c r="G265" s="7"/>
      <c r="AB265" s="7"/>
      <c r="AC265" s="7"/>
      <c r="AD265" s="7"/>
      <c r="AF265" s="7"/>
    </row>
    <row r="266">
      <c r="D266" s="7"/>
      <c r="E266" s="7"/>
      <c r="F266" s="7"/>
      <c r="G266" s="7"/>
      <c r="AB266" s="7"/>
      <c r="AC266" s="7"/>
      <c r="AD266" s="7"/>
      <c r="AF266" s="7"/>
    </row>
    <row r="267">
      <c r="D267" s="7"/>
      <c r="E267" s="7"/>
      <c r="F267" s="7"/>
      <c r="G267" s="7"/>
      <c r="AB267" s="7"/>
      <c r="AC267" s="7"/>
      <c r="AD267" s="7"/>
      <c r="AF267" s="7"/>
    </row>
    <row r="268">
      <c r="D268" s="7"/>
      <c r="E268" s="7"/>
      <c r="F268" s="7"/>
      <c r="G268" s="7"/>
      <c r="AB268" s="7"/>
      <c r="AC268" s="7"/>
      <c r="AD268" s="7"/>
      <c r="AF268" s="7"/>
    </row>
    <row r="269">
      <c r="D269" s="7"/>
      <c r="E269" s="7"/>
      <c r="F269" s="7"/>
      <c r="G269" s="7"/>
      <c r="AB269" s="7"/>
      <c r="AC269" s="7"/>
      <c r="AD269" s="7"/>
      <c r="AF269" s="7"/>
    </row>
    <row r="270">
      <c r="D270" s="7"/>
      <c r="E270" s="7"/>
      <c r="F270" s="7"/>
      <c r="G270" s="7"/>
      <c r="AB270" s="7"/>
      <c r="AC270" s="7"/>
      <c r="AD270" s="7"/>
      <c r="AF270" s="7"/>
    </row>
    <row r="271">
      <c r="D271" s="7"/>
      <c r="E271" s="7"/>
      <c r="F271" s="7"/>
      <c r="G271" s="7"/>
      <c r="AB271" s="7"/>
      <c r="AC271" s="7"/>
      <c r="AD271" s="7"/>
      <c r="AF271" s="7"/>
    </row>
    <row r="272">
      <c r="D272" s="7"/>
      <c r="E272" s="7"/>
      <c r="F272" s="7"/>
      <c r="G272" s="7"/>
      <c r="AB272" s="7"/>
      <c r="AC272" s="7"/>
      <c r="AD272" s="7"/>
      <c r="AF272" s="7"/>
    </row>
    <row r="273">
      <c r="D273" s="7"/>
      <c r="E273" s="7"/>
      <c r="F273" s="7"/>
      <c r="G273" s="7"/>
      <c r="AB273" s="7"/>
      <c r="AC273" s="7"/>
      <c r="AD273" s="7"/>
      <c r="AF273" s="7"/>
    </row>
    <row r="274">
      <c r="D274" s="7"/>
      <c r="E274" s="7"/>
      <c r="F274" s="7"/>
      <c r="G274" s="7"/>
      <c r="AB274" s="7"/>
      <c r="AC274" s="7"/>
      <c r="AD274" s="7"/>
      <c r="AF274" s="7"/>
    </row>
    <row r="275">
      <c r="D275" s="7"/>
      <c r="E275" s="7"/>
      <c r="F275" s="7"/>
      <c r="G275" s="7"/>
      <c r="AB275" s="7"/>
      <c r="AC275" s="7"/>
      <c r="AD275" s="7"/>
      <c r="AF275" s="7"/>
    </row>
    <row r="276">
      <c r="D276" s="7"/>
      <c r="E276" s="7"/>
      <c r="F276" s="7"/>
      <c r="G276" s="7"/>
      <c r="AB276" s="7"/>
      <c r="AC276" s="7"/>
      <c r="AD276" s="7"/>
      <c r="AF276" s="7"/>
    </row>
    <row r="277">
      <c r="D277" s="7"/>
      <c r="E277" s="7"/>
      <c r="F277" s="7"/>
      <c r="G277" s="7"/>
      <c r="AB277" s="7"/>
      <c r="AC277" s="7"/>
      <c r="AD277" s="7"/>
      <c r="AF277" s="7"/>
    </row>
    <row r="278">
      <c r="D278" s="7"/>
      <c r="E278" s="7"/>
      <c r="F278" s="7"/>
      <c r="G278" s="7"/>
      <c r="AB278" s="7"/>
      <c r="AC278" s="7"/>
      <c r="AD278" s="7"/>
      <c r="AF278" s="7"/>
    </row>
    <row r="279">
      <c r="D279" s="7"/>
      <c r="E279" s="7"/>
      <c r="F279" s="7"/>
      <c r="G279" s="7"/>
      <c r="AB279" s="7"/>
      <c r="AC279" s="7"/>
      <c r="AD279" s="7"/>
      <c r="AF279" s="7"/>
    </row>
    <row r="280">
      <c r="D280" s="7"/>
      <c r="E280" s="7"/>
      <c r="F280" s="7"/>
      <c r="G280" s="7"/>
      <c r="AB280" s="7"/>
      <c r="AC280" s="7"/>
      <c r="AD280" s="7"/>
      <c r="AF280" s="7"/>
    </row>
    <row r="281">
      <c r="D281" s="7"/>
      <c r="E281" s="7"/>
      <c r="F281" s="7"/>
      <c r="G281" s="7"/>
      <c r="AB281" s="7"/>
      <c r="AC281" s="7"/>
      <c r="AD281" s="7"/>
      <c r="AF281" s="7"/>
    </row>
    <row r="282">
      <c r="D282" s="7"/>
      <c r="E282" s="7"/>
      <c r="F282" s="7"/>
      <c r="G282" s="7"/>
      <c r="AB282" s="7"/>
      <c r="AC282" s="7"/>
      <c r="AD282" s="7"/>
      <c r="AF282" s="7"/>
    </row>
    <row r="283">
      <c r="D283" s="7"/>
      <c r="E283" s="7"/>
      <c r="F283" s="7"/>
      <c r="G283" s="7"/>
      <c r="AB283" s="7"/>
      <c r="AC283" s="7"/>
      <c r="AD283" s="7"/>
      <c r="AF283" s="7"/>
    </row>
    <row r="284">
      <c r="D284" s="7"/>
      <c r="E284" s="7"/>
      <c r="F284" s="7"/>
      <c r="G284" s="7"/>
      <c r="AB284" s="7"/>
      <c r="AC284" s="7"/>
      <c r="AD284" s="7"/>
      <c r="AF284" s="7"/>
    </row>
    <row r="285">
      <c r="D285" s="7"/>
      <c r="E285" s="7"/>
      <c r="F285" s="7"/>
      <c r="G285" s="7"/>
      <c r="AB285" s="7"/>
      <c r="AC285" s="7"/>
      <c r="AD285" s="7"/>
      <c r="AF285" s="7"/>
    </row>
    <row r="286">
      <c r="D286" s="7"/>
      <c r="E286" s="7"/>
      <c r="F286" s="7"/>
      <c r="G286" s="7"/>
      <c r="AB286" s="7"/>
      <c r="AC286" s="7"/>
      <c r="AD286" s="7"/>
      <c r="AF286" s="7"/>
    </row>
    <row r="287">
      <c r="D287" s="7"/>
      <c r="E287" s="7"/>
      <c r="F287" s="7"/>
      <c r="G287" s="7"/>
      <c r="AB287" s="7"/>
      <c r="AC287" s="7"/>
      <c r="AD287" s="7"/>
      <c r="AF287" s="7"/>
    </row>
    <row r="288">
      <c r="D288" s="7"/>
      <c r="E288" s="7"/>
      <c r="F288" s="7"/>
      <c r="G288" s="7"/>
      <c r="AB288" s="7"/>
      <c r="AC288" s="7"/>
      <c r="AD288" s="7"/>
      <c r="AF288" s="7"/>
    </row>
    <row r="289">
      <c r="D289" s="7"/>
      <c r="E289" s="7"/>
      <c r="F289" s="7"/>
      <c r="G289" s="7"/>
      <c r="AB289" s="7"/>
      <c r="AC289" s="7"/>
      <c r="AD289" s="7"/>
      <c r="AF289" s="7"/>
    </row>
    <row r="290">
      <c r="D290" s="7"/>
      <c r="E290" s="7"/>
      <c r="F290" s="7"/>
      <c r="G290" s="7"/>
      <c r="AB290" s="7"/>
      <c r="AC290" s="7"/>
      <c r="AD290" s="7"/>
      <c r="AF290" s="7"/>
    </row>
    <row r="291">
      <c r="D291" s="7"/>
      <c r="E291" s="7"/>
      <c r="F291" s="7"/>
      <c r="G291" s="7"/>
      <c r="AB291" s="7"/>
      <c r="AC291" s="7"/>
      <c r="AD291" s="7"/>
      <c r="AF291" s="7"/>
    </row>
    <row r="292">
      <c r="D292" s="7"/>
      <c r="E292" s="7"/>
      <c r="F292" s="7"/>
      <c r="G292" s="7"/>
      <c r="AB292" s="7"/>
      <c r="AC292" s="7"/>
      <c r="AD292" s="7"/>
      <c r="AF292" s="7"/>
    </row>
    <row r="293">
      <c r="D293" s="7"/>
      <c r="E293" s="7"/>
      <c r="F293" s="7"/>
      <c r="G293" s="7"/>
      <c r="AB293" s="7"/>
      <c r="AC293" s="7"/>
      <c r="AD293" s="7"/>
      <c r="AF293" s="7"/>
    </row>
    <row r="294">
      <c r="D294" s="7"/>
      <c r="E294" s="7"/>
      <c r="F294" s="7"/>
      <c r="G294" s="7"/>
      <c r="AB294" s="7"/>
      <c r="AC294" s="7"/>
      <c r="AD294" s="7"/>
      <c r="AF294" s="7"/>
    </row>
    <row r="295">
      <c r="D295" s="7"/>
      <c r="E295" s="7"/>
      <c r="F295" s="7"/>
      <c r="G295" s="7"/>
      <c r="AB295" s="7"/>
      <c r="AC295" s="7"/>
      <c r="AD295" s="7"/>
      <c r="AF295" s="7"/>
    </row>
    <row r="296">
      <c r="D296" s="7"/>
      <c r="E296" s="7"/>
      <c r="F296" s="7"/>
      <c r="G296" s="7"/>
      <c r="AB296" s="7"/>
      <c r="AC296" s="7"/>
      <c r="AD296" s="7"/>
      <c r="AF296" s="7"/>
    </row>
    <row r="297">
      <c r="D297" s="7"/>
      <c r="E297" s="7"/>
      <c r="F297" s="7"/>
      <c r="G297" s="7"/>
      <c r="AB297" s="7"/>
      <c r="AC297" s="7"/>
      <c r="AD297" s="7"/>
      <c r="AF297" s="7"/>
    </row>
    <row r="298">
      <c r="D298" s="7"/>
      <c r="E298" s="7"/>
      <c r="F298" s="7"/>
      <c r="G298" s="7"/>
      <c r="AB298" s="7"/>
      <c r="AC298" s="7"/>
      <c r="AD298" s="7"/>
      <c r="AF298" s="7"/>
    </row>
    <row r="299">
      <c r="D299" s="7"/>
      <c r="E299" s="7"/>
      <c r="F299" s="7"/>
      <c r="G299" s="7"/>
      <c r="AB299" s="7"/>
      <c r="AC299" s="7"/>
      <c r="AD299" s="7"/>
      <c r="AF299" s="7"/>
    </row>
    <row r="300">
      <c r="D300" s="7"/>
      <c r="E300" s="7"/>
      <c r="F300" s="7"/>
      <c r="G300" s="7"/>
      <c r="AB300" s="7"/>
      <c r="AC300" s="7"/>
      <c r="AD300" s="7"/>
      <c r="AF300" s="7"/>
    </row>
    <row r="301">
      <c r="D301" s="7"/>
      <c r="E301" s="7"/>
      <c r="F301" s="7"/>
      <c r="G301" s="7"/>
      <c r="AB301" s="7"/>
      <c r="AC301" s="7"/>
      <c r="AD301" s="7"/>
      <c r="AF301" s="7"/>
    </row>
    <row r="302">
      <c r="D302" s="7"/>
      <c r="E302" s="7"/>
      <c r="F302" s="7"/>
      <c r="G302" s="7"/>
      <c r="AB302" s="7"/>
      <c r="AC302" s="7"/>
      <c r="AD302" s="7"/>
      <c r="AF302" s="7"/>
    </row>
    <row r="303">
      <c r="AB303" s="7"/>
      <c r="AC303" s="7"/>
      <c r="AD303" s="7"/>
      <c r="AF303" s="7"/>
    </row>
    <row r="304">
      <c r="AB304" s="7"/>
      <c r="AC304" s="7"/>
      <c r="AD304" s="7"/>
      <c r="AF304" s="7"/>
    </row>
    <row r="305">
      <c r="AB305" s="7"/>
      <c r="AC305" s="7"/>
      <c r="AD305" s="7"/>
      <c r="AF305" s="7"/>
    </row>
    <row r="306">
      <c r="AB306" s="7"/>
      <c r="AC306" s="7"/>
      <c r="AD306" s="7"/>
      <c r="AF306" s="7"/>
    </row>
    <row r="307">
      <c r="AB307" s="7"/>
      <c r="AC307" s="7"/>
      <c r="AD307" s="7"/>
      <c r="AF307" s="7"/>
    </row>
    <row r="308">
      <c r="AB308" s="7"/>
      <c r="AC308" s="7"/>
      <c r="AD308" s="7"/>
      <c r="AF308" s="7"/>
    </row>
    <row r="309">
      <c r="AB309" s="7"/>
      <c r="AC309" s="7"/>
      <c r="AD309" s="7"/>
      <c r="AF309" s="7"/>
    </row>
    <row r="310">
      <c r="AB310" s="7"/>
      <c r="AC310" s="7"/>
      <c r="AD310" s="7"/>
      <c r="AF310" s="7"/>
    </row>
    <row r="311">
      <c r="AB311" s="7"/>
      <c r="AC311" s="7"/>
      <c r="AD311" s="7"/>
      <c r="AF311" s="7"/>
    </row>
    <row r="312">
      <c r="AB312" s="7"/>
      <c r="AC312" s="7"/>
      <c r="AD312" s="7"/>
      <c r="AF312" s="7"/>
    </row>
    <row r="313">
      <c r="AB313" s="7"/>
      <c r="AC313" s="7"/>
      <c r="AD313" s="7"/>
      <c r="AF313" s="7"/>
    </row>
    <row r="314">
      <c r="AB314" s="7"/>
      <c r="AC314" s="7"/>
      <c r="AD314" s="7"/>
      <c r="AF314" s="7"/>
    </row>
    <row r="315">
      <c r="AB315" s="7"/>
      <c r="AC315" s="7"/>
      <c r="AD315" s="7"/>
      <c r="AF315" s="7"/>
    </row>
    <row r="316">
      <c r="AB316" s="7"/>
      <c r="AC316" s="7"/>
      <c r="AD316" s="7"/>
      <c r="AF316" s="7"/>
    </row>
    <row r="317">
      <c r="AB317" s="7"/>
      <c r="AC317" s="7"/>
      <c r="AD317" s="7"/>
      <c r="AF317" s="7"/>
    </row>
    <row r="318">
      <c r="AB318" s="7"/>
      <c r="AC318" s="7"/>
      <c r="AD318" s="7"/>
      <c r="AF318" s="7"/>
    </row>
    <row r="319">
      <c r="AB319" s="7"/>
      <c r="AC319" s="7"/>
      <c r="AD319" s="7"/>
      <c r="AF319" s="7"/>
    </row>
    <row r="320">
      <c r="AB320" s="7"/>
      <c r="AC320" s="7"/>
      <c r="AD320" s="7"/>
      <c r="AF320" s="7"/>
    </row>
    <row r="321">
      <c r="AB321" s="7"/>
      <c r="AC321" s="7"/>
      <c r="AD321" s="7"/>
      <c r="AF321" s="7"/>
    </row>
    <row r="322">
      <c r="AB322" s="7"/>
      <c r="AC322" s="7"/>
      <c r="AD322" s="7"/>
      <c r="AF322" s="7"/>
    </row>
    <row r="323">
      <c r="AB323" s="7"/>
      <c r="AC323" s="7"/>
      <c r="AD323" s="7"/>
      <c r="AF323" s="7"/>
    </row>
    <row r="324">
      <c r="AB324" s="7"/>
      <c r="AC324" s="7"/>
      <c r="AD324" s="7"/>
      <c r="AF324" s="7"/>
    </row>
    <row r="325">
      <c r="AB325" s="7"/>
      <c r="AC325" s="7"/>
      <c r="AD325" s="7"/>
      <c r="AF325" s="7"/>
    </row>
    <row r="326">
      <c r="AB326" s="7"/>
      <c r="AC326" s="7"/>
      <c r="AD326" s="7"/>
      <c r="AF326" s="7"/>
    </row>
    <row r="327">
      <c r="AB327" s="7"/>
      <c r="AC327" s="7"/>
      <c r="AD327" s="7"/>
      <c r="AF327" s="7"/>
    </row>
    <row r="328">
      <c r="AB328" s="7"/>
      <c r="AC328" s="7"/>
      <c r="AD328" s="7"/>
      <c r="AF328" s="7"/>
    </row>
    <row r="329">
      <c r="AB329" s="7"/>
      <c r="AC329" s="7"/>
      <c r="AD329" s="7"/>
      <c r="AF329" s="7"/>
    </row>
    <row r="330">
      <c r="AB330" s="7"/>
      <c r="AC330" s="7"/>
      <c r="AD330" s="7"/>
      <c r="AF330" s="7"/>
    </row>
    <row r="331">
      <c r="AB331" s="7"/>
      <c r="AC331" s="7"/>
      <c r="AD331" s="7"/>
      <c r="AF331" s="7"/>
    </row>
    <row r="332">
      <c r="AB332" s="7"/>
      <c r="AC332" s="7"/>
      <c r="AD332" s="7"/>
      <c r="AF332" s="7"/>
    </row>
    <row r="333">
      <c r="AB333" s="7"/>
      <c r="AC333" s="7"/>
      <c r="AD333" s="7"/>
      <c r="AF333" s="7"/>
    </row>
    <row r="334">
      <c r="AB334" s="7"/>
      <c r="AC334" s="7"/>
      <c r="AD334" s="7"/>
      <c r="AF334" s="7"/>
    </row>
    <row r="335">
      <c r="AB335" s="7"/>
      <c r="AC335" s="7"/>
      <c r="AD335" s="7"/>
      <c r="AF335" s="7"/>
    </row>
    <row r="336">
      <c r="AB336" s="7"/>
      <c r="AC336" s="7"/>
      <c r="AD336" s="7"/>
      <c r="AF336" s="7"/>
    </row>
    <row r="337">
      <c r="AB337" s="7"/>
      <c r="AC337" s="7"/>
      <c r="AD337" s="7"/>
      <c r="AF337" s="7"/>
    </row>
    <row r="338">
      <c r="AB338" s="7"/>
      <c r="AC338" s="7"/>
      <c r="AD338" s="7"/>
      <c r="AF338" s="7"/>
    </row>
    <row r="339">
      <c r="AB339" s="7"/>
      <c r="AC339" s="7"/>
      <c r="AD339" s="7"/>
      <c r="AF339" s="7"/>
    </row>
    <row r="340">
      <c r="AB340" s="7"/>
      <c r="AC340" s="7"/>
      <c r="AD340" s="7"/>
      <c r="AF340" s="7"/>
    </row>
    <row r="341">
      <c r="AB341" s="7"/>
      <c r="AC341" s="7"/>
      <c r="AD341" s="7"/>
      <c r="AF341" s="7"/>
    </row>
    <row r="342">
      <c r="AB342" s="7"/>
      <c r="AC342" s="7"/>
      <c r="AD342" s="7"/>
      <c r="AF342" s="7"/>
    </row>
    <row r="343">
      <c r="AB343" s="7"/>
      <c r="AC343" s="7"/>
      <c r="AD343" s="7"/>
      <c r="AF343" s="7"/>
    </row>
    <row r="344">
      <c r="AB344" s="7"/>
      <c r="AC344" s="7"/>
      <c r="AD344" s="7"/>
      <c r="AF344" s="7"/>
    </row>
    <row r="345">
      <c r="AB345" s="7"/>
      <c r="AC345" s="7"/>
      <c r="AD345" s="7"/>
      <c r="AF345" s="7"/>
    </row>
    <row r="346">
      <c r="AB346" s="7"/>
      <c r="AC346" s="7"/>
      <c r="AD346" s="7"/>
      <c r="AF346" s="7"/>
    </row>
    <row r="347">
      <c r="AB347" s="7"/>
      <c r="AC347" s="7"/>
      <c r="AD347" s="7"/>
      <c r="AF347" s="7"/>
    </row>
    <row r="348">
      <c r="AB348" s="7"/>
      <c r="AC348" s="7"/>
      <c r="AD348" s="7"/>
      <c r="AF348" s="7"/>
    </row>
    <row r="349">
      <c r="AB349" s="7"/>
      <c r="AC349" s="7"/>
      <c r="AD349" s="7"/>
      <c r="AF349" s="7"/>
    </row>
    <row r="350">
      <c r="AB350" s="7"/>
      <c r="AC350" s="7"/>
      <c r="AD350" s="7"/>
      <c r="AF350" s="7"/>
    </row>
    <row r="351">
      <c r="AB351" s="7"/>
      <c r="AC351" s="7"/>
      <c r="AD351" s="7"/>
      <c r="AF351" s="7"/>
    </row>
    <row r="352">
      <c r="AB352" s="7"/>
      <c r="AC352" s="7"/>
      <c r="AD352" s="7"/>
      <c r="AF352" s="7"/>
    </row>
    <row r="353">
      <c r="AB353" s="7"/>
      <c r="AC353" s="7"/>
      <c r="AD353" s="7"/>
      <c r="AF353" s="7"/>
    </row>
    <row r="354">
      <c r="AB354" s="7"/>
      <c r="AC354" s="7"/>
      <c r="AD354" s="7"/>
      <c r="AF354" s="7"/>
    </row>
    <row r="355">
      <c r="AB355" s="7"/>
      <c r="AC355" s="7"/>
      <c r="AD355" s="7"/>
      <c r="AF355" s="7"/>
    </row>
    <row r="356">
      <c r="AB356" s="7"/>
      <c r="AC356" s="7"/>
      <c r="AD356" s="7"/>
      <c r="AF356" s="7"/>
    </row>
    <row r="357">
      <c r="AB357" s="7"/>
      <c r="AC357" s="7"/>
      <c r="AD357" s="7"/>
      <c r="AF357" s="7"/>
    </row>
    <row r="358">
      <c r="AB358" s="7"/>
      <c r="AC358" s="7"/>
      <c r="AD358" s="7"/>
      <c r="AF358" s="7"/>
    </row>
    <row r="359">
      <c r="AB359" s="7"/>
      <c r="AC359" s="7"/>
      <c r="AD359" s="7"/>
      <c r="AF359" s="7"/>
    </row>
    <row r="360">
      <c r="AB360" s="7"/>
      <c r="AC360" s="7"/>
      <c r="AD360" s="7"/>
      <c r="AF360" s="7"/>
    </row>
    <row r="361">
      <c r="AB361" s="7"/>
      <c r="AC361" s="7"/>
      <c r="AD361" s="7"/>
      <c r="AF361" s="7"/>
    </row>
    <row r="362">
      <c r="AB362" s="7"/>
      <c r="AC362" s="7"/>
      <c r="AD362" s="7"/>
      <c r="AF362" s="7"/>
    </row>
    <row r="363">
      <c r="AB363" s="7"/>
      <c r="AC363" s="7"/>
      <c r="AD363" s="7"/>
      <c r="AF363" s="7"/>
    </row>
    <row r="364">
      <c r="AB364" s="7"/>
      <c r="AC364" s="7"/>
      <c r="AD364" s="7"/>
      <c r="AF364" s="7"/>
    </row>
    <row r="365">
      <c r="AB365" s="7"/>
      <c r="AC365" s="7"/>
      <c r="AD365" s="7"/>
      <c r="AF365" s="7"/>
    </row>
    <row r="366">
      <c r="AB366" s="7"/>
      <c r="AC366" s="7"/>
      <c r="AD366" s="7"/>
      <c r="AF366" s="7"/>
    </row>
    <row r="367">
      <c r="AB367" s="7"/>
      <c r="AC367" s="7"/>
      <c r="AD367" s="7"/>
      <c r="AF367" s="7"/>
    </row>
    <row r="368">
      <c r="AB368" s="7"/>
      <c r="AC368" s="7"/>
      <c r="AD368" s="7"/>
      <c r="AF368" s="7"/>
    </row>
    <row r="369">
      <c r="AB369" s="7"/>
      <c r="AC369" s="7"/>
      <c r="AD369" s="7"/>
      <c r="AF369" s="7"/>
    </row>
    <row r="370">
      <c r="AB370" s="7"/>
      <c r="AC370" s="7"/>
      <c r="AD370" s="7"/>
      <c r="AF370" s="7"/>
    </row>
    <row r="371">
      <c r="AB371" s="7"/>
      <c r="AC371" s="7"/>
      <c r="AD371" s="7"/>
      <c r="AF371" s="7"/>
    </row>
    <row r="372">
      <c r="AB372" s="7"/>
      <c r="AC372" s="7"/>
      <c r="AD372" s="7"/>
      <c r="AF372" s="7"/>
    </row>
    <row r="373">
      <c r="AB373" s="7"/>
      <c r="AC373" s="7"/>
      <c r="AD373" s="7"/>
      <c r="AF373" s="7"/>
    </row>
    <row r="374">
      <c r="AB374" s="7"/>
      <c r="AC374" s="7"/>
      <c r="AD374" s="7"/>
      <c r="AF374" s="7"/>
    </row>
    <row r="375">
      <c r="AB375" s="7"/>
      <c r="AC375" s="7"/>
      <c r="AD375" s="7"/>
      <c r="AF375" s="7"/>
    </row>
    <row r="376">
      <c r="AB376" s="7"/>
      <c r="AC376" s="7"/>
      <c r="AD376" s="7"/>
      <c r="AF376" s="7"/>
    </row>
    <row r="377">
      <c r="AB377" s="7"/>
      <c r="AC377" s="7"/>
      <c r="AD377" s="7"/>
      <c r="AF377" s="7"/>
    </row>
    <row r="378">
      <c r="AB378" s="7"/>
      <c r="AC378" s="7"/>
      <c r="AD378" s="7"/>
      <c r="AF378" s="7"/>
    </row>
    <row r="379">
      <c r="AB379" s="7"/>
      <c r="AC379" s="7"/>
      <c r="AD379" s="7"/>
      <c r="AF379" s="7"/>
    </row>
    <row r="380">
      <c r="AB380" s="7"/>
      <c r="AC380" s="7"/>
      <c r="AD380" s="7"/>
      <c r="AF380" s="7"/>
    </row>
    <row r="381">
      <c r="AB381" s="7"/>
      <c r="AC381" s="7"/>
      <c r="AD381" s="7"/>
      <c r="AF381" s="7"/>
    </row>
    <row r="382">
      <c r="AB382" s="7"/>
      <c r="AC382" s="7"/>
      <c r="AD382" s="7"/>
      <c r="AF382" s="7"/>
    </row>
    <row r="383">
      <c r="AB383" s="7"/>
      <c r="AC383" s="7"/>
      <c r="AD383" s="7"/>
      <c r="AF383" s="7"/>
    </row>
    <row r="384">
      <c r="AB384" s="7"/>
      <c r="AC384" s="7"/>
      <c r="AD384" s="7"/>
      <c r="AF384" s="7"/>
    </row>
    <row r="385">
      <c r="AB385" s="7"/>
      <c r="AC385" s="7"/>
      <c r="AD385" s="7"/>
      <c r="AF385" s="7"/>
    </row>
    <row r="386">
      <c r="AB386" s="7"/>
      <c r="AC386" s="7"/>
      <c r="AD386" s="7"/>
      <c r="AF386" s="7"/>
    </row>
    <row r="387">
      <c r="AB387" s="7"/>
      <c r="AC387" s="7"/>
      <c r="AD387" s="7"/>
      <c r="AF387" s="7"/>
    </row>
    <row r="388">
      <c r="AB388" s="7"/>
      <c r="AC388" s="7"/>
      <c r="AD388" s="7"/>
      <c r="AF388" s="7"/>
    </row>
    <row r="389">
      <c r="AB389" s="7"/>
      <c r="AC389" s="7"/>
      <c r="AD389" s="7"/>
      <c r="AF389" s="7"/>
    </row>
    <row r="390">
      <c r="AB390" s="7"/>
      <c r="AC390" s="7"/>
      <c r="AD390" s="7"/>
      <c r="AF390" s="7"/>
    </row>
    <row r="391">
      <c r="AB391" s="7"/>
      <c r="AC391" s="7"/>
      <c r="AD391" s="7"/>
      <c r="AF391" s="7"/>
    </row>
    <row r="392">
      <c r="AB392" s="7"/>
      <c r="AC392" s="7"/>
      <c r="AD392" s="7"/>
      <c r="AF392" s="7"/>
    </row>
    <row r="393">
      <c r="AB393" s="7"/>
      <c r="AC393" s="7"/>
      <c r="AD393" s="7"/>
      <c r="AF393" s="7"/>
    </row>
    <row r="394">
      <c r="AB394" s="7"/>
      <c r="AC394" s="7"/>
      <c r="AD394" s="7"/>
      <c r="AF394" s="7"/>
    </row>
    <row r="395">
      <c r="AB395" s="7"/>
      <c r="AC395" s="7"/>
      <c r="AD395" s="7"/>
      <c r="AF395" s="7"/>
    </row>
    <row r="396">
      <c r="AB396" s="7"/>
      <c r="AC396" s="7"/>
      <c r="AD396" s="7"/>
      <c r="AF396" s="7"/>
    </row>
    <row r="397">
      <c r="AB397" s="7"/>
      <c r="AC397" s="7"/>
      <c r="AD397" s="7"/>
      <c r="AF397" s="7"/>
    </row>
    <row r="398">
      <c r="AB398" s="7"/>
      <c r="AC398" s="7"/>
      <c r="AD398" s="7"/>
      <c r="AF398" s="7"/>
    </row>
    <row r="399">
      <c r="AB399" s="7"/>
      <c r="AC399" s="7"/>
      <c r="AD399" s="7"/>
      <c r="AF399" s="7"/>
    </row>
    <row r="400">
      <c r="AB400" s="7"/>
      <c r="AC400" s="7"/>
      <c r="AD400" s="7"/>
      <c r="AF400" s="7"/>
    </row>
    <row r="401">
      <c r="AB401" s="7"/>
      <c r="AC401" s="7"/>
      <c r="AD401" s="7"/>
      <c r="AF401" s="7"/>
    </row>
    <row r="402">
      <c r="AB402" s="7"/>
      <c r="AC402" s="7"/>
      <c r="AD402" s="7"/>
      <c r="AF402" s="7"/>
    </row>
    <row r="403">
      <c r="AB403" s="7"/>
      <c r="AC403" s="7"/>
      <c r="AD403" s="7"/>
      <c r="AF403" s="7"/>
    </row>
    <row r="404">
      <c r="AB404" s="7"/>
      <c r="AC404" s="7"/>
      <c r="AD404" s="7"/>
      <c r="AF404" s="7"/>
    </row>
    <row r="405">
      <c r="AB405" s="7"/>
      <c r="AC405" s="7"/>
      <c r="AD405" s="7"/>
      <c r="AF405" s="7"/>
    </row>
    <row r="406">
      <c r="AB406" s="7"/>
      <c r="AC406" s="7"/>
      <c r="AD406" s="7"/>
      <c r="AF406" s="7"/>
    </row>
    <row r="407">
      <c r="AB407" s="7"/>
      <c r="AC407" s="7"/>
      <c r="AD407" s="7"/>
      <c r="AF407" s="7"/>
    </row>
    <row r="408">
      <c r="AB408" s="7"/>
      <c r="AC408" s="7"/>
      <c r="AD408" s="7"/>
      <c r="AF408" s="7"/>
    </row>
    <row r="409">
      <c r="AB409" s="7"/>
      <c r="AC409" s="7"/>
      <c r="AD409" s="7"/>
      <c r="AF409" s="7"/>
    </row>
    <row r="410">
      <c r="AB410" s="7"/>
      <c r="AC410" s="7"/>
      <c r="AD410" s="7"/>
      <c r="AF410" s="7"/>
    </row>
    <row r="411">
      <c r="AB411" s="7"/>
      <c r="AC411" s="7"/>
      <c r="AD411" s="7"/>
      <c r="AF411" s="7"/>
    </row>
    <row r="412">
      <c r="AB412" s="7"/>
      <c r="AC412" s="7"/>
      <c r="AD412" s="7"/>
      <c r="AF412" s="7"/>
    </row>
    <row r="413">
      <c r="AB413" s="7"/>
      <c r="AC413" s="7"/>
      <c r="AD413" s="7"/>
      <c r="AF413" s="7"/>
    </row>
    <row r="414">
      <c r="AB414" s="7"/>
      <c r="AC414" s="7"/>
      <c r="AD414" s="7"/>
      <c r="AF414" s="7"/>
    </row>
    <row r="415">
      <c r="AB415" s="7"/>
      <c r="AC415" s="7"/>
      <c r="AD415" s="7"/>
      <c r="AF415" s="7"/>
    </row>
    <row r="416">
      <c r="AB416" s="7"/>
      <c r="AC416" s="7"/>
      <c r="AD416" s="7"/>
      <c r="AF416" s="7"/>
    </row>
    <row r="417">
      <c r="AB417" s="7"/>
      <c r="AC417" s="7"/>
      <c r="AD417" s="7"/>
      <c r="AF417" s="7"/>
    </row>
    <row r="418">
      <c r="AB418" s="7"/>
      <c r="AC418" s="7"/>
      <c r="AD418" s="7"/>
      <c r="AF418" s="7"/>
    </row>
    <row r="419">
      <c r="AB419" s="7"/>
      <c r="AC419" s="7"/>
      <c r="AD419" s="7"/>
      <c r="AF419" s="7"/>
    </row>
    <row r="420">
      <c r="AB420" s="7"/>
      <c r="AC420" s="7"/>
      <c r="AD420" s="7"/>
      <c r="AF420" s="7"/>
    </row>
    <row r="421">
      <c r="AB421" s="7"/>
      <c r="AC421" s="7"/>
      <c r="AD421" s="7"/>
      <c r="AF421" s="7"/>
    </row>
    <row r="422">
      <c r="AB422" s="7"/>
      <c r="AC422" s="7"/>
      <c r="AD422" s="7"/>
      <c r="AF422" s="7"/>
    </row>
    <row r="423">
      <c r="AB423" s="7"/>
      <c r="AC423" s="7"/>
      <c r="AD423" s="7"/>
      <c r="AF423" s="7"/>
    </row>
    <row r="424">
      <c r="AB424" s="7"/>
      <c r="AC424" s="7"/>
      <c r="AD424" s="7"/>
      <c r="AF424" s="7"/>
    </row>
    <row r="425">
      <c r="AB425" s="7"/>
      <c r="AC425" s="7"/>
      <c r="AD425" s="7"/>
      <c r="AF425" s="7"/>
    </row>
    <row r="426">
      <c r="AB426" s="7"/>
      <c r="AC426" s="7"/>
      <c r="AD426" s="7"/>
      <c r="AF426" s="7"/>
    </row>
    <row r="427">
      <c r="AB427" s="7"/>
      <c r="AC427" s="7"/>
      <c r="AD427" s="7"/>
      <c r="AF427" s="7"/>
    </row>
    <row r="428">
      <c r="AB428" s="7"/>
      <c r="AC428" s="7"/>
      <c r="AD428" s="7"/>
      <c r="AF428" s="7"/>
    </row>
    <row r="429">
      <c r="AB429" s="7"/>
      <c r="AC429" s="7"/>
      <c r="AD429" s="7"/>
      <c r="AF429" s="7"/>
    </row>
    <row r="430">
      <c r="AB430" s="7"/>
      <c r="AC430" s="7"/>
      <c r="AD430" s="7"/>
      <c r="AF430" s="7"/>
    </row>
    <row r="431">
      <c r="AB431" s="7"/>
      <c r="AC431" s="7"/>
      <c r="AD431" s="7"/>
      <c r="AF431" s="7"/>
    </row>
    <row r="432">
      <c r="AB432" s="7"/>
      <c r="AC432" s="7"/>
      <c r="AD432" s="7"/>
      <c r="AF432" s="7"/>
    </row>
    <row r="433">
      <c r="AB433" s="7"/>
      <c r="AC433" s="7"/>
      <c r="AD433" s="7"/>
      <c r="AF433" s="7"/>
    </row>
    <row r="434">
      <c r="AB434" s="7"/>
      <c r="AC434" s="7"/>
      <c r="AD434" s="7"/>
      <c r="AF434" s="7"/>
    </row>
    <row r="435">
      <c r="AB435" s="7"/>
      <c r="AC435" s="7"/>
      <c r="AD435" s="7"/>
      <c r="AF435" s="7"/>
    </row>
    <row r="436">
      <c r="AB436" s="7"/>
      <c r="AC436" s="7"/>
      <c r="AD436" s="7"/>
      <c r="AF436" s="7"/>
    </row>
    <row r="437">
      <c r="AB437" s="7"/>
      <c r="AC437" s="7"/>
      <c r="AD437" s="7"/>
      <c r="AF437" s="7"/>
    </row>
    <row r="438">
      <c r="AB438" s="7"/>
      <c r="AC438" s="7"/>
      <c r="AD438" s="7"/>
      <c r="AF438" s="7"/>
    </row>
    <row r="439">
      <c r="AB439" s="7"/>
      <c r="AC439" s="7"/>
      <c r="AD439" s="7"/>
      <c r="AF439" s="7"/>
    </row>
    <row r="440">
      <c r="AB440" s="7"/>
      <c r="AC440" s="7"/>
      <c r="AD440" s="7"/>
      <c r="AF440" s="7"/>
    </row>
    <row r="441">
      <c r="AB441" s="7"/>
      <c r="AC441" s="7"/>
      <c r="AD441" s="7"/>
      <c r="AF441" s="7"/>
    </row>
    <row r="442">
      <c r="AB442" s="7"/>
      <c r="AC442" s="7"/>
      <c r="AD442" s="7"/>
      <c r="AF442" s="7"/>
    </row>
    <row r="443">
      <c r="AB443" s="7"/>
      <c r="AC443" s="7"/>
      <c r="AD443" s="7"/>
      <c r="AF443" s="7"/>
    </row>
    <row r="444">
      <c r="AB444" s="7"/>
      <c r="AC444" s="7"/>
      <c r="AD444" s="7"/>
      <c r="AF444" s="7"/>
    </row>
    <row r="445">
      <c r="AB445" s="7"/>
      <c r="AC445" s="7"/>
      <c r="AD445" s="7"/>
      <c r="AF445" s="7"/>
    </row>
    <row r="446">
      <c r="AB446" s="7"/>
      <c r="AC446" s="7"/>
      <c r="AD446" s="7"/>
      <c r="AF446" s="7"/>
    </row>
    <row r="447">
      <c r="AB447" s="7"/>
      <c r="AC447" s="7"/>
      <c r="AD447" s="7"/>
      <c r="AF447" s="7"/>
    </row>
    <row r="448">
      <c r="AB448" s="7"/>
      <c r="AC448" s="7"/>
      <c r="AD448" s="7"/>
      <c r="AF448" s="7"/>
    </row>
    <row r="449">
      <c r="AB449" s="7"/>
      <c r="AC449" s="7"/>
      <c r="AD449" s="7"/>
      <c r="AF449" s="7"/>
    </row>
    <row r="450">
      <c r="AB450" s="7"/>
      <c r="AC450" s="7"/>
      <c r="AD450" s="7"/>
      <c r="AF450" s="7"/>
    </row>
    <row r="451">
      <c r="AB451" s="7"/>
      <c r="AC451" s="7"/>
      <c r="AD451" s="7"/>
      <c r="AF451" s="7"/>
    </row>
    <row r="452">
      <c r="AB452" s="7"/>
      <c r="AC452" s="7"/>
      <c r="AD452" s="7"/>
      <c r="AF452" s="7"/>
    </row>
    <row r="453">
      <c r="AB453" s="7"/>
      <c r="AC453" s="7"/>
      <c r="AD453" s="7"/>
      <c r="AF453" s="7"/>
    </row>
    <row r="454">
      <c r="AB454" s="7"/>
      <c r="AC454" s="7"/>
      <c r="AD454" s="7"/>
      <c r="AF454" s="7"/>
    </row>
    <row r="455">
      <c r="AB455" s="7"/>
      <c r="AC455" s="7"/>
      <c r="AD455" s="7"/>
      <c r="AF455" s="7"/>
    </row>
    <row r="456">
      <c r="AB456" s="7"/>
      <c r="AC456" s="7"/>
      <c r="AD456" s="7"/>
      <c r="AF456" s="7"/>
    </row>
    <row r="457">
      <c r="AB457" s="7"/>
      <c r="AC457" s="7"/>
      <c r="AD457" s="7"/>
      <c r="AF457" s="7"/>
    </row>
    <row r="458">
      <c r="AB458" s="7"/>
      <c r="AC458" s="7"/>
      <c r="AD458" s="7"/>
      <c r="AF458" s="7"/>
    </row>
    <row r="459">
      <c r="AB459" s="7"/>
      <c r="AC459" s="7"/>
      <c r="AD459" s="7"/>
      <c r="AF459" s="7"/>
    </row>
    <row r="460">
      <c r="AB460" s="7"/>
      <c r="AC460" s="7"/>
      <c r="AD460" s="7"/>
      <c r="AF460" s="7"/>
    </row>
    <row r="461">
      <c r="AB461" s="7"/>
      <c r="AC461" s="7"/>
      <c r="AD461" s="7"/>
      <c r="AF461" s="7"/>
    </row>
    <row r="462">
      <c r="AB462" s="7"/>
      <c r="AC462" s="7"/>
      <c r="AD462" s="7"/>
      <c r="AF462" s="7"/>
    </row>
    <row r="463">
      <c r="AB463" s="7"/>
      <c r="AC463" s="7"/>
      <c r="AD463" s="7"/>
      <c r="AF463" s="7"/>
    </row>
    <row r="464">
      <c r="AB464" s="7"/>
      <c r="AC464" s="7"/>
      <c r="AD464" s="7"/>
      <c r="AF464" s="7"/>
    </row>
    <row r="465">
      <c r="AB465" s="7"/>
      <c r="AC465" s="7"/>
      <c r="AD465" s="7"/>
      <c r="AF465" s="7"/>
    </row>
    <row r="466">
      <c r="AB466" s="7"/>
      <c r="AC466" s="7"/>
      <c r="AD466" s="7"/>
      <c r="AF466" s="7"/>
    </row>
    <row r="467">
      <c r="AB467" s="7"/>
      <c r="AC467" s="7"/>
      <c r="AD467" s="7"/>
      <c r="AF467" s="7"/>
    </row>
    <row r="468">
      <c r="AB468" s="7"/>
      <c r="AC468" s="7"/>
      <c r="AD468" s="7"/>
      <c r="AF468" s="7"/>
    </row>
    <row r="469">
      <c r="AB469" s="7"/>
      <c r="AC469" s="7"/>
      <c r="AD469" s="7"/>
      <c r="AF469" s="7"/>
    </row>
    <row r="470">
      <c r="AB470" s="7"/>
      <c r="AC470" s="7"/>
      <c r="AD470" s="7"/>
      <c r="AF470" s="7"/>
    </row>
    <row r="471">
      <c r="AB471" s="7"/>
      <c r="AC471" s="7"/>
      <c r="AD471" s="7"/>
      <c r="AF471" s="7"/>
    </row>
    <row r="472">
      <c r="AB472" s="7"/>
      <c r="AC472" s="7"/>
      <c r="AD472" s="7"/>
      <c r="AF472" s="7"/>
    </row>
    <row r="473">
      <c r="AB473" s="7"/>
      <c r="AC473" s="7"/>
      <c r="AD473" s="7"/>
      <c r="AF473" s="7"/>
    </row>
    <row r="474">
      <c r="AB474" s="7"/>
      <c r="AC474" s="7"/>
      <c r="AD474" s="7"/>
      <c r="AF474" s="7"/>
    </row>
    <row r="475">
      <c r="AB475" s="7"/>
      <c r="AC475" s="7"/>
      <c r="AD475" s="7"/>
      <c r="AF475" s="7"/>
    </row>
    <row r="476">
      <c r="AB476" s="7"/>
      <c r="AC476" s="7"/>
      <c r="AD476" s="7"/>
      <c r="AF476" s="7"/>
    </row>
    <row r="477">
      <c r="AB477" s="7"/>
      <c r="AC477" s="7"/>
      <c r="AD477" s="7"/>
      <c r="AF477" s="7"/>
    </row>
    <row r="478">
      <c r="AB478" s="7"/>
      <c r="AC478" s="7"/>
      <c r="AD478" s="7"/>
      <c r="AF478" s="7"/>
    </row>
    <row r="479">
      <c r="AB479" s="7"/>
      <c r="AC479" s="7"/>
      <c r="AD479" s="7"/>
      <c r="AF479" s="7"/>
    </row>
    <row r="480">
      <c r="AB480" s="7"/>
      <c r="AC480" s="7"/>
      <c r="AD480" s="7"/>
      <c r="AF480" s="7"/>
    </row>
    <row r="481">
      <c r="AB481" s="7"/>
      <c r="AC481" s="7"/>
      <c r="AD481" s="7"/>
      <c r="AF481" s="7"/>
    </row>
    <row r="482">
      <c r="AB482" s="7"/>
      <c r="AC482" s="7"/>
      <c r="AD482" s="7"/>
      <c r="AF482" s="7"/>
    </row>
    <row r="483">
      <c r="AB483" s="7"/>
      <c r="AC483" s="7"/>
      <c r="AD483" s="7"/>
      <c r="AF483" s="7"/>
    </row>
    <row r="484">
      <c r="AB484" s="7"/>
      <c r="AC484" s="7"/>
      <c r="AD484" s="7"/>
      <c r="AF484" s="7"/>
    </row>
    <row r="485">
      <c r="AB485" s="7"/>
      <c r="AC485" s="7"/>
      <c r="AD485" s="7"/>
      <c r="AF485" s="7"/>
    </row>
    <row r="486">
      <c r="AB486" s="7"/>
      <c r="AC486" s="7"/>
      <c r="AD486" s="7"/>
      <c r="AF486" s="7"/>
    </row>
    <row r="487">
      <c r="AB487" s="7"/>
      <c r="AC487" s="7"/>
      <c r="AD487" s="7"/>
      <c r="AF487" s="7"/>
    </row>
    <row r="488">
      <c r="AB488" s="7"/>
      <c r="AC488" s="7"/>
      <c r="AD488" s="7"/>
      <c r="AF488" s="7"/>
    </row>
    <row r="489">
      <c r="AB489" s="7"/>
      <c r="AC489" s="7"/>
      <c r="AD489" s="7"/>
      <c r="AF489" s="7"/>
    </row>
    <row r="490">
      <c r="AB490" s="7"/>
      <c r="AC490" s="7"/>
      <c r="AD490" s="7"/>
      <c r="AF490" s="7"/>
    </row>
    <row r="491">
      <c r="AB491" s="7"/>
      <c r="AC491" s="7"/>
      <c r="AD491" s="7"/>
      <c r="AF491" s="7"/>
    </row>
    <row r="492">
      <c r="AB492" s="7"/>
      <c r="AC492" s="7"/>
      <c r="AD492" s="7"/>
      <c r="AF492" s="7"/>
    </row>
    <row r="493">
      <c r="AB493" s="7"/>
      <c r="AC493" s="7"/>
      <c r="AD493" s="7"/>
      <c r="AF493" s="7"/>
    </row>
    <row r="494">
      <c r="AB494" s="7"/>
      <c r="AC494" s="7"/>
      <c r="AD494" s="7"/>
      <c r="AF494" s="7"/>
    </row>
    <row r="495">
      <c r="AB495" s="7"/>
      <c r="AC495" s="7"/>
      <c r="AD495" s="7"/>
      <c r="AF495" s="7"/>
    </row>
    <row r="496">
      <c r="AB496" s="7"/>
      <c r="AC496" s="7"/>
      <c r="AD496" s="7"/>
      <c r="AF496" s="7"/>
    </row>
    <row r="497">
      <c r="AB497" s="7"/>
      <c r="AC497" s="7"/>
      <c r="AD497" s="7"/>
      <c r="AF497" s="7"/>
    </row>
    <row r="498">
      <c r="AB498" s="7"/>
      <c r="AC498" s="7"/>
      <c r="AD498" s="7"/>
      <c r="AF498" s="7"/>
    </row>
    <row r="499">
      <c r="AB499" s="7"/>
      <c r="AC499" s="7"/>
      <c r="AD499" s="7"/>
      <c r="AF499" s="7"/>
    </row>
    <row r="500">
      <c r="AB500" s="7"/>
      <c r="AC500" s="7"/>
      <c r="AD500" s="7"/>
      <c r="AF500" s="7"/>
    </row>
    <row r="501">
      <c r="AB501" s="7"/>
      <c r="AC501" s="7"/>
      <c r="AD501" s="7"/>
      <c r="AF501" s="7"/>
    </row>
    <row r="502">
      <c r="AB502" s="7"/>
      <c r="AC502" s="7"/>
      <c r="AD502" s="7"/>
      <c r="AF502" s="7"/>
    </row>
    <row r="503">
      <c r="AB503" s="7"/>
      <c r="AC503" s="7"/>
      <c r="AD503" s="7"/>
      <c r="AF503" s="7"/>
    </row>
    <row r="504">
      <c r="AB504" s="7"/>
      <c r="AC504" s="7"/>
      <c r="AD504" s="7"/>
      <c r="AF504" s="7"/>
    </row>
    <row r="505">
      <c r="AB505" s="7"/>
      <c r="AC505" s="7"/>
      <c r="AD505" s="7"/>
      <c r="AF505" s="7"/>
    </row>
    <row r="506">
      <c r="AB506" s="7"/>
      <c r="AC506" s="7"/>
      <c r="AD506" s="7"/>
      <c r="AF506" s="7"/>
    </row>
    <row r="507">
      <c r="AB507" s="7"/>
      <c r="AC507" s="7"/>
      <c r="AD507" s="7"/>
      <c r="AF507" s="7"/>
    </row>
    <row r="508">
      <c r="AB508" s="7"/>
      <c r="AC508" s="7"/>
      <c r="AD508" s="7"/>
      <c r="AF508" s="7"/>
    </row>
    <row r="509">
      <c r="AB509" s="7"/>
      <c r="AC509" s="7"/>
      <c r="AD509" s="7"/>
      <c r="AF509" s="7"/>
    </row>
    <row r="510">
      <c r="AB510" s="7"/>
      <c r="AC510" s="7"/>
      <c r="AD510" s="7"/>
      <c r="AF510" s="7"/>
    </row>
    <row r="511">
      <c r="AB511" s="7"/>
      <c r="AC511" s="7"/>
      <c r="AD511" s="7"/>
      <c r="AF511" s="7"/>
    </row>
    <row r="512">
      <c r="AB512" s="7"/>
      <c r="AC512" s="7"/>
      <c r="AD512" s="7"/>
      <c r="AF512" s="7"/>
    </row>
    <row r="513">
      <c r="AB513" s="7"/>
      <c r="AC513" s="7"/>
      <c r="AD513" s="7"/>
      <c r="AF513" s="7"/>
    </row>
    <row r="514">
      <c r="AB514" s="7"/>
      <c r="AC514" s="7"/>
      <c r="AD514" s="7"/>
      <c r="AF514" s="7"/>
    </row>
    <row r="515">
      <c r="AB515" s="7"/>
      <c r="AC515" s="7"/>
      <c r="AD515" s="7"/>
      <c r="AF515" s="7"/>
    </row>
    <row r="516">
      <c r="AB516" s="7"/>
      <c r="AC516" s="7"/>
      <c r="AD516" s="7"/>
      <c r="AF516" s="7"/>
    </row>
    <row r="517">
      <c r="AB517" s="7"/>
      <c r="AC517" s="7"/>
      <c r="AD517" s="7"/>
      <c r="AF517" s="7"/>
    </row>
    <row r="518">
      <c r="AB518" s="7"/>
      <c r="AC518" s="7"/>
      <c r="AD518" s="7"/>
      <c r="AF518" s="7"/>
    </row>
    <row r="519">
      <c r="AB519" s="7"/>
      <c r="AC519" s="7"/>
      <c r="AD519" s="7"/>
      <c r="AF519" s="7"/>
    </row>
    <row r="520">
      <c r="AB520" s="7"/>
      <c r="AC520" s="7"/>
      <c r="AD520" s="7"/>
      <c r="AF520" s="7"/>
    </row>
    <row r="521">
      <c r="AB521" s="7"/>
      <c r="AC521" s="7"/>
      <c r="AD521" s="7"/>
      <c r="AF521" s="7"/>
    </row>
    <row r="522">
      <c r="AB522" s="7"/>
      <c r="AC522" s="7"/>
      <c r="AD522" s="7"/>
      <c r="AF522" s="7"/>
    </row>
    <row r="523">
      <c r="AB523" s="7"/>
      <c r="AC523" s="7"/>
      <c r="AD523" s="7"/>
      <c r="AF523" s="7"/>
    </row>
    <row r="524">
      <c r="AB524" s="7"/>
      <c r="AC524" s="7"/>
      <c r="AD524" s="7"/>
      <c r="AF524" s="7"/>
    </row>
    <row r="525">
      <c r="AB525" s="7"/>
      <c r="AC525" s="7"/>
      <c r="AD525" s="7"/>
      <c r="AF525" s="7"/>
    </row>
    <row r="526">
      <c r="AB526" s="7"/>
      <c r="AC526" s="7"/>
      <c r="AD526" s="7"/>
      <c r="AF526" s="7"/>
    </row>
    <row r="527">
      <c r="AB527" s="7"/>
      <c r="AC527" s="7"/>
      <c r="AD527" s="7"/>
      <c r="AF527" s="7"/>
    </row>
    <row r="528">
      <c r="AB528" s="7"/>
      <c r="AC528" s="7"/>
      <c r="AD528" s="7"/>
      <c r="AF528" s="7"/>
    </row>
    <row r="529">
      <c r="AB529" s="7"/>
      <c r="AC529" s="7"/>
      <c r="AD529" s="7"/>
      <c r="AF529" s="7"/>
    </row>
    <row r="530">
      <c r="AB530" s="7"/>
      <c r="AC530" s="7"/>
      <c r="AD530" s="7"/>
      <c r="AF530" s="7"/>
    </row>
    <row r="531">
      <c r="AB531" s="7"/>
      <c r="AC531" s="7"/>
      <c r="AD531" s="7"/>
      <c r="AF531" s="7"/>
    </row>
    <row r="532">
      <c r="AB532" s="7"/>
      <c r="AC532" s="7"/>
      <c r="AD532" s="7"/>
      <c r="AF532" s="7"/>
    </row>
    <row r="533">
      <c r="AB533" s="7"/>
      <c r="AC533" s="7"/>
      <c r="AD533" s="7"/>
      <c r="AF533" s="7"/>
    </row>
    <row r="534">
      <c r="AB534" s="7"/>
      <c r="AC534" s="7"/>
      <c r="AD534" s="7"/>
      <c r="AF534" s="7"/>
    </row>
    <row r="535">
      <c r="AB535" s="7"/>
      <c r="AC535" s="7"/>
      <c r="AD535" s="7"/>
      <c r="AF535" s="7"/>
    </row>
    <row r="536">
      <c r="AB536" s="7"/>
      <c r="AC536" s="7"/>
      <c r="AD536" s="7"/>
      <c r="AF536" s="7"/>
    </row>
    <row r="537">
      <c r="AB537" s="7"/>
      <c r="AC537" s="7"/>
      <c r="AD537" s="7"/>
      <c r="AF537" s="7"/>
    </row>
    <row r="538">
      <c r="AB538" s="7"/>
      <c r="AC538" s="7"/>
      <c r="AD538" s="7"/>
      <c r="AF538" s="7"/>
    </row>
    <row r="539">
      <c r="AB539" s="7"/>
      <c r="AC539" s="7"/>
      <c r="AD539" s="7"/>
      <c r="AF539" s="7"/>
    </row>
    <row r="540">
      <c r="AB540" s="7"/>
      <c r="AC540" s="7"/>
      <c r="AD540" s="7"/>
      <c r="AF540" s="7"/>
    </row>
    <row r="541">
      <c r="AB541" s="7"/>
      <c r="AC541" s="7"/>
      <c r="AD541" s="7"/>
      <c r="AF541" s="7"/>
    </row>
    <row r="542">
      <c r="AB542" s="7"/>
      <c r="AC542" s="7"/>
      <c r="AD542" s="7"/>
      <c r="AF542" s="7"/>
    </row>
    <row r="543">
      <c r="AB543" s="7"/>
      <c r="AC543" s="7"/>
      <c r="AD543" s="7"/>
      <c r="AF543" s="7"/>
    </row>
    <row r="544">
      <c r="AB544" s="7"/>
      <c r="AC544" s="7"/>
      <c r="AD544" s="7"/>
      <c r="AF544" s="7"/>
    </row>
    <row r="545">
      <c r="AB545" s="7"/>
      <c r="AC545" s="7"/>
      <c r="AD545" s="7"/>
      <c r="AF545" s="7"/>
    </row>
    <row r="546">
      <c r="AB546" s="7"/>
      <c r="AC546" s="7"/>
      <c r="AD546" s="7"/>
      <c r="AF546" s="7"/>
    </row>
    <row r="547">
      <c r="AB547" s="7"/>
      <c r="AC547" s="7"/>
      <c r="AD547" s="7"/>
      <c r="AF547" s="7"/>
    </row>
    <row r="548">
      <c r="AB548" s="7"/>
      <c r="AC548" s="7"/>
      <c r="AD548" s="7"/>
      <c r="AF548" s="7"/>
    </row>
    <row r="549">
      <c r="AB549" s="7"/>
      <c r="AC549" s="7"/>
      <c r="AD549" s="7"/>
      <c r="AF549" s="7"/>
    </row>
    <row r="550">
      <c r="AB550" s="7"/>
      <c r="AC550" s="7"/>
      <c r="AD550" s="7"/>
      <c r="AF550" s="7"/>
    </row>
    <row r="551">
      <c r="AB551" s="7"/>
      <c r="AC551" s="7"/>
      <c r="AD551" s="7"/>
      <c r="AF551" s="7"/>
    </row>
    <row r="552">
      <c r="AB552" s="7"/>
      <c r="AC552" s="7"/>
      <c r="AD552" s="7"/>
      <c r="AF552" s="7"/>
    </row>
    <row r="553">
      <c r="AB553" s="7"/>
      <c r="AC553" s="7"/>
      <c r="AD553" s="7"/>
      <c r="AF553" s="7"/>
    </row>
    <row r="554">
      <c r="AB554" s="7"/>
      <c r="AC554" s="7"/>
      <c r="AD554" s="7"/>
      <c r="AF554" s="7"/>
    </row>
    <row r="555">
      <c r="AB555" s="7"/>
      <c r="AC555" s="7"/>
      <c r="AD555" s="7"/>
      <c r="AF555" s="7"/>
    </row>
    <row r="556">
      <c r="AB556" s="7"/>
      <c r="AC556" s="7"/>
      <c r="AD556" s="7"/>
      <c r="AF556" s="7"/>
    </row>
    <row r="557">
      <c r="AB557" s="7"/>
      <c r="AC557" s="7"/>
      <c r="AD557" s="7"/>
      <c r="AF557" s="7"/>
    </row>
    <row r="558">
      <c r="AB558" s="7"/>
      <c r="AC558" s="7"/>
      <c r="AD558" s="7"/>
      <c r="AF558" s="7"/>
    </row>
    <row r="559">
      <c r="AB559" s="7"/>
      <c r="AC559" s="7"/>
      <c r="AD559" s="7"/>
      <c r="AF559" s="7"/>
    </row>
    <row r="560">
      <c r="AB560" s="7"/>
      <c r="AC560" s="7"/>
      <c r="AD560" s="7"/>
      <c r="AF560" s="7"/>
    </row>
    <row r="561">
      <c r="AB561" s="7"/>
      <c r="AC561" s="7"/>
      <c r="AD561" s="7"/>
      <c r="AF561" s="7"/>
    </row>
    <row r="562">
      <c r="AB562" s="7"/>
      <c r="AC562" s="7"/>
      <c r="AD562" s="7"/>
      <c r="AF562" s="7"/>
    </row>
    <row r="563">
      <c r="AB563" s="7"/>
      <c r="AC563" s="7"/>
      <c r="AD563" s="7"/>
      <c r="AF563" s="7"/>
    </row>
    <row r="564">
      <c r="AB564" s="7"/>
      <c r="AC564" s="7"/>
      <c r="AD564" s="7"/>
      <c r="AF564" s="7"/>
    </row>
    <row r="565">
      <c r="AB565" s="7"/>
      <c r="AC565" s="7"/>
      <c r="AD565" s="7"/>
      <c r="AF565" s="7"/>
    </row>
    <row r="566">
      <c r="AB566" s="7"/>
      <c r="AC566" s="7"/>
      <c r="AD566" s="7"/>
      <c r="AF566" s="7"/>
    </row>
    <row r="567">
      <c r="AB567" s="7"/>
      <c r="AC567" s="7"/>
      <c r="AD567" s="7"/>
      <c r="AF567" s="7"/>
    </row>
    <row r="568">
      <c r="AB568" s="7"/>
      <c r="AC568" s="7"/>
      <c r="AD568" s="7"/>
      <c r="AF568" s="7"/>
    </row>
    <row r="569">
      <c r="AB569" s="7"/>
      <c r="AC569" s="7"/>
      <c r="AD569" s="7"/>
      <c r="AF569" s="7"/>
    </row>
    <row r="570">
      <c r="AB570" s="7"/>
      <c r="AC570" s="7"/>
      <c r="AD570" s="7"/>
      <c r="AF570" s="7"/>
    </row>
    <row r="571">
      <c r="AB571" s="7"/>
      <c r="AC571" s="7"/>
      <c r="AD571" s="7"/>
      <c r="AF571" s="7"/>
    </row>
    <row r="572">
      <c r="AB572" s="7"/>
      <c r="AC572" s="7"/>
      <c r="AD572" s="7"/>
      <c r="AF572" s="7"/>
    </row>
    <row r="573">
      <c r="AB573" s="7"/>
      <c r="AC573" s="7"/>
      <c r="AD573" s="7"/>
      <c r="AF573" s="7"/>
    </row>
    <row r="574">
      <c r="AB574" s="7"/>
      <c r="AC574" s="7"/>
      <c r="AD574" s="7"/>
      <c r="AF574" s="7"/>
    </row>
    <row r="575">
      <c r="AB575" s="7"/>
      <c r="AC575" s="7"/>
      <c r="AD575" s="7"/>
      <c r="AF575" s="7"/>
    </row>
    <row r="576">
      <c r="AB576" s="7"/>
      <c r="AC576" s="7"/>
      <c r="AD576" s="7"/>
      <c r="AF576" s="7"/>
    </row>
    <row r="577">
      <c r="AB577" s="7"/>
      <c r="AC577" s="7"/>
      <c r="AD577" s="7"/>
      <c r="AF577" s="7"/>
    </row>
    <row r="578">
      <c r="AB578" s="7"/>
      <c r="AC578" s="7"/>
      <c r="AD578" s="7"/>
      <c r="AF578" s="7"/>
    </row>
    <row r="579">
      <c r="AB579" s="7"/>
      <c r="AC579" s="7"/>
      <c r="AD579" s="7"/>
      <c r="AF579" s="7"/>
    </row>
    <row r="580">
      <c r="AB580" s="7"/>
      <c r="AC580" s="7"/>
      <c r="AD580" s="7"/>
      <c r="AF580" s="7"/>
    </row>
    <row r="581">
      <c r="AB581" s="7"/>
      <c r="AC581" s="7"/>
      <c r="AD581" s="7"/>
      <c r="AF581" s="7"/>
    </row>
    <row r="582">
      <c r="AB582" s="7"/>
      <c r="AC582" s="7"/>
      <c r="AD582" s="7"/>
      <c r="AF582" s="7"/>
    </row>
    <row r="583">
      <c r="AB583" s="7"/>
      <c r="AC583" s="7"/>
      <c r="AD583" s="7"/>
      <c r="AF583" s="7"/>
    </row>
    <row r="584">
      <c r="AB584" s="7"/>
      <c r="AC584" s="7"/>
      <c r="AD584" s="7"/>
      <c r="AF584" s="7"/>
    </row>
    <row r="585">
      <c r="AB585" s="7"/>
      <c r="AC585" s="7"/>
      <c r="AD585" s="7"/>
      <c r="AF585" s="7"/>
    </row>
    <row r="586">
      <c r="AB586" s="7"/>
      <c r="AC586" s="7"/>
      <c r="AD586" s="7"/>
      <c r="AF586" s="7"/>
    </row>
    <row r="587">
      <c r="AB587" s="7"/>
      <c r="AC587" s="7"/>
      <c r="AD587" s="7"/>
      <c r="AF587" s="7"/>
    </row>
    <row r="588">
      <c r="AB588" s="7"/>
      <c r="AC588" s="7"/>
      <c r="AD588" s="7"/>
      <c r="AF588" s="7"/>
    </row>
    <row r="589">
      <c r="AB589" s="7"/>
      <c r="AC589" s="7"/>
      <c r="AD589" s="7"/>
      <c r="AF589" s="7"/>
    </row>
    <row r="590">
      <c r="AB590" s="7"/>
      <c r="AC590" s="7"/>
      <c r="AD590" s="7"/>
      <c r="AF590" s="7"/>
    </row>
    <row r="591">
      <c r="AB591" s="7"/>
      <c r="AC591" s="7"/>
      <c r="AD591" s="7"/>
      <c r="AF591" s="7"/>
    </row>
    <row r="592">
      <c r="AB592" s="7"/>
      <c r="AC592" s="7"/>
      <c r="AD592" s="7"/>
      <c r="AF592" s="7"/>
    </row>
    <row r="593">
      <c r="AB593" s="7"/>
      <c r="AC593" s="7"/>
      <c r="AD593" s="7"/>
      <c r="AF593" s="7"/>
    </row>
    <row r="594">
      <c r="AB594" s="7"/>
      <c r="AC594" s="7"/>
      <c r="AD594" s="7"/>
      <c r="AF594" s="7"/>
    </row>
    <row r="595">
      <c r="AB595" s="7"/>
      <c r="AC595" s="7"/>
      <c r="AD595" s="7"/>
      <c r="AF595" s="7"/>
    </row>
    <row r="596">
      <c r="AB596" s="7"/>
      <c r="AC596" s="7"/>
      <c r="AD596" s="7"/>
      <c r="AF596" s="7"/>
    </row>
    <row r="597">
      <c r="AB597" s="7"/>
      <c r="AC597" s="7"/>
      <c r="AD597" s="7"/>
      <c r="AF597" s="7"/>
    </row>
    <row r="598">
      <c r="AB598" s="7"/>
      <c r="AC598" s="7"/>
      <c r="AD598" s="7"/>
      <c r="AF598" s="7"/>
    </row>
    <row r="599">
      <c r="AB599" s="7"/>
      <c r="AC599" s="7"/>
      <c r="AD599" s="7"/>
      <c r="AF599" s="7"/>
    </row>
    <row r="600">
      <c r="AB600" s="7"/>
      <c r="AC600" s="7"/>
      <c r="AD600" s="7"/>
      <c r="AF600" s="7"/>
    </row>
    <row r="601">
      <c r="AB601" s="7"/>
      <c r="AC601" s="7"/>
      <c r="AD601" s="7"/>
      <c r="AF601" s="7"/>
    </row>
    <row r="602">
      <c r="AB602" s="7"/>
      <c r="AC602" s="7"/>
      <c r="AD602" s="7"/>
      <c r="AF602" s="7"/>
    </row>
    <row r="603">
      <c r="AB603" s="7"/>
      <c r="AC603" s="7"/>
      <c r="AD603" s="7"/>
      <c r="AF603" s="7"/>
    </row>
    <row r="604">
      <c r="AB604" s="7"/>
      <c r="AC604" s="7"/>
      <c r="AD604" s="7"/>
      <c r="AF604" s="7"/>
    </row>
    <row r="605">
      <c r="AB605" s="7"/>
      <c r="AC605" s="7"/>
      <c r="AD605" s="7"/>
      <c r="AF605" s="7"/>
    </row>
    <row r="606">
      <c r="AB606" s="7"/>
      <c r="AC606" s="7"/>
      <c r="AD606" s="7"/>
      <c r="AF606" s="7"/>
    </row>
    <row r="607">
      <c r="AB607" s="7"/>
      <c r="AC607" s="7"/>
      <c r="AD607" s="7"/>
      <c r="AF607" s="7"/>
    </row>
    <row r="608">
      <c r="AB608" s="7"/>
      <c r="AC608" s="7"/>
      <c r="AD608" s="7"/>
      <c r="AF608" s="7"/>
    </row>
    <row r="609">
      <c r="AB609" s="7"/>
      <c r="AC609" s="7"/>
      <c r="AD609" s="7"/>
      <c r="AF609" s="7"/>
    </row>
    <row r="610">
      <c r="AB610" s="7"/>
      <c r="AC610" s="7"/>
      <c r="AD610" s="7"/>
      <c r="AF610" s="7"/>
    </row>
    <row r="611">
      <c r="AB611" s="7"/>
      <c r="AC611" s="7"/>
      <c r="AD611" s="7"/>
      <c r="AF611" s="7"/>
    </row>
    <row r="612">
      <c r="AB612" s="7"/>
      <c r="AC612" s="7"/>
      <c r="AD612" s="7"/>
      <c r="AF612" s="7"/>
    </row>
    <row r="613">
      <c r="AB613" s="7"/>
      <c r="AC613" s="7"/>
      <c r="AD613" s="7"/>
      <c r="AF613" s="7"/>
    </row>
    <row r="614">
      <c r="AB614" s="7"/>
      <c r="AC614" s="7"/>
      <c r="AD614" s="7"/>
      <c r="AF614" s="7"/>
    </row>
    <row r="615">
      <c r="AB615" s="7"/>
      <c r="AC615" s="7"/>
      <c r="AD615" s="7"/>
      <c r="AF615" s="7"/>
    </row>
    <row r="616">
      <c r="AB616" s="7"/>
      <c r="AC616" s="7"/>
      <c r="AD616" s="7"/>
      <c r="AF616" s="7"/>
    </row>
    <row r="617">
      <c r="AB617" s="7"/>
      <c r="AC617" s="7"/>
      <c r="AD617" s="7"/>
      <c r="AF617" s="7"/>
    </row>
    <row r="618">
      <c r="AB618" s="7"/>
      <c r="AC618" s="7"/>
      <c r="AD618" s="7"/>
      <c r="AF618" s="7"/>
    </row>
    <row r="619">
      <c r="AB619" s="7"/>
      <c r="AC619" s="7"/>
      <c r="AD619" s="7"/>
      <c r="AF619" s="7"/>
    </row>
    <row r="620">
      <c r="AB620" s="7"/>
      <c r="AC620" s="7"/>
      <c r="AD620" s="7"/>
      <c r="AF620" s="7"/>
    </row>
    <row r="621">
      <c r="AB621" s="7"/>
      <c r="AC621" s="7"/>
      <c r="AD621" s="7"/>
      <c r="AF621" s="7"/>
    </row>
    <row r="622">
      <c r="AB622" s="7"/>
      <c r="AC622" s="7"/>
      <c r="AD622" s="7"/>
      <c r="AF622" s="7"/>
    </row>
    <row r="623">
      <c r="AB623" s="7"/>
      <c r="AC623" s="7"/>
      <c r="AD623" s="7"/>
      <c r="AF623" s="7"/>
    </row>
    <row r="624">
      <c r="AB624" s="7"/>
      <c r="AC624" s="7"/>
      <c r="AD624" s="7"/>
      <c r="AF624" s="7"/>
    </row>
    <row r="625">
      <c r="AB625" s="7"/>
      <c r="AC625" s="7"/>
      <c r="AD625" s="7"/>
      <c r="AF625" s="7"/>
    </row>
    <row r="626">
      <c r="AB626" s="7"/>
      <c r="AC626" s="7"/>
      <c r="AD626" s="7"/>
      <c r="AF626" s="7"/>
    </row>
    <row r="627">
      <c r="AB627" s="7"/>
      <c r="AC627" s="7"/>
      <c r="AD627" s="7"/>
      <c r="AF627" s="7"/>
    </row>
    <row r="628">
      <c r="AB628" s="7"/>
      <c r="AC628" s="7"/>
      <c r="AD628" s="7"/>
      <c r="AF628" s="7"/>
    </row>
    <row r="629">
      <c r="AB629" s="7"/>
      <c r="AC629" s="7"/>
      <c r="AD629" s="7"/>
      <c r="AF629" s="7"/>
    </row>
    <row r="630">
      <c r="AB630" s="7"/>
      <c r="AC630" s="7"/>
      <c r="AD630" s="7"/>
      <c r="AF630" s="7"/>
    </row>
    <row r="631">
      <c r="AB631" s="7"/>
      <c r="AC631" s="7"/>
      <c r="AD631" s="7"/>
      <c r="AF631" s="7"/>
    </row>
    <row r="632">
      <c r="AB632" s="7"/>
      <c r="AC632" s="7"/>
      <c r="AD632" s="7"/>
      <c r="AF632" s="7"/>
    </row>
    <row r="633">
      <c r="AB633" s="7"/>
      <c r="AC633" s="7"/>
      <c r="AD633" s="7"/>
      <c r="AF633" s="7"/>
    </row>
    <row r="634">
      <c r="AB634" s="7"/>
      <c r="AC634" s="7"/>
      <c r="AD634" s="7"/>
      <c r="AF634" s="7"/>
    </row>
    <row r="635">
      <c r="AB635" s="7"/>
      <c r="AC635" s="7"/>
      <c r="AD635" s="7"/>
      <c r="AF635" s="7"/>
    </row>
    <row r="636">
      <c r="AB636" s="7"/>
      <c r="AC636" s="7"/>
      <c r="AD636" s="7"/>
      <c r="AF636" s="7"/>
    </row>
    <row r="637">
      <c r="AB637" s="7"/>
      <c r="AC637" s="7"/>
      <c r="AD637" s="7"/>
      <c r="AF637" s="7"/>
    </row>
    <row r="638">
      <c r="AB638" s="7"/>
      <c r="AC638" s="7"/>
      <c r="AD638" s="7"/>
      <c r="AF638" s="7"/>
    </row>
    <row r="639">
      <c r="AB639" s="7"/>
      <c r="AC639" s="7"/>
      <c r="AD639" s="7"/>
      <c r="AF639" s="7"/>
    </row>
    <row r="640">
      <c r="AB640" s="7"/>
      <c r="AC640" s="7"/>
      <c r="AD640" s="7"/>
      <c r="AF640" s="7"/>
    </row>
    <row r="641">
      <c r="AB641" s="7"/>
      <c r="AC641" s="7"/>
      <c r="AD641" s="7"/>
      <c r="AF641" s="7"/>
    </row>
    <row r="642">
      <c r="AB642" s="7"/>
      <c r="AC642" s="7"/>
      <c r="AD642" s="7"/>
      <c r="AF642" s="7"/>
    </row>
    <row r="643">
      <c r="AB643" s="7"/>
      <c r="AC643" s="7"/>
      <c r="AD643" s="7"/>
      <c r="AF643" s="7"/>
    </row>
    <row r="644">
      <c r="AB644" s="7"/>
      <c r="AC644" s="7"/>
      <c r="AD644" s="7"/>
      <c r="AF644" s="7"/>
    </row>
    <row r="645">
      <c r="AB645" s="7"/>
      <c r="AC645" s="7"/>
      <c r="AD645" s="7"/>
      <c r="AF645" s="7"/>
    </row>
    <row r="646">
      <c r="AB646" s="7"/>
      <c r="AC646" s="7"/>
      <c r="AD646" s="7"/>
      <c r="AF646" s="7"/>
    </row>
    <row r="647">
      <c r="AB647" s="7"/>
      <c r="AC647" s="7"/>
      <c r="AD647" s="7"/>
      <c r="AF647" s="7"/>
    </row>
    <row r="648">
      <c r="AB648" s="7"/>
      <c r="AC648" s="7"/>
      <c r="AD648" s="7"/>
      <c r="AF648" s="7"/>
    </row>
    <row r="649">
      <c r="AB649" s="7"/>
      <c r="AC649" s="7"/>
      <c r="AD649" s="7"/>
      <c r="AF649" s="7"/>
    </row>
    <row r="650">
      <c r="AB650" s="7"/>
      <c r="AC650" s="7"/>
      <c r="AD650" s="7"/>
      <c r="AF650" s="7"/>
    </row>
    <row r="651">
      <c r="AB651" s="7"/>
      <c r="AC651" s="7"/>
      <c r="AD651" s="7"/>
      <c r="AF651" s="7"/>
    </row>
    <row r="652">
      <c r="AB652" s="7"/>
      <c r="AC652" s="7"/>
      <c r="AD652" s="7"/>
      <c r="AF652" s="7"/>
    </row>
    <row r="653">
      <c r="AB653" s="7"/>
      <c r="AC653" s="7"/>
      <c r="AD653" s="7"/>
      <c r="AF653" s="7"/>
    </row>
    <row r="654">
      <c r="AB654" s="7"/>
      <c r="AC654" s="7"/>
      <c r="AD654" s="7"/>
      <c r="AF654" s="7"/>
    </row>
    <row r="655">
      <c r="AB655" s="7"/>
      <c r="AC655" s="7"/>
      <c r="AD655" s="7"/>
      <c r="AF655" s="7"/>
    </row>
    <row r="656">
      <c r="AB656" s="7"/>
      <c r="AC656" s="7"/>
      <c r="AD656" s="7"/>
      <c r="AF656" s="7"/>
    </row>
    <row r="657">
      <c r="AB657" s="7"/>
      <c r="AC657" s="7"/>
      <c r="AD657" s="7"/>
      <c r="AF657" s="7"/>
    </row>
    <row r="658">
      <c r="AB658" s="7"/>
      <c r="AC658" s="7"/>
      <c r="AD658" s="7"/>
      <c r="AF658" s="7"/>
    </row>
    <row r="659">
      <c r="AB659" s="7"/>
      <c r="AC659" s="7"/>
      <c r="AD659" s="7"/>
      <c r="AF659" s="7"/>
    </row>
    <row r="660">
      <c r="AB660" s="7"/>
      <c r="AC660" s="7"/>
      <c r="AD660" s="7"/>
      <c r="AF660" s="7"/>
    </row>
    <row r="661">
      <c r="AB661" s="7"/>
      <c r="AC661" s="7"/>
      <c r="AD661" s="7"/>
      <c r="AF661" s="7"/>
    </row>
    <row r="662">
      <c r="AB662" s="7"/>
      <c r="AC662" s="7"/>
      <c r="AD662" s="7"/>
      <c r="AF662" s="7"/>
    </row>
    <row r="663">
      <c r="AB663" s="7"/>
      <c r="AC663" s="7"/>
      <c r="AD663" s="7"/>
      <c r="AF663" s="7"/>
    </row>
    <row r="664">
      <c r="AB664" s="7"/>
      <c r="AC664" s="7"/>
      <c r="AD664" s="7"/>
      <c r="AF664" s="7"/>
    </row>
    <row r="665">
      <c r="AB665" s="7"/>
      <c r="AC665" s="7"/>
      <c r="AD665" s="7"/>
      <c r="AF665" s="7"/>
    </row>
    <row r="666">
      <c r="AB666" s="7"/>
      <c r="AC666" s="7"/>
      <c r="AD666" s="7"/>
      <c r="AF666" s="7"/>
    </row>
    <row r="667">
      <c r="AB667" s="7"/>
      <c r="AC667" s="7"/>
      <c r="AD667" s="7"/>
      <c r="AF667" s="7"/>
    </row>
    <row r="668">
      <c r="AB668" s="7"/>
      <c r="AC668" s="7"/>
      <c r="AD668" s="7"/>
      <c r="AF668" s="7"/>
    </row>
    <row r="669">
      <c r="AB669" s="7"/>
      <c r="AC669" s="7"/>
      <c r="AD669" s="7"/>
      <c r="AF669" s="7"/>
    </row>
    <row r="670">
      <c r="AB670" s="7"/>
      <c r="AC670" s="7"/>
      <c r="AD670" s="7"/>
      <c r="AF670" s="7"/>
    </row>
    <row r="671">
      <c r="AB671" s="7"/>
      <c r="AC671" s="7"/>
      <c r="AD671" s="7"/>
      <c r="AF671" s="7"/>
    </row>
    <row r="672">
      <c r="AB672" s="7"/>
      <c r="AC672" s="7"/>
      <c r="AD672" s="7"/>
      <c r="AF672" s="7"/>
    </row>
    <row r="673">
      <c r="AB673" s="7"/>
      <c r="AC673" s="7"/>
      <c r="AD673" s="7"/>
      <c r="AF673" s="7"/>
    </row>
    <row r="674">
      <c r="AB674" s="7"/>
      <c r="AC674" s="7"/>
      <c r="AD674" s="7"/>
      <c r="AF674" s="7"/>
    </row>
    <row r="675">
      <c r="AB675" s="7"/>
      <c r="AC675" s="7"/>
      <c r="AD675" s="7"/>
      <c r="AF675" s="7"/>
    </row>
    <row r="676">
      <c r="AB676" s="7"/>
      <c r="AC676" s="7"/>
      <c r="AD676" s="7"/>
      <c r="AF676" s="7"/>
    </row>
    <row r="677">
      <c r="AB677" s="7"/>
      <c r="AC677" s="7"/>
      <c r="AD677" s="7"/>
      <c r="AF677" s="7"/>
    </row>
    <row r="678">
      <c r="AB678" s="7"/>
      <c r="AC678" s="7"/>
      <c r="AD678" s="7"/>
      <c r="AF678" s="7"/>
    </row>
    <row r="679">
      <c r="AB679" s="7"/>
      <c r="AC679" s="7"/>
      <c r="AD679" s="7"/>
      <c r="AF679" s="7"/>
    </row>
    <row r="680">
      <c r="AB680" s="7"/>
      <c r="AC680" s="7"/>
      <c r="AD680" s="7"/>
      <c r="AF680" s="7"/>
    </row>
    <row r="681">
      <c r="AB681" s="7"/>
      <c r="AC681" s="7"/>
      <c r="AD681" s="7"/>
      <c r="AF681" s="7"/>
    </row>
    <row r="682">
      <c r="AB682" s="7"/>
      <c r="AC682" s="7"/>
      <c r="AD682" s="7"/>
      <c r="AF682" s="7"/>
    </row>
    <row r="683">
      <c r="AB683" s="7"/>
      <c r="AC683" s="7"/>
      <c r="AD683" s="7"/>
      <c r="AF683" s="7"/>
    </row>
    <row r="684">
      <c r="AB684" s="7"/>
      <c r="AC684" s="7"/>
      <c r="AD684" s="7"/>
      <c r="AF684" s="7"/>
    </row>
    <row r="685">
      <c r="AB685" s="7"/>
      <c r="AC685" s="7"/>
      <c r="AD685" s="7"/>
      <c r="AF685" s="7"/>
    </row>
    <row r="686">
      <c r="AB686" s="7"/>
      <c r="AC686" s="7"/>
      <c r="AD686" s="7"/>
      <c r="AF686" s="7"/>
    </row>
    <row r="687">
      <c r="AB687" s="7"/>
      <c r="AC687" s="7"/>
      <c r="AD687" s="7"/>
      <c r="AF687" s="7"/>
    </row>
    <row r="688">
      <c r="AB688" s="7"/>
      <c r="AC688" s="7"/>
      <c r="AD688" s="7"/>
      <c r="AF688" s="7"/>
    </row>
    <row r="689">
      <c r="AB689" s="7"/>
      <c r="AC689" s="7"/>
      <c r="AD689" s="7"/>
      <c r="AF689" s="7"/>
    </row>
    <row r="690">
      <c r="AB690" s="7"/>
      <c r="AC690" s="7"/>
      <c r="AD690" s="7"/>
      <c r="AF690" s="7"/>
    </row>
    <row r="691">
      <c r="AB691" s="7"/>
      <c r="AC691" s="7"/>
      <c r="AD691" s="7"/>
      <c r="AF691" s="7"/>
    </row>
    <row r="692">
      <c r="AB692" s="7"/>
      <c r="AC692" s="7"/>
      <c r="AD692" s="7"/>
      <c r="AF692" s="7"/>
    </row>
    <row r="693">
      <c r="AB693" s="7"/>
      <c r="AC693" s="7"/>
      <c r="AD693" s="7"/>
      <c r="AF693" s="7"/>
    </row>
    <row r="694">
      <c r="AB694" s="7"/>
      <c r="AC694" s="7"/>
      <c r="AD694" s="7"/>
      <c r="AF694" s="7"/>
    </row>
    <row r="695">
      <c r="AB695" s="7"/>
      <c r="AC695" s="7"/>
      <c r="AD695" s="7"/>
      <c r="AF695" s="7"/>
    </row>
    <row r="696">
      <c r="AB696" s="7"/>
      <c r="AC696" s="7"/>
      <c r="AD696" s="7"/>
      <c r="AF696" s="7"/>
    </row>
    <row r="697">
      <c r="AB697" s="7"/>
      <c r="AC697" s="7"/>
      <c r="AD697" s="7"/>
      <c r="AF697" s="7"/>
    </row>
    <row r="698">
      <c r="AB698" s="7"/>
      <c r="AC698" s="7"/>
      <c r="AD698" s="7"/>
      <c r="AF698" s="7"/>
    </row>
    <row r="699">
      <c r="AB699" s="7"/>
      <c r="AC699" s="7"/>
      <c r="AD699" s="7"/>
      <c r="AF699" s="7"/>
    </row>
    <row r="700">
      <c r="AB700" s="7"/>
      <c r="AC700" s="7"/>
      <c r="AD700" s="7"/>
      <c r="AF700" s="7"/>
    </row>
    <row r="701">
      <c r="AB701" s="7"/>
      <c r="AC701" s="7"/>
      <c r="AD701" s="7"/>
      <c r="AF701" s="7"/>
    </row>
    <row r="702">
      <c r="AB702" s="7"/>
      <c r="AC702" s="7"/>
      <c r="AD702" s="7"/>
      <c r="AF702" s="7"/>
    </row>
    <row r="703">
      <c r="AB703" s="7"/>
      <c r="AC703" s="7"/>
      <c r="AD703" s="7"/>
      <c r="AF703" s="7"/>
    </row>
    <row r="704">
      <c r="AB704" s="7"/>
      <c r="AC704" s="7"/>
      <c r="AD704" s="7"/>
      <c r="AF704" s="7"/>
    </row>
    <row r="705">
      <c r="AB705" s="7"/>
      <c r="AC705" s="7"/>
      <c r="AD705" s="7"/>
      <c r="AF705" s="7"/>
    </row>
    <row r="706">
      <c r="AB706" s="7"/>
      <c r="AC706" s="7"/>
      <c r="AD706" s="7"/>
      <c r="AF706" s="7"/>
    </row>
    <row r="707">
      <c r="AB707" s="7"/>
      <c r="AC707" s="7"/>
      <c r="AD707" s="7"/>
      <c r="AF707" s="7"/>
    </row>
    <row r="708">
      <c r="AB708" s="7"/>
      <c r="AC708" s="7"/>
      <c r="AD708" s="7"/>
      <c r="AF708" s="7"/>
    </row>
    <row r="709">
      <c r="AB709" s="7"/>
      <c r="AC709" s="7"/>
      <c r="AD709" s="7"/>
      <c r="AF709" s="7"/>
    </row>
    <row r="710">
      <c r="AB710" s="7"/>
      <c r="AC710" s="7"/>
      <c r="AD710" s="7"/>
      <c r="AF710" s="7"/>
    </row>
    <row r="711">
      <c r="AB711" s="7"/>
      <c r="AC711" s="7"/>
      <c r="AD711" s="7"/>
      <c r="AF711" s="7"/>
    </row>
    <row r="712">
      <c r="AB712" s="7"/>
      <c r="AC712" s="7"/>
      <c r="AD712" s="7"/>
      <c r="AF712" s="7"/>
    </row>
    <row r="713">
      <c r="AB713" s="7"/>
      <c r="AC713" s="7"/>
      <c r="AD713" s="7"/>
      <c r="AF713" s="7"/>
    </row>
    <row r="714">
      <c r="AB714" s="7"/>
      <c r="AC714" s="7"/>
      <c r="AD714" s="7"/>
      <c r="AF714" s="7"/>
    </row>
    <row r="715">
      <c r="AB715" s="7"/>
      <c r="AC715" s="7"/>
      <c r="AD715" s="7"/>
      <c r="AF715" s="7"/>
    </row>
    <row r="716">
      <c r="AB716" s="7"/>
      <c r="AC716" s="7"/>
      <c r="AD716" s="7"/>
      <c r="AF716" s="7"/>
    </row>
    <row r="717">
      <c r="AB717" s="7"/>
      <c r="AC717" s="7"/>
      <c r="AD717" s="7"/>
      <c r="AF717" s="7"/>
    </row>
    <row r="718">
      <c r="AB718" s="7"/>
      <c r="AC718" s="7"/>
      <c r="AD718" s="7"/>
      <c r="AF718" s="7"/>
    </row>
    <row r="719">
      <c r="AB719" s="7"/>
      <c r="AC719" s="7"/>
      <c r="AD719" s="7"/>
      <c r="AF719" s="7"/>
    </row>
    <row r="720">
      <c r="AB720" s="7"/>
      <c r="AC720" s="7"/>
      <c r="AD720" s="7"/>
      <c r="AF720" s="7"/>
    </row>
    <row r="721">
      <c r="AB721" s="7"/>
      <c r="AC721" s="7"/>
      <c r="AD721" s="7"/>
      <c r="AF721" s="7"/>
    </row>
    <row r="722">
      <c r="AB722" s="7"/>
      <c r="AC722" s="7"/>
      <c r="AD722" s="7"/>
      <c r="AF722" s="7"/>
    </row>
    <row r="723">
      <c r="AB723" s="7"/>
      <c r="AC723" s="7"/>
      <c r="AD723" s="7"/>
      <c r="AF723" s="7"/>
    </row>
    <row r="724">
      <c r="AB724" s="7"/>
      <c r="AC724" s="7"/>
      <c r="AD724" s="7"/>
      <c r="AF724" s="7"/>
    </row>
    <row r="725">
      <c r="AB725" s="7"/>
      <c r="AC725" s="7"/>
      <c r="AD725" s="7"/>
      <c r="AF725" s="7"/>
    </row>
    <row r="726">
      <c r="AB726" s="7"/>
      <c r="AC726" s="7"/>
      <c r="AD726" s="7"/>
      <c r="AF726" s="7"/>
    </row>
    <row r="727">
      <c r="AB727" s="7"/>
      <c r="AC727" s="7"/>
      <c r="AD727" s="7"/>
      <c r="AF727" s="7"/>
    </row>
    <row r="728">
      <c r="AB728" s="7"/>
      <c r="AC728" s="7"/>
      <c r="AD728" s="7"/>
      <c r="AF728" s="7"/>
    </row>
    <row r="729">
      <c r="AB729" s="7"/>
      <c r="AC729" s="7"/>
      <c r="AD729" s="7"/>
      <c r="AF729" s="7"/>
    </row>
    <row r="730">
      <c r="AB730" s="7"/>
      <c r="AC730" s="7"/>
      <c r="AD730" s="7"/>
      <c r="AF730" s="7"/>
    </row>
    <row r="731">
      <c r="AB731" s="7"/>
      <c r="AC731" s="7"/>
      <c r="AD731" s="7"/>
      <c r="AF731" s="7"/>
    </row>
    <row r="732">
      <c r="AB732" s="7"/>
      <c r="AC732" s="7"/>
      <c r="AD732" s="7"/>
      <c r="AF732" s="7"/>
    </row>
    <row r="733">
      <c r="AB733" s="7"/>
      <c r="AC733" s="7"/>
      <c r="AD733" s="7"/>
      <c r="AF733" s="7"/>
    </row>
    <row r="734">
      <c r="AB734" s="7"/>
      <c r="AC734" s="7"/>
      <c r="AD734" s="7"/>
      <c r="AF734" s="7"/>
    </row>
    <row r="735">
      <c r="AB735" s="7"/>
      <c r="AC735" s="7"/>
      <c r="AD735" s="7"/>
      <c r="AF735" s="7"/>
    </row>
    <row r="736">
      <c r="AB736" s="7"/>
      <c r="AC736" s="7"/>
      <c r="AD736" s="7"/>
      <c r="AF736" s="7"/>
    </row>
    <row r="737">
      <c r="AB737" s="7"/>
      <c r="AC737" s="7"/>
      <c r="AD737" s="7"/>
      <c r="AF737" s="7"/>
    </row>
    <row r="738">
      <c r="AB738" s="7"/>
      <c r="AC738" s="7"/>
      <c r="AD738" s="7"/>
      <c r="AF738" s="7"/>
    </row>
    <row r="739">
      <c r="AB739" s="7"/>
      <c r="AC739" s="7"/>
      <c r="AD739" s="7"/>
      <c r="AF739" s="7"/>
    </row>
    <row r="740">
      <c r="AB740" s="7"/>
      <c r="AC740" s="7"/>
      <c r="AD740" s="7"/>
      <c r="AF740" s="7"/>
    </row>
    <row r="741">
      <c r="AB741" s="7"/>
      <c r="AC741" s="7"/>
      <c r="AD741" s="7"/>
      <c r="AF741" s="7"/>
    </row>
    <row r="742">
      <c r="AB742" s="7"/>
      <c r="AC742" s="7"/>
      <c r="AD742" s="7"/>
      <c r="AF742" s="7"/>
    </row>
    <row r="743">
      <c r="AB743" s="7"/>
      <c r="AC743" s="7"/>
      <c r="AD743" s="7"/>
      <c r="AF743" s="7"/>
    </row>
    <row r="744">
      <c r="AB744" s="7"/>
      <c r="AC744" s="7"/>
      <c r="AD744" s="7"/>
      <c r="AF744" s="7"/>
    </row>
    <row r="745">
      <c r="AB745" s="7"/>
      <c r="AC745" s="7"/>
      <c r="AD745" s="7"/>
      <c r="AF745" s="7"/>
    </row>
    <row r="746">
      <c r="AB746" s="7"/>
      <c r="AC746" s="7"/>
      <c r="AD746" s="7"/>
      <c r="AF746" s="7"/>
    </row>
    <row r="747">
      <c r="AB747" s="7"/>
      <c r="AC747" s="7"/>
      <c r="AD747" s="7"/>
      <c r="AF747" s="7"/>
    </row>
    <row r="748">
      <c r="AB748" s="7"/>
      <c r="AC748" s="7"/>
      <c r="AD748" s="7"/>
      <c r="AF748" s="7"/>
    </row>
    <row r="749">
      <c r="AB749" s="7"/>
      <c r="AC749" s="7"/>
      <c r="AD749" s="7"/>
      <c r="AF749" s="7"/>
    </row>
    <row r="750">
      <c r="AB750" s="7"/>
      <c r="AC750" s="7"/>
      <c r="AD750" s="7"/>
      <c r="AF750" s="7"/>
    </row>
    <row r="751">
      <c r="AB751" s="7"/>
      <c r="AC751" s="7"/>
      <c r="AD751" s="7"/>
      <c r="AF751" s="7"/>
    </row>
    <row r="752">
      <c r="AB752" s="7"/>
      <c r="AC752" s="7"/>
      <c r="AD752" s="7"/>
      <c r="AF752" s="7"/>
    </row>
    <row r="753">
      <c r="AB753" s="7"/>
      <c r="AC753" s="7"/>
      <c r="AD753" s="7"/>
      <c r="AF753" s="7"/>
    </row>
    <row r="754">
      <c r="AB754" s="7"/>
      <c r="AC754" s="7"/>
      <c r="AD754" s="7"/>
      <c r="AF754" s="7"/>
    </row>
    <row r="755">
      <c r="AB755" s="7"/>
      <c r="AC755" s="7"/>
      <c r="AD755" s="7"/>
      <c r="AF755" s="7"/>
    </row>
    <row r="756">
      <c r="AB756" s="7"/>
      <c r="AC756" s="7"/>
      <c r="AD756" s="7"/>
      <c r="AF756" s="7"/>
    </row>
    <row r="757">
      <c r="AB757" s="7"/>
      <c r="AC757" s="7"/>
      <c r="AD757" s="7"/>
      <c r="AF757" s="7"/>
    </row>
    <row r="758">
      <c r="AB758" s="7"/>
      <c r="AC758" s="7"/>
      <c r="AD758" s="7"/>
      <c r="AF758" s="7"/>
    </row>
    <row r="759">
      <c r="AB759" s="7"/>
      <c r="AC759" s="7"/>
      <c r="AD759" s="7"/>
      <c r="AF759" s="7"/>
    </row>
    <row r="760">
      <c r="AB760" s="7"/>
      <c r="AC760" s="7"/>
      <c r="AD760" s="7"/>
      <c r="AF760" s="7"/>
    </row>
    <row r="761">
      <c r="AB761" s="7"/>
      <c r="AC761" s="7"/>
      <c r="AD761" s="7"/>
      <c r="AF761" s="7"/>
    </row>
    <row r="762">
      <c r="AB762" s="7"/>
      <c r="AC762" s="7"/>
      <c r="AD762" s="7"/>
      <c r="AF762" s="7"/>
    </row>
    <row r="763">
      <c r="AB763" s="7"/>
      <c r="AC763" s="7"/>
      <c r="AD763" s="7"/>
      <c r="AF763" s="7"/>
    </row>
    <row r="764">
      <c r="AB764" s="7"/>
      <c r="AC764" s="7"/>
      <c r="AD764" s="7"/>
      <c r="AF764" s="7"/>
    </row>
    <row r="765">
      <c r="AB765" s="7"/>
      <c r="AC765" s="7"/>
      <c r="AD765" s="7"/>
      <c r="AF765" s="7"/>
    </row>
    <row r="766">
      <c r="AB766" s="7"/>
      <c r="AC766" s="7"/>
      <c r="AD766" s="7"/>
      <c r="AF766" s="7"/>
    </row>
    <row r="767">
      <c r="AB767" s="7"/>
      <c r="AC767" s="7"/>
      <c r="AD767" s="7"/>
      <c r="AF767" s="7"/>
    </row>
    <row r="768">
      <c r="AB768" s="7"/>
      <c r="AC768" s="7"/>
      <c r="AD768" s="7"/>
      <c r="AF768" s="7"/>
    </row>
    <row r="769">
      <c r="AB769" s="7"/>
      <c r="AC769" s="7"/>
      <c r="AD769" s="7"/>
      <c r="AF769" s="7"/>
    </row>
    <row r="770">
      <c r="AB770" s="7"/>
      <c r="AC770" s="7"/>
      <c r="AD770" s="7"/>
      <c r="AF770" s="7"/>
    </row>
    <row r="771">
      <c r="AB771" s="7"/>
      <c r="AC771" s="7"/>
      <c r="AD771" s="7"/>
      <c r="AF771" s="7"/>
    </row>
    <row r="772">
      <c r="AB772" s="7"/>
      <c r="AC772" s="7"/>
      <c r="AD772" s="7"/>
      <c r="AF772" s="7"/>
    </row>
    <row r="773">
      <c r="AB773" s="7"/>
      <c r="AC773" s="7"/>
      <c r="AD773" s="7"/>
      <c r="AF773" s="7"/>
    </row>
    <row r="774">
      <c r="AB774" s="7"/>
      <c r="AC774" s="7"/>
      <c r="AD774" s="7"/>
      <c r="AF774" s="7"/>
    </row>
    <row r="775">
      <c r="AB775" s="7"/>
      <c r="AC775" s="7"/>
      <c r="AD775" s="7"/>
      <c r="AF775" s="7"/>
    </row>
    <row r="776">
      <c r="AB776" s="7"/>
      <c r="AC776" s="7"/>
      <c r="AD776" s="7"/>
      <c r="AF776" s="7"/>
    </row>
    <row r="777">
      <c r="AB777" s="7"/>
      <c r="AC777" s="7"/>
      <c r="AD777" s="7"/>
      <c r="AF777" s="7"/>
    </row>
    <row r="778">
      <c r="AB778" s="7"/>
      <c r="AC778" s="7"/>
      <c r="AD778" s="7"/>
      <c r="AF778" s="7"/>
    </row>
    <row r="779">
      <c r="AB779" s="7"/>
      <c r="AC779" s="7"/>
      <c r="AD779" s="7"/>
      <c r="AF779" s="7"/>
    </row>
    <row r="780">
      <c r="AB780" s="7"/>
      <c r="AC780" s="7"/>
      <c r="AD780" s="7"/>
      <c r="AF780" s="7"/>
    </row>
    <row r="781">
      <c r="AB781" s="7"/>
      <c r="AC781" s="7"/>
      <c r="AD781" s="7"/>
      <c r="AF781" s="7"/>
    </row>
    <row r="782">
      <c r="AB782" s="7"/>
      <c r="AC782" s="7"/>
      <c r="AD782" s="7"/>
      <c r="AF782" s="7"/>
    </row>
    <row r="783">
      <c r="AB783" s="7"/>
      <c r="AC783" s="7"/>
      <c r="AD783" s="7"/>
      <c r="AF783" s="7"/>
    </row>
    <row r="784">
      <c r="AB784" s="7"/>
      <c r="AC784" s="7"/>
      <c r="AD784" s="7"/>
      <c r="AF784" s="7"/>
    </row>
    <row r="785">
      <c r="AB785" s="7"/>
      <c r="AC785" s="7"/>
      <c r="AD785" s="7"/>
      <c r="AF785" s="7"/>
    </row>
    <row r="786">
      <c r="AB786" s="7"/>
      <c r="AC786" s="7"/>
      <c r="AD786" s="7"/>
      <c r="AF786" s="7"/>
    </row>
    <row r="787">
      <c r="AB787" s="7"/>
      <c r="AC787" s="7"/>
      <c r="AD787" s="7"/>
      <c r="AF787" s="7"/>
    </row>
    <row r="788">
      <c r="AB788" s="7"/>
      <c r="AC788" s="7"/>
      <c r="AD788" s="7"/>
      <c r="AF788" s="7"/>
    </row>
    <row r="789">
      <c r="AB789" s="7"/>
      <c r="AC789" s="7"/>
      <c r="AD789" s="7"/>
      <c r="AF789" s="7"/>
    </row>
    <row r="790">
      <c r="AB790" s="7"/>
      <c r="AC790" s="7"/>
      <c r="AD790" s="7"/>
      <c r="AF790" s="7"/>
    </row>
    <row r="791">
      <c r="AB791" s="7"/>
      <c r="AC791" s="7"/>
      <c r="AD791" s="7"/>
      <c r="AF791" s="7"/>
    </row>
    <row r="792">
      <c r="AB792" s="7"/>
      <c r="AC792" s="7"/>
      <c r="AD792" s="7"/>
      <c r="AF792" s="7"/>
    </row>
    <row r="793">
      <c r="AB793" s="7"/>
      <c r="AC793" s="7"/>
      <c r="AD793" s="7"/>
      <c r="AF793" s="7"/>
    </row>
    <row r="794">
      <c r="AB794" s="7"/>
      <c r="AC794" s="7"/>
      <c r="AD794" s="7"/>
      <c r="AF794" s="7"/>
    </row>
    <row r="795">
      <c r="AB795" s="7"/>
      <c r="AC795" s="7"/>
      <c r="AD795" s="7"/>
      <c r="AF795" s="7"/>
    </row>
    <row r="796">
      <c r="AB796" s="7"/>
      <c r="AC796" s="7"/>
      <c r="AD796" s="7"/>
      <c r="AF796" s="7"/>
    </row>
    <row r="797">
      <c r="AB797" s="7"/>
      <c r="AC797" s="7"/>
      <c r="AD797" s="7"/>
      <c r="AF797" s="7"/>
    </row>
    <row r="798">
      <c r="AB798" s="7"/>
      <c r="AC798" s="7"/>
      <c r="AD798" s="7"/>
      <c r="AF798" s="7"/>
    </row>
    <row r="799">
      <c r="AB799" s="7"/>
      <c r="AC799" s="7"/>
      <c r="AD799" s="7"/>
      <c r="AF799" s="7"/>
    </row>
    <row r="800">
      <c r="AB800" s="7"/>
      <c r="AC800" s="7"/>
      <c r="AD800" s="7"/>
      <c r="AF800" s="7"/>
    </row>
    <row r="801">
      <c r="AF801" s="7"/>
    </row>
    <row r="802">
      <c r="AF802" s="7"/>
    </row>
    <row r="803">
      <c r="AF803" s="7"/>
    </row>
    <row r="804">
      <c r="AF804" s="7"/>
    </row>
    <row r="805">
      <c r="AF805" s="7"/>
    </row>
    <row r="806">
      <c r="AF806" s="7"/>
    </row>
    <row r="807">
      <c r="AF807" s="7"/>
    </row>
    <row r="808">
      <c r="AF808" s="7"/>
    </row>
    <row r="809">
      <c r="AF809" s="7"/>
    </row>
    <row r="810">
      <c r="AF810" s="7"/>
    </row>
    <row r="811">
      <c r="AF811" s="7"/>
    </row>
    <row r="812">
      <c r="AF812" s="7"/>
    </row>
    <row r="813">
      <c r="AF813" s="7"/>
    </row>
    <row r="814">
      <c r="AF814" s="7"/>
    </row>
    <row r="815">
      <c r="AF815" s="7"/>
    </row>
    <row r="816">
      <c r="AF816" s="7"/>
    </row>
    <row r="817">
      <c r="AF817" s="7"/>
    </row>
    <row r="818">
      <c r="AF818" s="7"/>
    </row>
    <row r="819">
      <c r="AF819" s="7"/>
    </row>
    <row r="820">
      <c r="AF820" s="7"/>
    </row>
    <row r="821">
      <c r="AF821" s="7"/>
    </row>
    <row r="822">
      <c r="AF822" s="7"/>
    </row>
    <row r="823">
      <c r="AF823" s="7"/>
    </row>
    <row r="824">
      <c r="AF824" s="7"/>
    </row>
    <row r="825">
      <c r="AF825" s="7"/>
    </row>
    <row r="826">
      <c r="AF826" s="7"/>
    </row>
    <row r="827">
      <c r="AF827" s="7"/>
    </row>
    <row r="828">
      <c r="AF828" s="7"/>
    </row>
    <row r="829">
      <c r="AF829" s="7"/>
    </row>
    <row r="830">
      <c r="AF830" s="7"/>
    </row>
    <row r="831">
      <c r="AF831" s="7"/>
    </row>
    <row r="832">
      <c r="AF832" s="7"/>
    </row>
    <row r="833">
      <c r="AF833" s="7"/>
    </row>
    <row r="834">
      <c r="AF834" s="7"/>
    </row>
    <row r="835">
      <c r="AF835" s="7"/>
    </row>
    <row r="836">
      <c r="AF836" s="7"/>
    </row>
    <row r="837">
      <c r="AF837" s="7"/>
    </row>
    <row r="838">
      <c r="AF838" s="7"/>
    </row>
    <row r="839">
      <c r="AF839" s="7"/>
    </row>
    <row r="840">
      <c r="AF840" s="7"/>
    </row>
    <row r="841">
      <c r="AF841" s="7"/>
    </row>
    <row r="842">
      <c r="AF842" s="7"/>
    </row>
    <row r="843">
      <c r="AF843" s="7"/>
    </row>
    <row r="844">
      <c r="AF844" s="7"/>
    </row>
    <row r="845">
      <c r="AF845" s="7"/>
    </row>
    <row r="846">
      <c r="AF846" s="7"/>
    </row>
    <row r="847">
      <c r="AF847" s="7"/>
    </row>
    <row r="848">
      <c r="AF848" s="7"/>
    </row>
    <row r="849">
      <c r="AF849" s="7"/>
    </row>
    <row r="850">
      <c r="AF850" s="7"/>
    </row>
    <row r="851">
      <c r="AF851" s="7"/>
    </row>
    <row r="852">
      <c r="AF852" s="7"/>
    </row>
    <row r="853">
      <c r="AF853" s="7"/>
    </row>
    <row r="854">
      <c r="AF854" s="7"/>
    </row>
    <row r="855">
      <c r="AF855" s="7"/>
    </row>
    <row r="856">
      <c r="AF856" s="7"/>
    </row>
    <row r="857">
      <c r="AF857" s="7"/>
    </row>
    <row r="858">
      <c r="AF858" s="7"/>
    </row>
    <row r="859">
      <c r="AF859" s="7"/>
    </row>
    <row r="860">
      <c r="AF860" s="7"/>
    </row>
    <row r="861">
      <c r="AF861" s="7"/>
    </row>
    <row r="862">
      <c r="AF862" s="7"/>
    </row>
    <row r="863">
      <c r="AF863" s="7"/>
    </row>
    <row r="864">
      <c r="AF864" s="7"/>
    </row>
    <row r="865">
      <c r="AF865" s="7"/>
    </row>
    <row r="866">
      <c r="AF866" s="7"/>
    </row>
    <row r="867">
      <c r="AF867" s="7"/>
    </row>
    <row r="868">
      <c r="AF868" s="7"/>
    </row>
    <row r="869">
      <c r="AF869" s="7"/>
    </row>
    <row r="870">
      <c r="AF870" s="7"/>
    </row>
    <row r="871">
      <c r="AF871" s="7"/>
    </row>
    <row r="872">
      <c r="AF872" s="7"/>
    </row>
    <row r="873">
      <c r="AF873" s="7"/>
    </row>
    <row r="874">
      <c r="AF874" s="7"/>
    </row>
    <row r="875">
      <c r="AF875" s="7"/>
    </row>
    <row r="876">
      <c r="AF876" s="7"/>
    </row>
    <row r="877">
      <c r="AF877" s="7"/>
    </row>
    <row r="878">
      <c r="AF878" s="7"/>
    </row>
    <row r="879">
      <c r="AF879" s="7"/>
    </row>
    <row r="880">
      <c r="AF880" s="7"/>
    </row>
    <row r="881">
      <c r="AF881" s="7"/>
    </row>
    <row r="882">
      <c r="AF882" s="7"/>
    </row>
    <row r="883">
      <c r="AF883" s="7"/>
    </row>
    <row r="884">
      <c r="AF884" s="7"/>
    </row>
    <row r="885">
      <c r="AF885" s="7"/>
    </row>
    <row r="886">
      <c r="AF886" s="7"/>
    </row>
    <row r="887">
      <c r="AF887" s="7"/>
    </row>
    <row r="888">
      <c r="AF888" s="7"/>
    </row>
    <row r="889">
      <c r="AF889" s="7"/>
    </row>
    <row r="890">
      <c r="AF890" s="7"/>
    </row>
    <row r="891">
      <c r="AF891" s="7"/>
    </row>
    <row r="892">
      <c r="AF892" s="7"/>
    </row>
    <row r="893">
      <c r="AF893" s="7"/>
    </row>
    <row r="894">
      <c r="AF894" s="7"/>
    </row>
    <row r="895">
      <c r="AF895" s="7"/>
    </row>
    <row r="896">
      <c r="AF896" s="7"/>
    </row>
    <row r="897">
      <c r="AF897" s="7"/>
    </row>
    <row r="898">
      <c r="AF898" s="7"/>
    </row>
    <row r="899">
      <c r="AF899" s="7"/>
    </row>
    <row r="900">
      <c r="AF900" s="7"/>
    </row>
    <row r="901">
      <c r="AF901" s="7"/>
    </row>
    <row r="902">
      <c r="AF902" s="7"/>
    </row>
    <row r="903">
      <c r="AF903" s="7"/>
    </row>
    <row r="904">
      <c r="AF904" s="7"/>
    </row>
    <row r="905">
      <c r="AF905" s="7"/>
    </row>
    <row r="906">
      <c r="AF906" s="7"/>
    </row>
    <row r="907">
      <c r="AF907" s="7"/>
    </row>
    <row r="908">
      <c r="AF908" s="7"/>
    </row>
    <row r="909">
      <c r="AF909" s="7"/>
    </row>
    <row r="910">
      <c r="AF910" s="7"/>
    </row>
    <row r="911">
      <c r="AF911" s="7"/>
    </row>
    <row r="912">
      <c r="AF912" s="7"/>
    </row>
    <row r="913">
      <c r="AF913" s="7"/>
    </row>
    <row r="914">
      <c r="AF914" s="7"/>
    </row>
    <row r="915">
      <c r="AF915" s="7"/>
    </row>
    <row r="916">
      <c r="AF916" s="7"/>
    </row>
    <row r="917">
      <c r="AF917" s="7"/>
    </row>
    <row r="918">
      <c r="AF918" s="7"/>
    </row>
    <row r="919">
      <c r="AF919" s="7"/>
    </row>
    <row r="920">
      <c r="AF920" s="7"/>
    </row>
    <row r="921">
      <c r="AF921" s="7"/>
    </row>
    <row r="922">
      <c r="AF922" s="7"/>
    </row>
    <row r="923">
      <c r="AF923" s="7"/>
    </row>
    <row r="924">
      <c r="AF924" s="7"/>
    </row>
    <row r="925">
      <c r="AF925" s="7"/>
    </row>
    <row r="926">
      <c r="AF926" s="7"/>
    </row>
    <row r="927">
      <c r="AF927" s="7"/>
    </row>
    <row r="928">
      <c r="AF928" s="7"/>
    </row>
    <row r="929">
      <c r="AF929" s="7"/>
    </row>
    <row r="930">
      <c r="AF930" s="7"/>
    </row>
    <row r="931">
      <c r="AF931" s="7"/>
    </row>
    <row r="932">
      <c r="AF932" s="7"/>
    </row>
    <row r="933">
      <c r="AF933" s="7"/>
    </row>
    <row r="934">
      <c r="AF934" s="7"/>
    </row>
    <row r="935">
      <c r="AF935" s="7"/>
    </row>
    <row r="936">
      <c r="AF936" s="7"/>
    </row>
    <row r="937">
      <c r="AF937" s="7"/>
    </row>
    <row r="938">
      <c r="AF938" s="7"/>
    </row>
    <row r="939">
      <c r="AF939" s="7"/>
    </row>
    <row r="940">
      <c r="AF940" s="7"/>
    </row>
    <row r="941">
      <c r="AF941" s="7"/>
    </row>
    <row r="942">
      <c r="AF942" s="7"/>
    </row>
    <row r="943">
      <c r="AF943" s="7"/>
    </row>
    <row r="944">
      <c r="AF944" s="7"/>
    </row>
    <row r="945">
      <c r="AF945" s="7"/>
    </row>
    <row r="946">
      <c r="AF946" s="7"/>
    </row>
    <row r="947">
      <c r="AF947" s="7"/>
    </row>
    <row r="948">
      <c r="AF948" s="7"/>
    </row>
    <row r="949">
      <c r="AF949" s="7"/>
    </row>
    <row r="950">
      <c r="AF950" s="7"/>
    </row>
    <row r="951">
      <c r="AF951" s="7"/>
    </row>
    <row r="952">
      <c r="AF952" s="7"/>
    </row>
    <row r="953">
      <c r="AF953" s="7"/>
    </row>
    <row r="954">
      <c r="AF954" s="7"/>
    </row>
    <row r="955">
      <c r="AF955" s="7"/>
    </row>
    <row r="956">
      <c r="AF956" s="7"/>
    </row>
    <row r="957">
      <c r="AF957" s="7"/>
    </row>
    <row r="958">
      <c r="AF958" s="7"/>
    </row>
    <row r="959">
      <c r="AF959" s="7"/>
    </row>
    <row r="960">
      <c r="AF960" s="7"/>
    </row>
    <row r="961">
      <c r="AF961" s="7"/>
    </row>
    <row r="962">
      <c r="AF962" s="7"/>
    </row>
    <row r="963">
      <c r="AF963" s="7"/>
    </row>
    <row r="964">
      <c r="AF964" s="7"/>
    </row>
    <row r="965">
      <c r="AF965" s="7"/>
    </row>
    <row r="966">
      <c r="AF966" s="7"/>
    </row>
    <row r="967">
      <c r="AF967" s="7"/>
    </row>
    <row r="968">
      <c r="AF968" s="7"/>
    </row>
    <row r="969">
      <c r="AF969" s="7"/>
    </row>
    <row r="970">
      <c r="AF970" s="7"/>
    </row>
    <row r="971">
      <c r="AF971" s="7"/>
    </row>
    <row r="972">
      <c r="AF972" s="7"/>
    </row>
    <row r="973">
      <c r="AF973" s="7"/>
    </row>
    <row r="974">
      <c r="AF974" s="7"/>
    </row>
    <row r="975">
      <c r="AF975" s="7"/>
    </row>
    <row r="976">
      <c r="AF976" s="7"/>
    </row>
    <row r="977">
      <c r="AF977" s="7"/>
    </row>
    <row r="978">
      <c r="AF978" s="7"/>
    </row>
    <row r="979">
      <c r="AF979" s="7"/>
    </row>
    <row r="980">
      <c r="AF980" s="7"/>
    </row>
    <row r="981">
      <c r="AF981" s="7"/>
    </row>
    <row r="982">
      <c r="AF982" s="7"/>
    </row>
    <row r="983">
      <c r="AF983" s="7"/>
    </row>
    <row r="984">
      <c r="AF984" s="7"/>
    </row>
    <row r="985">
      <c r="AF985" s="7"/>
    </row>
    <row r="986">
      <c r="AF986" s="7"/>
    </row>
    <row r="987">
      <c r="AF987" s="7"/>
    </row>
    <row r="988">
      <c r="AF988" s="7"/>
    </row>
    <row r="989">
      <c r="AF989" s="7"/>
    </row>
    <row r="990">
      <c r="AF990" s="7"/>
    </row>
    <row r="991">
      <c r="AF991" s="7"/>
    </row>
    <row r="992">
      <c r="AF992" s="7"/>
    </row>
    <row r="993">
      <c r="AF993" s="7"/>
    </row>
    <row r="994">
      <c r="AF994" s="7"/>
    </row>
    <row r="995">
      <c r="AF995" s="7"/>
    </row>
    <row r="996">
      <c r="AF996" s="7"/>
    </row>
    <row r="997">
      <c r="AF997" s="7"/>
    </row>
    <row r="998">
      <c r="AF998" s="7"/>
    </row>
    <row r="999">
      <c r="AF999" s="7"/>
    </row>
    <row r="1000">
      <c r="AF1000" s="7"/>
    </row>
    <row r="1001">
      <c r="AF1001" s="7"/>
    </row>
    <row r="1002">
      <c r="AF1002" s="7"/>
    </row>
  </sheetData>
  <conditionalFormatting sqref="B4:B134">
    <cfRule type="cellIs" dxfId="1" priority="1" operator="equal">
      <formula>"Pago"</formula>
    </cfRule>
  </conditionalFormatting>
  <conditionalFormatting sqref="G1 D4:G218">
    <cfRule type="cellIs" dxfId="1" priority="2" operator="equal">
      <formula>"Si"</formula>
    </cfRule>
  </conditionalFormatting>
  <conditionalFormatting sqref="C4:C190">
    <cfRule type="cellIs" dxfId="1" priority="3" operator="equal">
      <formula>"ok"</formula>
    </cfRule>
  </conditionalFormatting>
  <conditionalFormatting sqref="AB3:AD800">
    <cfRule type="cellIs" dxfId="3" priority="4" operator="equal">
      <formula>"Terminado"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1" width="20.13"/>
    <col customWidth="1" min="2" max="3" width="13.88"/>
    <col customWidth="1" min="4" max="4" width="15.5"/>
    <col customWidth="1" min="5" max="5" width="19.25"/>
    <col customWidth="1" min="6" max="6" width="4.63"/>
    <col customWidth="1" hidden="1" min="7" max="7" width="5.13"/>
    <col customWidth="1" hidden="1" min="8" max="8" width="4.38"/>
    <col hidden="1" min="9" max="9" width="12.63"/>
    <col customWidth="1" hidden="1" min="10" max="10" width="4.75"/>
    <col hidden="1" min="11" max="11" width="12.63"/>
    <col customWidth="1" min="12" max="12" width="8.5"/>
    <col customWidth="1" min="13" max="13" width="16.38"/>
    <col customWidth="1" min="14" max="14" width="15.25"/>
    <col hidden="1" min="15" max="16" width="12.63"/>
    <col customWidth="1" min="17" max="17" width="8.38"/>
    <col hidden="1" min="19" max="24" width="12.63"/>
    <col customWidth="1" hidden="1" min="25" max="25" width="17.38"/>
    <col customWidth="1" hidden="1" min="26" max="26" width="7.13"/>
    <col hidden="1" min="27" max="27" width="12.63"/>
    <col hidden="1" min="29" max="31" width="12.63"/>
  </cols>
  <sheetData>
    <row r="1">
      <c r="A1" s="59"/>
      <c r="B1" s="60" t="s">
        <v>33</v>
      </c>
      <c r="D1" s="61"/>
      <c r="E1" s="61"/>
      <c r="F1" s="62"/>
      <c r="G1" s="61"/>
      <c r="H1" s="61"/>
      <c r="I1" s="63"/>
      <c r="J1" s="6"/>
      <c r="K1" s="6"/>
      <c r="L1" s="6"/>
      <c r="M1" s="6"/>
      <c r="N1" s="6"/>
      <c r="O1" s="6"/>
      <c r="P1" s="6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G1" s="7"/>
    </row>
    <row r="2">
      <c r="A2" s="59"/>
      <c r="B2" s="64" t="s">
        <v>40</v>
      </c>
      <c r="C2" s="3"/>
      <c r="D2" s="65"/>
      <c r="E2" s="3"/>
      <c r="F2" s="66" t="str">
        <f>"Inscriptos: "&amp;COUNTA(C4:C300)</f>
        <v>Inscriptos: 163</v>
      </c>
      <c r="G2" s="3"/>
      <c r="H2" s="3"/>
      <c r="I2" s="67"/>
      <c r="J2" s="67"/>
      <c r="K2" s="67"/>
      <c r="L2" s="3"/>
      <c r="M2" s="3"/>
      <c r="N2" s="68"/>
      <c r="O2" s="3"/>
      <c r="P2" s="3"/>
      <c r="Q2" s="70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  <c r="AG2" s="7"/>
    </row>
    <row r="3">
      <c r="A3" s="59" t="s">
        <v>41</v>
      </c>
      <c r="B3" s="3" t="str">
        <f>IFERROR(__xludf.DUMMYFUNCTION("query(Titulos)"),"Dia y Hora")</f>
        <v>Dia y Hora</v>
      </c>
      <c r="C3" s="79" t="str">
        <f>IFERROR(__xludf.DUMMYFUNCTION("""COMPUTED_VALUE"""),"Nombre")</f>
        <v>Nombre</v>
      </c>
      <c r="D3" s="80" t="str">
        <f>IFERROR(__xludf.DUMMYFUNCTION("""COMPUTED_VALUE"""),"Apellido")</f>
        <v>Apellido</v>
      </c>
      <c r="E3" s="79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67" t="str">
        <f>IFERROR(__xludf.DUMMYFUNCTION("""COMPUTED_VALUE"""),"Celular de Contacto")</f>
        <v>Celular de Contacto</v>
      </c>
      <c r="J3" s="67" t="str">
        <f>IFERROR(__xludf.DUMMYFUNCTION("""COMPUTED_VALUE"""),"Celular de Emergencias")</f>
        <v>Celular de Emergencias</v>
      </c>
      <c r="K3" s="67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70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67" t="str">
        <f>IFERROR(__xludf.DUMMYFUNCTION("""COMPUTED_VALUE"""),"Tripulante 1")</f>
        <v>Tripulante 1</v>
      </c>
      <c r="T3" s="67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70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70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70" t="str">
        <f>IFERROR(__xludf.DUMMYFUNCTION("""COMPUTED_VALUE"""),"RECIBO")</f>
        <v>RECIBO</v>
      </c>
      <c r="AF3" s="82" t="s">
        <v>42</v>
      </c>
      <c r="AG3" s="82" t="s">
        <v>32</v>
      </c>
      <c r="AH3" s="82"/>
      <c r="AI3" s="82"/>
    </row>
    <row r="4">
      <c r="B4" s="83">
        <f>IFERROR(__xludf.DUMMYFUNCTION("filter(Datos,Clases=A3)"),45538.89053210648)</f>
        <v>45538.89053</v>
      </c>
      <c r="C4" s="43" t="str">
        <f>IFERROR(__xludf.DUMMYFUNCTION("""COMPUTED_VALUE"""),"Ines ")</f>
        <v>Ines </v>
      </c>
      <c r="D4" s="43" t="str">
        <f>IFERROR(__xludf.DUMMYFUNCTION("""COMPUTED_VALUE"""),"Adlercreutz ")</f>
        <v>Adlercreutz </v>
      </c>
      <c r="E4" s="43" t="str">
        <f>IFERROR(__xludf.DUMMYFUNCTION("""COMPUTED_VALUE"""),"CABA")</f>
        <v>CABA</v>
      </c>
      <c r="F4" s="7" t="str">
        <f>IFERROR(__xludf.DUMMYFUNCTION("""COMPUTED_VALUE"""),"ARG")</f>
        <v>ARG</v>
      </c>
      <c r="G4" s="7">
        <f>IFERROR(__xludf.DUMMYFUNCTION("""COMPUTED_VALUE"""),5.2454232E7)</f>
        <v>52454232</v>
      </c>
      <c r="H4" s="44">
        <f>IFERROR(__xludf.DUMMYFUNCTION("""COMPUTED_VALUE"""),41059.0)</f>
        <v>41059</v>
      </c>
      <c r="I4" s="45">
        <f>IFERROR(__xludf.DUMMYFUNCTION("""COMPUTED_VALUE"""),1.13005445E9)</f>
        <v>1130054450</v>
      </c>
      <c r="J4" s="45">
        <f>IFERROR(__xludf.DUMMYFUNCTION("""COMPUTED_VALUE"""),1.144078857E9)</f>
        <v>1144078857</v>
      </c>
      <c r="K4" s="45" t="str">
        <f>IFERROR(__xludf.DUMMYFUNCTION("""COMPUTED_VALUE"""),"martin@adlercreutz.org")</f>
        <v>martin@adlercreutz.org</v>
      </c>
      <c r="L4" s="45" t="str">
        <f>IFERROR(__xludf.DUMMYFUNCTION("""COMPUTED_VALUE"""),"Femenino")</f>
        <v>Femenino</v>
      </c>
      <c r="M4" s="54" t="str">
        <f>IFERROR(__xludf.DUMMYFUNCTION("""COMPUTED_VALUE"""),"CUBA")</f>
        <v>CUBA</v>
      </c>
      <c r="N4" s="45" t="str">
        <f>IFERROR(__xludf.DUMMYFUNCTION("""COMPUTED_VALUE"""),"Femenino, Sub12")</f>
        <v>Femenino, Sub12</v>
      </c>
      <c r="O4" s="45" t="str">
        <f>IFERROR(__xludf.DUMMYFUNCTION("""COMPUTED_VALUE"""),"OPTIMIST TIMONELES")</f>
        <v>OPTIMIST TIMONELES</v>
      </c>
      <c r="P4" s="45"/>
      <c r="Q4" s="7">
        <f>IFERROR(__xludf.DUMMYFUNCTION("""COMPUTED_VALUE"""),3736.0)</f>
        <v>3736</v>
      </c>
      <c r="R4" s="45"/>
      <c r="S4" s="45"/>
      <c r="T4" s="45"/>
      <c r="U4" s="45"/>
      <c r="V4" s="45"/>
      <c r="W4" s="45"/>
      <c r="X4" s="45"/>
      <c r="Y4" s="45" t="str">
        <f>IFERROR(__xludf.DUMMYFUNCTION("""COMPUTED_VALUE"""),"Swiss Medical ")</f>
        <v>Swiss Medical </v>
      </c>
      <c r="Z4" s="7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IFERROR(__xludf.DUMMYFUNCTION("""COMPUTED_VALUE"""),"Terminado")</f>
        <v>Terminado</v>
      </c>
      <c r="AC4" s="7">
        <f>IFERROR(__xludf.DUMMYFUNCTION("""COMPUTED_VALUE"""),50000.0)</f>
        <v>50000</v>
      </c>
      <c r="AD4" s="7">
        <f>IFERROR(__xludf.DUMMYFUNCTION("""COMPUTED_VALUE"""),205620.0)</f>
        <v>205620</v>
      </c>
      <c r="AE4" s="45" t="str">
        <f>IFERROR(__xludf.DUMMYFUNCTION("""COMPUTED_VALUE"""),"TRF 09-09")</f>
        <v>TRF 09-09</v>
      </c>
      <c r="AF4" s="7" t="str">
        <f>IFERROR(__xludf.DUMMYFUNCTION("""COMPUTED_VALUE"""),"OK")</f>
        <v>OK</v>
      </c>
      <c r="AG4" s="7"/>
      <c r="AH4" s="7"/>
      <c r="AI4" s="7"/>
    </row>
    <row r="5">
      <c r="B5" s="83">
        <f>IFERROR(__xludf.DUMMYFUNCTION("""COMPUTED_VALUE"""),45531.83550277777)</f>
        <v>45531.8355</v>
      </c>
      <c r="C5" s="43" t="str">
        <f>IFERROR(__xludf.DUMMYFUNCTION("""COMPUTED_VALUE"""),"Gonzalo")</f>
        <v>Gonzalo</v>
      </c>
      <c r="D5" s="43" t="str">
        <f>IFERROR(__xludf.DUMMYFUNCTION("""COMPUTED_VALUE"""),"Aldaya")</f>
        <v>Aldaya</v>
      </c>
      <c r="E5" s="43" t="str">
        <f>IFERROR(__xludf.DUMMYFUNCTION("""COMPUTED_VALUE"""),"Parque Leloir")</f>
        <v>Parque Leloir</v>
      </c>
      <c r="F5" s="7" t="str">
        <f>IFERROR(__xludf.DUMMYFUNCTION("""COMPUTED_VALUE"""),"ARG")</f>
        <v>ARG</v>
      </c>
      <c r="G5" s="7">
        <f>IFERROR(__xludf.DUMMYFUNCTION("""COMPUTED_VALUE"""),5.0703202E7)</f>
        <v>50703202</v>
      </c>
      <c r="H5" s="44">
        <f>IFERROR(__xludf.DUMMYFUNCTION("""COMPUTED_VALUE"""),40486.0)</f>
        <v>40486</v>
      </c>
      <c r="I5" s="45">
        <f>IFERROR(__xludf.DUMMYFUNCTION("""COMPUTED_VALUE"""),1.150478199E9)</f>
        <v>1150478199</v>
      </c>
      <c r="J5" s="45">
        <f>IFERROR(__xludf.DUMMYFUNCTION("""COMPUTED_VALUE"""),1.144191617E9)</f>
        <v>1144191617</v>
      </c>
      <c r="K5" s="45" t="str">
        <f>IFERROR(__xludf.DUMMYFUNCTION("""COMPUTED_VALUE"""),"gealdaya@gmail.com")</f>
        <v>gealdaya@gmail.com</v>
      </c>
      <c r="L5" s="45" t="str">
        <f>IFERROR(__xludf.DUMMYFUNCTION("""COMPUTED_VALUE"""),"Masculino")</f>
        <v>Masculino</v>
      </c>
      <c r="M5" s="54" t="str">
        <f>IFERROR(__xludf.DUMMYFUNCTION("""COMPUTED_VALUE"""),"YCO")</f>
        <v>YCO</v>
      </c>
      <c r="N5" s="45"/>
      <c r="O5" s="45" t="str">
        <f>IFERROR(__xludf.DUMMYFUNCTION("""COMPUTED_VALUE"""),"OPTIMIST TIMONELES")</f>
        <v>OPTIMIST TIMONELES</v>
      </c>
      <c r="P5" s="45"/>
      <c r="Q5" s="7">
        <f>IFERROR(__xludf.DUMMYFUNCTION("""COMPUTED_VALUE"""),3808.0)</f>
        <v>3808</v>
      </c>
      <c r="R5" s="45"/>
      <c r="S5" s="45"/>
      <c r="T5" s="45"/>
      <c r="U5" s="45"/>
      <c r="V5" s="45"/>
      <c r="W5" s="45"/>
      <c r="X5" s="45"/>
      <c r="Y5" s="45" t="str">
        <f>IFERROR(__xludf.DUMMYFUNCTION("""COMPUTED_VALUE"""),"SwissMedical")</f>
        <v>SwissMedical</v>
      </c>
      <c r="Z5" s="7" t="str">
        <f>IFERROR(__xludf.DUMMYFUNCTION("""COMPUTED_VALUE"""),"Si")</f>
        <v>Si</v>
      </c>
      <c r="AA5" s="7" t="str">
        <f>IFERROR(__xludf.DUMMYFUNCTION("""COMPUTED_VALUE"""),"Acepto")</f>
        <v>Acepto</v>
      </c>
      <c r="AB5" s="7" t="str">
        <f>IFERROR(__xludf.DUMMYFUNCTION("""COMPUTED_VALUE"""),"Terminado")</f>
        <v>Terminado</v>
      </c>
      <c r="AC5" s="7">
        <f>IFERROR(__xludf.DUMMYFUNCTION("""COMPUTED_VALUE"""),50000.0)</f>
        <v>50000</v>
      </c>
      <c r="AD5" s="7">
        <f>IFERROR(__xludf.DUMMYFUNCTION("""COMPUTED_VALUE"""),205063.0)</f>
        <v>205063</v>
      </c>
      <c r="AE5" s="45" t="str">
        <f>IFERROR(__xludf.DUMMYFUNCTION("""COMPUTED_VALUE"""),"TRF 27-08")</f>
        <v>TRF 27-08</v>
      </c>
      <c r="AF5" s="7" t="str">
        <f>IFERROR(__xludf.DUMMYFUNCTION("""COMPUTED_VALUE"""),"OK")</f>
        <v>OK</v>
      </c>
      <c r="AG5" s="7"/>
      <c r="AH5" s="7"/>
      <c r="AI5" s="7"/>
    </row>
    <row r="6">
      <c r="B6" s="83">
        <f>IFERROR(__xludf.DUMMYFUNCTION("""COMPUTED_VALUE"""),45537.49758135417)</f>
        <v>45537.49758</v>
      </c>
      <c r="C6" s="43" t="str">
        <f>IFERROR(__xludf.DUMMYFUNCTION("""COMPUTED_VALUE"""),"Joaco")</f>
        <v>Joaco</v>
      </c>
      <c r="D6" s="43" t="str">
        <f>IFERROR(__xludf.DUMMYFUNCTION("""COMPUTED_VALUE"""),"Arocena")</f>
        <v>Arocena</v>
      </c>
      <c r="E6" s="43" t="str">
        <f>IFERROR(__xludf.DUMMYFUNCTION("""COMPUTED_VALUE"""),"San Fernando")</f>
        <v>San Fernando</v>
      </c>
      <c r="F6" s="7" t="str">
        <f>IFERROR(__xludf.DUMMYFUNCTION("""COMPUTED_VALUE"""),"ARG")</f>
        <v>ARG</v>
      </c>
      <c r="G6" s="7">
        <f>IFERROR(__xludf.DUMMYFUNCTION("""COMPUTED_VALUE"""),5.106639E7)</f>
        <v>51066390</v>
      </c>
      <c r="H6" s="44">
        <f>IFERROR(__xludf.DUMMYFUNCTION("""COMPUTED_VALUE"""),40625.0)</f>
        <v>40625</v>
      </c>
      <c r="I6" s="45">
        <f>IFERROR(__xludf.DUMMYFUNCTION("""COMPUTED_VALUE"""),1.164825593E9)</f>
        <v>1164825593</v>
      </c>
      <c r="J6" s="45">
        <f>IFERROR(__xludf.DUMMYFUNCTION("""COMPUTED_VALUE"""),1.165518797E9)</f>
        <v>1165518797</v>
      </c>
      <c r="K6" s="45" t="str">
        <f>IFERROR(__xludf.DUMMYFUNCTION("""COMPUTED_VALUE"""),"luchoarocena@gmail.com")</f>
        <v>luchoarocena@gmail.com</v>
      </c>
      <c r="L6" s="45" t="str">
        <f>IFERROR(__xludf.DUMMYFUNCTION("""COMPUTED_VALUE"""),"Masculino")</f>
        <v>Masculino</v>
      </c>
      <c r="M6" s="54" t="str">
        <f>IFERROR(__xludf.DUMMYFUNCTION("""COMPUTED_VALUE"""),"CNSI")</f>
        <v>CNSI</v>
      </c>
      <c r="N6" s="45"/>
      <c r="O6" s="45" t="str">
        <f>IFERROR(__xludf.DUMMYFUNCTION("""COMPUTED_VALUE"""),"OPTIMIST TIMONELES")</f>
        <v>OPTIMIST TIMONELES</v>
      </c>
      <c r="P6" s="45"/>
      <c r="Q6" s="7">
        <f>IFERROR(__xludf.DUMMYFUNCTION("""COMPUTED_VALUE"""),3563.0)</f>
        <v>3563</v>
      </c>
      <c r="R6" s="45" t="str">
        <f>IFERROR(__xludf.DUMMYFUNCTION("""COMPUTED_VALUE"""),"Racha")</f>
        <v>Racha</v>
      </c>
      <c r="S6" s="45"/>
      <c r="T6" s="45"/>
      <c r="U6" s="45"/>
      <c r="V6" s="45"/>
      <c r="W6" s="45"/>
      <c r="X6" s="45"/>
      <c r="Y6" s="45" t="str">
        <f>IFERROR(__xludf.DUMMYFUNCTION("""COMPUTED_VALUE"""),"OSPJN / 88946-21")</f>
        <v>OSPJN / 88946-21</v>
      </c>
      <c r="Z6" s="7" t="str">
        <f>IFERROR(__xludf.DUMMYFUNCTION("""COMPUTED_VALUE"""),"No")</f>
        <v>No</v>
      </c>
      <c r="AA6" s="7" t="str">
        <f>IFERROR(__xludf.DUMMYFUNCTION("""COMPUTED_VALUE"""),"Acepto")</f>
        <v>Acepto</v>
      </c>
      <c r="AB6" s="7" t="str">
        <f>IFERROR(__xludf.DUMMYFUNCTION("""COMPUTED_VALUE"""),"Terminado")</f>
        <v>Terminado</v>
      </c>
      <c r="AC6" s="7">
        <f>IFERROR(__xludf.DUMMYFUNCTION("""COMPUTED_VALUE"""),50000.0)</f>
        <v>50000</v>
      </c>
      <c r="AD6" s="7">
        <f>IFERROR(__xludf.DUMMYFUNCTION("""COMPUTED_VALUE"""),205403.0)</f>
        <v>205403</v>
      </c>
      <c r="AE6" s="45" t="str">
        <f>IFERROR(__xludf.DUMMYFUNCTION("""COMPUTED_VALUE"""),"TRF 02-09")</f>
        <v>TRF 02-09</v>
      </c>
      <c r="AF6" s="7" t="str">
        <f>IFERROR(__xludf.DUMMYFUNCTION("""COMPUTED_VALUE"""),"OK")</f>
        <v>OK</v>
      </c>
      <c r="AG6" s="7"/>
      <c r="AH6" s="7"/>
      <c r="AI6" s="7"/>
    </row>
    <row r="7">
      <c r="B7" s="83">
        <f>IFERROR(__xludf.DUMMYFUNCTION("""COMPUTED_VALUE"""),45535.86400452546)</f>
        <v>45535.864</v>
      </c>
      <c r="C7" s="43" t="str">
        <f>IFERROR(__xludf.DUMMYFUNCTION("""COMPUTED_VALUE"""),"Milo")</f>
        <v>Milo</v>
      </c>
      <c r="D7" s="43" t="str">
        <f>IFERROR(__xludf.DUMMYFUNCTION("""COMPUTED_VALUE"""),"Azzaretti ")</f>
        <v>Azzaretti </v>
      </c>
      <c r="E7" s="43" t="str">
        <f>IFERROR(__xludf.DUMMYFUNCTION("""COMPUTED_VALUE"""),"San Pedro ")</f>
        <v>San Pedro </v>
      </c>
      <c r="F7" s="7" t="str">
        <f>IFERROR(__xludf.DUMMYFUNCTION("""COMPUTED_VALUE"""),"ARG")</f>
        <v>ARG</v>
      </c>
      <c r="G7" s="7">
        <f>IFERROR(__xludf.DUMMYFUNCTION("""COMPUTED_VALUE"""),5.3820853E7)</f>
        <v>53820853</v>
      </c>
      <c r="H7" s="44">
        <f>IFERROR(__xludf.DUMMYFUNCTION("""COMPUTED_VALUE"""),41746.0)</f>
        <v>41746</v>
      </c>
      <c r="I7" s="45">
        <f>IFERROR(__xludf.DUMMYFUNCTION("""COMPUTED_VALUE"""),3.32947839E9)</f>
        <v>3329478390</v>
      </c>
      <c r="J7" s="45">
        <f>IFERROR(__xludf.DUMMYFUNCTION("""COMPUTED_VALUE"""),3.329507042E9)</f>
        <v>3329507042</v>
      </c>
      <c r="K7" s="45" t="str">
        <f>IFERROR(__xludf.DUMMYFUNCTION("""COMPUTED_VALUE"""),"mazzaretti1@gmail.com")</f>
        <v>mazzaretti1@gmail.com</v>
      </c>
      <c r="L7" s="45" t="str">
        <f>IFERROR(__xludf.DUMMYFUNCTION("""COMPUTED_VALUE"""),"Masculino")</f>
        <v>Masculino</v>
      </c>
      <c r="M7" s="54" t="str">
        <f>IFERROR(__xludf.DUMMYFUNCTION("""COMPUTED_VALUE"""),"CNSP")</f>
        <v>CNSP</v>
      </c>
      <c r="N7" s="45" t="str">
        <f>IFERROR(__xludf.DUMMYFUNCTION("""COMPUTED_VALUE"""),"Interior (Optimist)")</f>
        <v>Interior (Optimist)</v>
      </c>
      <c r="O7" s="45" t="str">
        <f>IFERROR(__xludf.DUMMYFUNCTION("""COMPUTED_VALUE"""),"OPTIMIST TIMONELES")</f>
        <v>OPTIMIST TIMONELES</v>
      </c>
      <c r="P7" s="45"/>
      <c r="Q7" s="7">
        <f>IFERROR(__xludf.DUMMYFUNCTION("""COMPUTED_VALUE"""),3462.0)</f>
        <v>3462</v>
      </c>
      <c r="R7" s="45">
        <f>IFERROR(__xludf.DUMMYFUNCTION("""COMPUTED_VALUE"""),3462.0)</f>
        <v>3462</v>
      </c>
      <c r="S7" s="45"/>
      <c r="T7" s="45"/>
      <c r="U7" s="45"/>
      <c r="V7" s="45"/>
      <c r="W7" s="45"/>
      <c r="X7" s="45"/>
      <c r="Y7" s="45" t="str">
        <f>IFERROR(__xludf.DUMMYFUNCTION("""COMPUTED_VALUE"""),"IOMA")</f>
        <v>IOMA</v>
      </c>
      <c r="Z7" s="7" t="str">
        <f>IFERROR(__xludf.DUMMYFUNCTION("""COMPUTED_VALUE"""),"Si")</f>
        <v>Si</v>
      </c>
      <c r="AA7" s="7" t="str">
        <f>IFERROR(__xludf.DUMMYFUNCTION("""COMPUTED_VALUE"""),"Acepto")</f>
        <v>Acepto</v>
      </c>
      <c r="AB7" s="7" t="str">
        <f>IFERROR(__xludf.DUMMYFUNCTION("""COMPUTED_VALUE"""),"Terminado")</f>
        <v>Terminado</v>
      </c>
      <c r="AC7" s="7">
        <f>IFERROR(__xludf.DUMMYFUNCTION("""COMPUTED_VALUE"""),42500.0)</f>
        <v>42500</v>
      </c>
      <c r="AD7" s="7">
        <f>IFERROR(__xludf.DUMMYFUNCTION("""COMPUTED_VALUE"""),205344.0)</f>
        <v>205344</v>
      </c>
      <c r="AE7" s="45" t="str">
        <f>IFERROR(__xludf.DUMMYFUNCTION("""COMPUTED_VALUE"""),"TRF 31-08")</f>
        <v>TRF 31-08</v>
      </c>
      <c r="AF7" s="7" t="str">
        <f>IFERROR(__xludf.DUMMYFUNCTION("""COMPUTED_VALUE"""),"OK")</f>
        <v>OK</v>
      </c>
      <c r="AG7" s="7"/>
      <c r="AH7" s="7"/>
      <c r="AI7" s="7"/>
    </row>
    <row r="8">
      <c r="B8" s="83">
        <f>IFERROR(__xludf.DUMMYFUNCTION("""COMPUTED_VALUE"""),45534.622192905095)</f>
        <v>45534.62219</v>
      </c>
      <c r="C8" s="43" t="str">
        <f>IFERROR(__xludf.DUMMYFUNCTION("""COMPUTED_VALUE"""),"Mateo")</f>
        <v>Mateo</v>
      </c>
      <c r="D8" s="43" t="str">
        <f>IFERROR(__xludf.DUMMYFUNCTION("""COMPUTED_VALUE"""),"Badorrey ")</f>
        <v>Badorrey </v>
      </c>
      <c r="E8" s="43" t="str">
        <f>IFERROR(__xludf.DUMMYFUNCTION("""COMPUTED_VALUE"""),"La Plata ")</f>
        <v>La Plata </v>
      </c>
      <c r="F8" s="7" t="str">
        <f>IFERROR(__xludf.DUMMYFUNCTION("""COMPUTED_VALUE"""),"ARG")</f>
        <v>ARG</v>
      </c>
      <c r="G8" s="7">
        <f>IFERROR(__xludf.DUMMYFUNCTION("""COMPUTED_VALUE"""),4.9426277E7)</f>
        <v>49426277</v>
      </c>
      <c r="H8" s="44">
        <f>IFERROR(__xludf.DUMMYFUNCTION("""COMPUTED_VALUE"""),39937.0)</f>
        <v>39937</v>
      </c>
      <c r="I8" s="45">
        <f>IFERROR(__xludf.DUMMYFUNCTION("""COMPUTED_VALUE"""),2.214372462E9)</f>
        <v>2214372462</v>
      </c>
      <c r="J8" s="45">
        <f>IFERROR(__xludf.DUMMYFUNCTION("""COMPUTED_VALUE"""),2.215066655E9)</f>
        <v>2215066655</v>
      </c>
      <c r="K8" s="45" t="str">
        <f>IFERROR(__xludf.DUMMYFUNCTION("""COMPUTED_VALUE"""),"marcelojbadorrey@gmail.com")</f>
        <v>marcelojbadorrey@gmail.com</v>
      </c>
      <c r="L8" s="45" t="str">
        <f>IFERROR(__xludf.DUMMYFUNCTION("""COMPUTED_VALUE"""),"Masculino")</f>
        <v>Masculino</v>
      </c>
      <c r="M8" s="54" t="str">
        <f>IFERROR(__xludf.DUMMYFUNCTION("""COMPUTED_VALUE"""),"CRLP")</f>
        <v>CRLP</v>
      </c>
      <c r="N8" s="45" t="str">
        <f>IFERROR(__xludf.DUMMYFUNCTION("""COMPUTED_VALUE"""),"Optimist Timoneles")</f>
        <v>Optimist Timoneles</v>
      </c>
      <c r="O8" s="45" t="str">
        <f>IFERROR(__xludf.DUMMYFUNCTION("""COMPUTED_VALUE"""),"OPTIMIST TIMONELES")</f>
        <v>OPTIMIST TIMONELES</v>
      </c>
      <c r="P8" s="45"/>
      <c r="Q8" s="7" t="str">
        <f>IFERROR(__xludf.DUMMYFUNCTION("""COMPUTED_VALUE"""),"ARG 4043")</f>
        <v>ARG 4043</v>
      </c>
      <c r="R8" s="45" t="str">
        <f>IFERROR(__xludf.DUMMYFUNCTION("""COMPUTED_VALUE"""),"Milocura ")</f>
        <v>Milocura </v>
      </c>
      <c r="S8" s="45"/>
      <c r="T8" s="45"/>
      <c r="U8" s="45"/>
      <c r="V8" s="45"/>
      <c r="W8" s="45"/>
      <c r="X8" s="45"/>
      <c r="Y8" s="45" t="str">
        <f>IFERROR(__xludf.DUMMYFUNCTION("""COMPUTED_VALUE"""),"OSPe A604")</f>
        <v>OSPe A604</v>
      </c>
      <c r="Z8" s="7" t="str">
        <f>IFERROR(__xludf.DUMMYFUNCTION("""COMPUTED_VALUE"""),"Si")</f>
        <v>Si</v>
      </c>
      <c r="AA8" s="7" t="str">
        <f>IFERROR(__xludf.DUMMYFUNCTION("""COMPUTED_VALUE"""),"Acepto")</f>
        <v>Acepto</v>
      </c>
      <c r="AB8" s="7" t="str">
        <f>IFERROR(__xludf.DUMMYFUNCTION("""COMPUTED_VALUE"""),"Terminado")</f>
        <v>Terminado</v>
      </c>
      <c r="AC8" s="7">
        <f>IFERROR(__xludf.DUMMYFUNCTION("""COMPUTED_VALUE"""),50000.0)</f>
        <v>50000</v>
      </c>
      <c r="AD8" s="7">
        <f>IFERROR(__xludf.DUMMYFUNCTION("""COMPUTED_VALUE"""),205105.0)</f>
        <v>205105</v>
      </c>
      <c r="AE8" s="45" t="str">
        <f>IFERROR(__xludf.DUMMYFUNCTION("""COMPUTED_VALUE"""),"TRF 30-08")</f>
        <v>TRF 30-08</v>
      </c>
      <c r="AF8" s="7" t="str">
        <f>IFERROR(__xludf.DUMMYFUNCTION("""COMPUTED_VALUE"""),"OK")</f>
        <v>OK</v>
      </c>
      <c r="AG8" s="7"/>
      <c r="AH8" s="7"/>
      <c r="AI8" s="7"/>
    </row>
    <row r="9">
      <c r="B9" s="83">
        <f>IFERROR(__xludf.DUMMYFUNCTION("""COMPUTED_VALUE"""),45537.38054569444)</f>
        <v>45537.38055</v>
      </c>
      <c r="C9" s="43" t="str">
        <f>IFERROR(__xludf.DUMMYFUNCTION("""COMPUTED_VALUE"""),"Alfredo Enrique ")</f>
        <v>Alfredo Enrique </v>
      </c>
      <c r="D9" s="43" t="str">
        <f>IFERROR(__xludf.DUMMYFUNCTION("""COMPUTED_VALUE"""),"Bafico Trench ")</f>
        <v>Bafico Trench </v>
      </c>
      <c r="E9" s="43" t="str">
        <f>IFERROR(__xludf.DUMMYFUNCTION("""COMPUTED_VALUE"""),"CABA")</f>
        <v>CABA</v>
      </c>
      <c r="F9" s="7" t="str">
        <f>IFERROR(__xludf.DUMMYFUNCTION("""COMPUTED_VALUE"""),"ARG")</f>
        <v>ARG</v>
      </c>
      <c r="G9" s="7">
        <f>IFERROR(__xludf.DUMMYFUNCTION("""COMPUTED_VALUE"""),2.8997106E7)</f>
        <v>28997106</v>
      </c>
      <c r="H9" s="44">
        <f>IFERROR(__xludf.DUMMYFUNCTION("""COMPUTED_VALUE"""),29842.0)</f>
        <v>29842</v>
      </c>
      <c r="I9" s="45">
        <f>IFERROR(__xludf.DUMMYFUNCTION("""COMPUTED_VALUE"""),1.162788414E9)</f>
        <v>1162788414</v>
      </c>
      <c r="J9" s="45">
        <f>IFERROR(__xludf.DUMMYFUNCTION("""COMPUTED_VALUE"""),1.150047649E9)</f>
        <v>1150047649</v>
      </c>
      <c r="K9" s="45" t="str">
        <f>IFERROR(__xludf.DUMMYFUNCTION("""COMPUTED_VALUE"""),"abaficotrench@gmail.com")</f>
        <v>abaficotrench@gmail.com</v>
      </c>
      <c r="L9" s="45" t="str">
        <f>IFERROR(__xludf.DUMMYFUNCTION("""COMPUTED_VALUE"""),"Masculino")</f>
        <v>Masculino</v>
      </c>
      <c r="M9" s="54" t="str">
        <f>IFERROR(__xludf.DUMMYFUNCTION("""COMPUTED_VALUE"""),"CNGSM")</f>
        <v>CNGSM</v>
      </c>
      <c r="N9" s="45" t="str">
        <f>IFERROR(__xludf.DUMMYFUNCTION("""COMPUTED_VALUE"""),"Optimist Timoneles instructor ")</f>
        <v>Optimist Timoneles instructor </v>
      </c>
      <c r="O9" s="45" t="str">
        <f>IFERROR(__xludf.DUMMYFUNCTION("""COMPUTED_VALUE"""),"OPTIMIST TIMONELES")</f>
        <v>OPTIMIST TIMONELES</v>
      </c>
      <c r="P9" s="45"/>
      <c r="Q9" s="7">
        <f>IFERROR(__xludf.DUMMYFUNCTION("""COMPUTED_VALUE"""),1.0)</f>
        <v>1</v>
      </c>
      <c r="R9" s="45">
        <f>IFERROR(__xludf.DUMMYFUNCTION("""COMPUTED_VALUE"""),1.0)</f>
        <v>1</v>
      </c>
      <c r="S9" s="45"/>
      <c r="T9" s="45"/>
      <c r="U9" s="45"/>
      <c r="V9" s="45"/>
      <c r="W9" s="45"/>
      <c r="X9" s="45"/>
      <c r="Y9" s="45"/>
      <c r="Z9" s="7" t="str">
        <f>IFERROR(__xludf.DUMMYFUNCTION("""COMPUTED_VALUE"""),"No")</f>
        <v>No</v>
      </c>
      <c r="AA9" s="7" t="str">
        <f>IFERROR(__xludf.DUMMYFUNCTION("""COMPUTED_VALUE"""),"Acepto")</f>
        <v>Acepto</v>
      </c>
      <c r="AB9" s="7" t="str">
        <f>IFERROR(__xludf.DUMMYFUNCTION("""COMPUTED_VALUE"""),"Pendiente")</f>
        <v>Pendiente</v>
      </c>
      <c r="AC9" s="7"/>
      <c r="AD9" s="7"/>
      <c r="AE9" s="45"/>
      <c r="AF9" s="7" t="str">
        <f>IFERROR(__xludf.DUMMYFUNCTION("""COMPUTED_VALUE"""),"No Corresp")</f>
        <v>No Corresp</v>
      </c>
      <c r="AG9" s="7"/>
      <c r="AH9" s="7"/>
      <c r="AI9" s="7"/>
    </row>
    <row r="10">
      <c r="B10" s="83">
        <f>IFERROR(__xludf.DUMMYFUNCTION("""COMPUTED_VALUE"""),45519.79750144676)</f>
        <v>45519.7975</v>
      </c>
      <c r="C10" s="43" t="str">
        <f>IFERROR(__xludf.DUMMYFUNCTION("""COMPUTED_VALUE"""),"Joaquin")</f>
        <v>Joaquin</v>
      </c>
      <c r="D10" s="43" t="str">
        <f>IFERROR(__xludf.DUMMYFUNCTION("""COMPUTED_VALUE"""),"Balbuena")</f>
        <v>Balbuena</v>
      </c>
      <c r="E10" s="43" t="str">
        <f>IFERROR(__xludf.DUMMYFUNCTION("""COMPUTED_VALUE"""),"Buenos aires")</f>
        <v>Buenos aires</v>
      </c>
      <c r="F10" s="7" t="str">
        <f>IFERROR(__xludf.DUMMYFUNCTION("""COMPUTED_VALUE"""),"ARG")</f>
        <v>ARG</v>
      </c>
      <c r="G10" s="7">
        <f>IFERROR(__xludf.DUMMYFUNCTION("""COMPUTED_VALUE"""),4.9835037E7)</f>
        <v>49835037</v>
      </c>
      <c r="H10" s="44">
        <f>IFERROR(__xludf.DUMMYFUNCTION("""COMPUTED_VALUE"""),40080.0)</f>
        <v>40080</v>
      </c>
      <c r="I10" s="45">
        <f>IFERROR(__xludf.DUMMYFUNCTION("""COMPUTED_VALUE"""),1.131963911E9)</f>
        <v>1131963911</v>
      </c>
      <c r="J10" s="45">
        <f>IFERROR(__xludf.DUMMYFUNCTION("""COMPUTED_VALUE"""),1.131963911E9)</f>
        <v>1131963911</v>
      </c>
      <c r="K10" s="45" t="str">
        <f>IFERROR(__xludf.DUMMYFUNCTION("""COMPUTED_VALUE"""),"Euge611@gmail.com")</f>
        <v>Euge611@gmail.com</v>
      </c>
      <c r="L10" s="45" t="str">
        <f>IFERROR(__xludf.DUMMYFUNCTION("""COMPUTED_VALUE"""),"Masculino")</f>
        <v>Masculino</v>
      </c>
      <c r="M10" s="54" t="str">
        <f>IFERROR(__xludf.DUMMYFUNCTION("""COMPUTED_VALUE"""),"BARRANCAS")</f>
        <v>BARRANCAS</v>
      </c>
      <c r="N10" s="45"/>
      <c r="O10" s="45" t="str">
        <f>IFERROR(__xludf.DUMMYFUNCTION("""COMPUTED_VALUE"""),"OPTIMIST TIMONELES")</f>
        <v>OPTIMIST TIMONELES</v>
      </c>
      <c r="P10" s="45"/>
      <c r="Q10" s="7">
        <f>IFERROR(__xludf.DUMMYFUNCTION("""COMPUTED_VALUE"""),4032.0)</f>
        <v>4032</v>
      </c>
      <c r="R10" s="45"/>
      <c r="S10" s="45"/>
      <c r="T10" s="45"/>
      <c r="U10" s="45"/>
      <c r="V10" s="45"/>
      <c r="W10" s="45"/>
      <c r="X10" s="45"/>
      <c r="Y10" s="45" t="str">
        <f>IFERROR(__xludf.DUMMYFUNCTION("""COMPUTED_VALUE"""),"Swiss")</f>
        <v>Swiss</v>
      </c>
      <c r="Z10" s="7" t="str">
        <f>IFERROR(__xludf.DUMMYFUNCTION("""COMPUTED_VALUE"""),"Si")</f>
        <v>Si</v>
      </c>
      <c r="AA10" s="7" t="str">
        <f>IFERROR(__xludf.DUMMYFUNCTION("""COMPUTED_VALUE"""),"Acepto")</f>
        <v>Acepto</v>
      </c>
      <c r="AB10" s="7" t="str">
        <f>IFERROR(__xludf.DUMMYFUNCTION("""COMPUTED_VALUE"""),"Repetido")</f>
        <v>Repetido</v>
      </c>
      <c r="AC10" s="7"/>
      <c r="AD10" s="7"/>
      <c r="AE10" s="45"/>
      <c r="AF10" s="7" t="str">
        <f>IFERROR(__xludf.DUMMYFUNCTION("""COMPUTED_VALUE"""),"OK")</f>
        <v>OK</v>
      </c>
      <c r="AG10" s="7"/>
      <c r="AH10" s="7"/>
      <c r="AI10" s="7"/>
    </row>
    <row r="11">
      <c r="B11" s="83">
        <f>IFERROR(__xludf.DUMMYFUNCTION("""COMPUTED_VALUE"""),45519.79949523148)</f>
        <v>45519.7995</v>
      </c>
      <c r="C11" s="43" t="str">
        <f>IFERROR(__xludf.DUMMYFUNCTION("""COMPUTED_VALUE"""),"Fran")</f>
        <v>Fran</v>
      </c>
      <c r="D11" s="43" t="str">
        <f>IFERROR(__xludf.DUMMYFUNCTION("""COMPUTED_VALUE"""),"Balbuena")</f>
        <v>Balbuena</v>
      </c>
      <c r="E11" s="43" t="str">
        <f>IFERROR(__xludf.DUMMYFUNCTION("""COMPUTED_VALUE"""),"Buenos aires")</f>
        <v>Buenos aires</v>
      </c>
      <c r="F11" s="7" t="str">
        <f>IFERROR(__xludf.DUMMYFUNCTION("""COMPUTED_VALUE"""),"ARG")</f>
        <v>ARG</v>
      </c>
      <c r="G11" s="7">
        <f>IFERROR(__xludf.DUMMYFUNCTION("""COMPUTED_VALUE"""),5.2676878E7)</f>
        <v>52676878</v>
      </c>
      <c r="H11" s="44">
        <f>IFERROR(__xludf.DUMMYFUNCTION("""COMPUTED_VALUE"""),41122.0)</f>
        <v>41122</v>
      </c>
      <c r="I11" s="45">
        <f>IFERROR(__xludf.DUMMYFUNCTION("""COMPUTED_VALUE"""),1.131963911E9)</f>
        <v>1131963911</v>
      </c>
      <c r="J11" s="45">
        <f>IFERROR(__xludf.DUMMYFUNCTION("""COMPUTED_VALUE"""),1.131963911E9)</f>
        <v>1131963911</v>
      </c>
      <c r="K11" s="45" t="str">
        <f>IFERROR(__xludf.DUMMYFUNCTION("""COMPUTED_VALUE"""),"Euge611@gmail.com")</f>
        <v>Euge611@gmail.com</v>
      </c>
      <c r="L11" s="45" t="str">
        <f>IFERROR(__xludf.DUMMYFUNCTION("""COMPUTED_VALUE"""),"Masculino")</f>
        <v>Masculino</v>
      </c>
      <c r="M11" s="54" t="str">
        <f>IFERROR(__xludf.DUMMYFUNCTION("""COMPUTED_VALUE"""),"BARRANCAS")</f>
        <v>BARRANCAS</v>
      </c>
      <c r="N11" s="45"/>
      <c r="O11" s="45" t="str">
        <f>IFERROR(__xludf.DUMMYFUNCTION("""COMPUTED_VALUE"""),"OPTIMIST TIMONELES")</f>
        <v>OPTIMIST TIMONELES</v>
      </c>
      <c r="P11" s="45"/>
      <c r="Q11" s="7">
        <f>IFERROR(__xludf.DUMMYFUNCTION("""COMPUTED_VALUE"""),4092.0)</f>
        <v>4092</v>
      </c>
      <c r="R11" s="45"/>
      <c r="S11" s="45"/>
      <c r="T11" s="45"/>
      <c r="U11" s="45"/>
      <c r="V11" s="45"/>
      <c r="W11" s="45"/>
      <c r="X11" s="45"/>
      <c r="Y11" s="45" t="str">
        <f>IFERROR(__xludf.DUMMYFUNCTION("""COMPUTED_VALUE"""),"Swiss")</f>
        <v>Swiss</v>
      </c>
      <c r="Z11" s="7" t="str">
        <f>IFERROR(__xludf.DUMMYFUNCTION("""COMPUTED_VALUE"""),"Si")</f>
        <v>Si</v>
      </c>
      <c r="AA11" s="7" t="str">
        <f>IFERROR(__xludf.DUMMYFUNCTION("""COMPUTED_VALUE"""),"Acepto")</f>
        <v>Acepto</v>
      </c>
      <c r="AB11" s="7" t="str">
        <f>IFERROR(__xludf.DUMMYFUNCTION("""COMPUTED_VALUE"""),"Repetido")</f>
        <v>Repetido</v>
      </c>
      <c r="AC11" s="7"/>
      <c r="AD11" s="7"/>
      <c r="AE11" s="45"/>
      <c r="AF11" s="7" t="str">
        <f>IFERROR(__xludf.DUMMYFUNCTION("""COMPUTED_VALUE"""),"OK")</f>
        <v>OK</v>
      </c>
      <c r="AG11" s="7"/>
      <c r="AH11" s="7"/>
      <c r="AI11" s="7"/>
    </row>
    <row r="12">
      <c r="B12" s="83">
        <f>IFERROR(__xludf.DUMMYFUNCTION("""COMPUTED_VALUE"""),45525.700451956014)</f>
        <v>45525.70045</v>
      </c>
      <c r="C12" s="43" t="str">
        <f>IFERROR(__xludf.DUMMYFUNCTION("""COMPUTED_VALUE"""),"Cayetana")</f>
        <v>Cayetana</v>
      </c>
      <c r="D12" s="43" t="str">
        <f>IFERROR(__xludf.DUMMYFUNCTION("""COMPUTED_VALUE"""),"Balbuena")</f>
        <v>Balbuena</v>
      </c>
      <c r="E12" s="43" t="str">
        <f>IFERROR(__xludf.DUMMYFUNCTION("""COMPUTED_VALUE"""),"Bs As")</f>
        <v>Bs As</v>
      </c>
      <c r="F12" s="7" t="str">
        <f>IFERROR(__xludf.DUMMYFUNCTION("""COMPUTED_VALUE"""),"ARG")</f>
        <v>ARG</v>
      </c>
      <c r="G12" s="7">
        <f>IFERROR(__xludf.DUMMYFUNCTION("""COMPUTED_VALUE"""),5.0235461E7)</f>
        <v>50235461</v>
      </c>
      <c r="H12" s="44">
        <f>IFERROR(__xludf.DUMMYFUNCTION("""COMPUTED_VALUE"""),40310.0)</f>
        <v>40310</v>
      </c>
      <c r="I12" s="45">
        <f>IFERROR(__xludf.DUMMYFUNCTION("""COMPUTED_VALUE"""),5.4638567E7)</f>
        <v>54638567</v>
      </c>
      <c r="J12" s="45" t="str">
        <f>IFERROR(__xludf.DUMMYFUNCTION("""COMPUTED_VALUE"""),"40692753 54638567")</f>
        <v>40692753 54638567</v>
      </c>
      <c r="K12" s="45" t="str">
        <f>IFERROR(__xludf.DUMMYFUNCTION("""COMPUTED_VALUE"""),"sbalbuena@mcca.com.ar")</f>
        <v>sbalbuena@mcca.com.ar</v>
      </c>
      <c r="L12" s="45" t="str">
        <f>IFERROR(__xludf.DUMMYFUNCTION("""COMPUTED_VALUE"""),"Femenino")</f>
        <v>Femenino</v>
      </c>
      <c r="M12" s="54" t="str">
        <f>IFERROR(__xludf.DUMMYFUNCTION("""COMPUTED_VALUE"""),"CPNLB")</f>
        <v>CPNLB</v>
      </c>
      <c r="N12" s="45" t="str">
        <f>IFERROR(__xludf.DUMMYFUNCTION("""COMPUTED_VALUE"""),"Femenino")</f>
        <v>Femenino</v>
      </c>
      <c r="O12" s="45" t="str">
        <f>IFERROR(__xludf.DUMMYFUNCTION("""COMPUTED_VALUE"""),"OPTIMIST TIMONELES")</f>
        <v>OPTIMIST TIMONELES</v>
      </c>
      <c r="P12" s="45"/>
      <c r="Q12" s="7" t="str">
        <f>IFERROR(__xludf.DUMMYFUNCTION("""COMPUTED_VALUE"""),"Arg 4061")</f>
        <v>Arg 4061</v>
      </c>
      <c r="R12" s="45"/>
      <c r="S12" s="45"/>
      <c r="T12" s="45"/>
      <c r="U12" s="45"/>
      <c r="V12" s="45"/>
      <c r="W12" s="45"/>
      <c r="X12" s="45"/>
      <c r="Y12" s="45" t="str">
        <f>IFERROR(__xludf.DUMMYFUNCTION("""COMPUTED_VALUE"""),"Osde")</f>
        <v>Osde</v>
      </c>
      <c r="Z12" s="7" t="str">
        <f>IFERROR(__xludf.DUMMYFUNCTION("""COMPUTED_VALUE"""),"Si")</f>
        <v>Si</v>
      </c>
      <c r="AA12" s="7" t="str">
        <f>IFERROR(__xludf.DUMMYFUNCTION("""COMPUTED_VALUE"""),"Acepto")</f>
        <v>Acepto</v>
      </c>
      <c r="AB12" s="7" t="str">
        <f>IFERROR(__xludf.DUMMYFUNCTION("""COMPUTED_VALUE"""),"Pendiente")</f>
        <v>Pendiente</v>
      </c>
      <c r="AC12" s="7"/>
      <c r="AD12" s="7"/>
      <c r="AE12" s="45"/>
      <c r="AF12" s="7" t="str">
        <f>IFERROR(__xludf.DUMMYFUNCTION("""COMPUTED_VALUE"""),"OK")</f>
        <v>OK</v>
      </c>
      <c r="AG12" s="7" t="str">
        <f>IFERROR(__xludf.DUMMYFUNCTION("""COMPUTED_VALUE"""),"SI")</f>
        <v>SI</v>
      </c>
      <c r="AH12" s="7"/>
      <c r="AI12" s="7"/>
    </row>
    <row r="13">
      <c r="B13" s="83">
        <f>IFERROR(__xludf.DUMMYFUNCTION("""COMPUTED_VALUE"""),45535.441129189814)</f>
        <v>45535.44113</v>
      </c>
      <c r="C13" s="43" t="str">
        <f>IFERROR(__xludf.DUMMYFUNCTION("""COMPUTED_VALUE"""),"Joaco")</f>
        <v>Joaco</v>
      </c>
      <c r="D13" s="43" t="str">
        <f>IFERROR(__xludf.DUMMYFUNCTION("""COMPUTED_VALUE"""),"Balbuena")</f>
        <v>Balbuena</v>
      </c>
      <c r="E13" s="43" t="str">
        <f>IFERROR(__xludf.DUMMYFUNCTION("""COMPUTED_VALUE"""),"Acassuso")</f>
        <v>Acassuso</v>
      </c>
      <c r="F13" s="7" t="str">
        <f>IFERROR(__xludf.DUMMYFUNCTION("""COMPUTED_VALUE"""),"ARG")</f>
        <v>ARG</v>
      </c>
      <c r="G13" s="7">
        <f>IFERROR(__xludf.DUMMYFUNCTION("""COMPUTED_VALUE"""),4.9835037E7)</f>
        <v>49835037</v>
      </c>
      <c r="H13" s="44">
        <f>IFERROR(__xludf.DUMMYFUNCTION("""COMPUTED_VALUE"""),40080.0)</f>
        <v>40080</v>
      </c>
      <c r="I13" s="45">
        <f>IFERROR(__xludf.DUMMYFUNCTION("""COMPUTED_VALUE"""),1.131963911E9)</f>
        <v>1131963911</v>
      </c>
      <c r="J13" s="45"/>
      <c r="K13" s="45" t="str">
        <f>IFERROR(__xludf.DUMMYFUNCTION("""COMPUTED_VALUE"""),"euge611@gmail.com")</f>
        <v>euge611@gmail.com</v>
      </c>
      <c r="L13" s="45" t="str">
        <f>IFERROR(__xludf.DUMMYFUNCTION("""COMPUTED_VALUE"""),"Masculino")</f>
        <v>Masculino</v>
      </c>
      <c r="M13" s="54" t="str">
        <f>IFERROR(__xludf.DUMMYFUNCTION("""COMPUTED_VALUE"""),"BARRANCAS")</f>
        <v>BARRANCAS</v>
      </c>
      <c r="N13" s="45"/>
      <c r="O13" s="45" t="str">
        <f>IFERROR(__xludf.DUMMYFUNCTION("""COMPUTED_VALUE"""),"OPTIMIST TIMONELES")</f>
        <v>OPTIMIST TIMONELES</v>
      </c>
      <c r="P13" s="45"/>
      <c r="Q13" s="7">
        <f>IFERROR(__xludf.DUMMYFUNCTION("""COMPUTED_VALUE"""),4032.0)</f>
        <v>4032</v>
      </c>
      <c r="R13" s="45"/>
      <c r="S13" s="45"/>
      <c r="T13" s="45"/>
      <c r="U13" s="45"/>
      <c r="V13" s="45"/>
      <c r="W13" s="45"/>
      <c r="X13" s="45"/>
      <c r="Y13" s="45" t="str">
        <f>IFERROR(__xludf.DUMMYFUNCTION("""COMPUTED_VALUE"""),"Swiss medical")</f>
        <v>Swiss medical</v>
      </c>
      <c r="Z13" s="7" t="str">
        <f>IFERROR(__xludf.DUMMYFUNCTION("""COMPUTED_VALUE"""),"Si")</f>
        <v>Si</v>
      </c>
      <c r="AA13" s="7" t="str">
        <f>IFERROR(__xludf.DUMMYFUNCTION("""COMPUTED_VALUE"""),"Acepto")</f>
        <v>Acepto</v>
      </c>
      <c r="AB13" s="7" t="str">
        <f>IFERROR(__xludf.DUMMYFUNCTION("""COMPUTED_VALUE"""),"Terminado")</f>
        <v>Terminado</v>
      </c>
      <c r="AC13" s="7">
        <f>IFERROR(__xludf.DUMMYFUNCTION("""COMPUTED_VALUE"""),50000.0)</f>
        <v>50000</v>
      </c>
      <c r="AD13" s="7">
        <f>IFERROR(__xludf.DUMMYFUNCTION("""COMPUTED_VALUE"""),205115.0)</f>
        <v>205115</v>
      </c>
      <c r="AE13" s="45" t="str">
        <f>IFERROR(__xludf.DUMMYFUNCTION("""COMPUTED_VALUE"""),"Tarj 31-08")</f>
        <v>Tarj 31-08</v>
      </c>
      <c r="AF13" s="7" t="str">
        <f>IFERROR(__xludf.DUMMYFUNCTION("""COMPUTED_VALUE"""),"OK")</f>
        <v>OK</v>
      </c>
      <c r="AG13" s="7" t="str">
        <f>IFERROR(__xludf.DUMMYFUNCTION("""COMPUTED_VALUE"""),"SI")</f>
        <v>SI</v>
      </c>
      <c r="AH13" s="7"/>
      <c r="AI13" s="7"/>
    </row>
    <row r="14">
      <c r="B14" s="83">
        <f>IFERROR(__xludf.DUMMYFUNCTION("""COMPUTED_VALUE"""),45535.44225677083)</f>
        <v>45535.44226</v>
      </c>
      <c r="C14" s="43" t="str">
        <f>IFERROR(__xludf.DUMMYFUNCTION("""COMPUTED_VALUE"""),"Fran")</f>
        <v>Fran</v>
      </c>
      <c r="D14" s="43" t="str">
        <f>IFERROR(__xludf.DUMMYFUNCTION("""COMPUTED_VALUE"""),"Balbuena")</f>
        <v>Balbuena</v>
      </c>
      <c r="E14" s="43" t="str">
        <f>IFERROR(__xludf.DUMMYFUNCTION("""COMPUTED_VALUE"""),"Acassuso")</f>
        <v>Acassuso</v>
      </c>
      <c r="F14" s="7" t="str">
        <f>IFERROR(__xludf.DUMMYFUNCTION("""COMPUTED_VALUE"""),"ARG")</f>
        <v>ARG</v>
      </c>
      <c r="G14" s="7">
        <f>IFERROR(__xludf.DUMMYFUNCTION("""COMPUTED_VALUE"""),5.2676878E7)</f>
        <v>52676878</v>
      </c>
      <c r="H14" s="44">
        <f>IFERROR(__xludf.DUMMYFUNCTION("""COMPUTED_VALUE"""),41122.0)</f>
        <v>41122</v>
      </c>
      <c r="I14" s="45">
        <f>IFERROR(__xludf.DUMMYFUNCTION("""COMPUTED_VALUE"""),1.131963911E9)</f>
        <v>1131963911</v>
      </c>
      <c r="J14" s="45"/>
      <c r="K14" s="45" t="str">
        <f>IFERROR(__xludf.DUMMYFUNCTION("""COMPUTED_VALUE"""),"euge611@gmail.com")</f>
        <v>euge611@gmail.com</v>
      </c>
      <c r="L14" s="45" t="str">
        <f>IFERROR(__xludf.DUMMYFUNCTION("""COMPUTED_VALUE"""),"Masculino")</f>
        <v>Masculino</v>
      </c>
      <c r="M14" s="54" t="str">
        <f>IFERROR(__xludf.DUMMYFUNCTION("""COMPUTED_VALUE"""),"BARRANCAS")</f>
        <v>BARRANCAS</v>
      </c>
      <c r="N14" s="45"/>
      <c r="O14" s="45" t="str">
        <f>IFERROR(__xludf.DUMMYFUNCTION("""COMPUTED_VALUE"""),"OPTIMIST TIMONELES")</f>
        <v>OPTIMIST TIMONELES</v>
      </c>
      <c r="P14" s="45"/>
      <c r="Q14" s="7">
        <f>IFERROR(__xludf.DUMMYFUNCTION("""COMPUTED_VALUE"""),4092.0)</f>
        <v>4092</v>
      </c>
      <c r="R14" s="45"/>
      <c r="S14" s="45"/>
      <c r="T14" s="45"/>
      <c r="U14" s="45"/>
      <c r="V14" s="45"/>
      <c r="W14" s="45"/>
      <c r="X14" s="45"/>
      <c r="Y14" s="45" t="str">
        <f>IFERROR(__xludf.DUMMYFUNCTION("""COMPUTED_VALUE"""),"Swiss medical")</f>
        <v>Swiss medical</v>
      </c>
      <c r="Z14" s="7" t="str">
        <f>IFERROR(__xludf.DUMMYFUNCTION("""COMPUTED_VALUE"""),"Si")</f>
        <v>Si</v>
      </c>
      <c r="AA14" s="7" t="str">
        <f>IFERROR(__xludf.DUMMYFUNCTION("""COMPUTED_VALUE"""),"Acepto")</f>
        <v>Acepto</v>
      </c>
      <c r="AB14" s="7" t="str">
        <f>IFERROR(__xludf.DUMMYFUNCTION("""COMPUTED_VALUE"""),"Terminado")</f>
        <v>Terminado</v>
      </c>
      <c r="AC14" s="7">
        <f>IFERROR(__xludf.DUMMYFUNCTION("""COMPUTED_VALUE"""),50000.0)</f>
        <v>50000</v>
      </c>
      <c r="AD14" s="7">
        <f>IFERROR(__xludf.DUMMYFUNCTION("""COMPUTED_VALUE"""),205115.0)</f>
        <v>205115</v>
      </c>
      <c r="AE14" s="45" t="str">
        <f>IFERROR(__xludf.DUMMYFUNCTION("""COMPUTED_VALUE"""),"Tarj 31-08")</f>
        <v>Tarj 31-08</v>
      </c>
      <c r="AF14" s="7" t="str">
        <f>IFERROR(__xludf.DUMMYFUNCTION("""COMPUTED_VALUE"""),"OK")</f>
        <v>OK</v>
      </c>
      <c r="AG14" s="7" t="str">
        <f>IFERROR(__xludf.DUMMYFUNCTION("""COMPUTED_VALUE"""),"SI")</f>
        <v>SI</v>
      </c>
      <c r="AH14" s="7"/>
      <c r="AI14" s="7"/>
    </row>
    <row r="15">
      <c r="B15" s="83">
        <f>IFERROR(__xludf.DUMMYFUNCTION("""COMPUTED_VALUE"""),45536.43948997685)</f>
        <v>45536.43949</v>
      </c>
      <c r="C15" s="43" t="str">
        <f>IFERROR(__xludf.DUMMYFUNCTION("""COMPUTED_VALUE"""),"Lola")</f>
        <v>Lola</v>
      </c>
      <c r="D15" s="43" t="str">
        <f>IFERROR(__xludf.DUMMYFUNCTION("""COMPUTED_VALUE"""),"Barceló")</f>
        <v>Barceló</v>
      </c>
      <c r="E15" s="43" t="str">
        <f>IFERROR(__xludf.DUMMYFUNCTION("""COMPUTED_VALUE"""),"San Pedro")</f>
        <v>San Pedro</v>
      </c>
      <c r="F15" s="7" t="str">
        <f>IFERROR(__xludf.DUMMYFUNCTION("""COMPUTED_VALUE"""),"ARG")</f>
        <v>ARG</v>
      </c>
      <c r="G15" s="7">
        <f>IFERROR(__xludf.DUMMYFUNCTION("""COMPUTED_VALUE"""),2.5096935E7)</f>
        <v>25096935</v>
      </c>
      <c r="H15" s="44">
        <f>IFERROR(__xludf.DUMMYFUNCTION("""COMPUTED_VALUE"""),41145.0)</f>
        <v>41145</v>
      </c>
      <c r="I15" s="45" t="str">
        <f>IFERROR(__xludf.DUMMYFUNCTION("""COMPUTED_VALUE"""),"11 5835 5770")</f>
        <v>11 5835 5770</v>
      </c>
      <c r="J15" s="45" t="str">
        <f>IFERROR(__xludf.DUMMYFUNCTION("""COMPUTED_VALUE"""),"11 5835 5770 ")</f>
        <v>11 5835 5770 </v>
      </c>
      <c r="K15" s="45" t="str">
        <f>IFERROR(__xludf.DUMMYFUNCTION("""COMPUTED_VALUE"""),"sole_mz@yahoo.com.ar")</f>
        <v>sole_mz@yahoo.com.ar</v>
      </c>
      <c r="L15" s="45" t="str">
        <f>IFERROR(__xludf.DUMMYFUNCTION("""COMPUTED_VALUE"""),"Femenino")</f>
        <v>Femenino</v>
      </c>
      <c r="M15" s="54" t="str">
        <f>IFERROR(__xludf.DUMMYFUNCTION("""COMPUTED_VALUE"""),"CNSP")</f>
        <v>CNSP</v>
      </c>
      <c r="N15" s="45" t="str">
        <f>IFERROR(__xludf.DUMMYFUNCTION("""COMPUTED_VALUE"""),"Femenino, Interior (Optimist)")</f>
        <v>Femenino, Interior (Optimist)</v>
      </c>
      <c r="O15" s="45" t="str">
        <f>IFERROR(__xludf.DUMMYFUNCTION("""COMPUTED_VALUE"""),"OPTIMIST TIMONELES")</f>
        <v>OPTIMIST TIMONELES</v>
      </c>
      <c r="P15" s="45"/>
      <c r="Q15" s="7">
        <f>IFERROR(__xludf.DUMMYFUNCTION("""COMPUTED_VALUE"""),3908.0)</f>
        <v>3908</v>
      </c>
      <c r="R15" s="45"/>
      <c r="S15" s="45"/>
      <c r="T15" s="45"/>
      <c r="U15" s="45"/>
      <c r="V15" s="45"/>
      <c r="W15" s="45"/>
      <c r="X15" s="45"/>
      <c r="Y15" s="45" t="str">
        <f>IFERROR(__xludf.DUMMYFUNCTION("""COMPUTED_VALUE"""),"Swiss Medical")</f>
        <v>Swiss Medical</v>
      </c>
      <c r="Z15" s="7" t="str">
        <f>IFERROR(__xludf.DUMMYFUNCTION("""COMPUTED_VALUE"""),"Si")</f>
        <v>Si</v>
      </c>
      <c r="AA15" s="7" t="str">
        <f>IFERROR(__xludf.DUMMYFUNCTION("""COMPUTED_VALUE"""),"Acepto")</f>
        <v>Acepto</v>
      </c>
      <c r="AB15" s="7" t="str">
        <f>IFERROR(__xludf.DUMMYFUNCTION("""COMPUTED_VALUE"""),"Terminado")</f>
        <v>Terminado</v>
      </c>
      <c r="AC15" s="7">
        <f>IFERROR(__xludf.DUMMYFUNCTION("""COMPUTED_VALUE"""),42500.0)</f>
        <v>42500</v>
      </c>
      <c r="AD15" s="7">
        <f>IFERROR(__xludf.DUMMYFUNCTION("""COMPUTED_VALUE"""),205376.0)</f>
        <v>205376</v>
      </c>
      <c r="AE15" s="45" t="str">
        <f>IFERROR(__xludf.DUMMYFUNCTION("""COMPUTED_VALUE"""),"TRF 02-09")</f>
        <v>TRF 02-09</v>
      </c>
      <c r="AF15" s="7" t="str">
        <f>IFERROR(__xludf.DUMMYFUNCTION("""COMPUTED_VALUE"""),"OK")</f>
        <v>OK</v>
      </c>
      <c r="AG15" s="7"/>
      <c r="AH15" s="7"/>
      <c r="AI15" s="7"/>
    </row>
    <row r="16">
      <c r="B16" s="83">
        <f>IFERROR(__xludf.DUMMYFUNCTION("""COMPUTED_VALUE"""),45538.474097071754)</f>
        <v>45538.4741</v>
      </c>
      <c r="C16" s="43" t="str">
        <f>IFERROR(__xludf.DUMMYFUNCTION("""COMPUTED_VALUE"""),"Isaías")</f>
        <v>Isaías</v>
      </c>
      <c r="D16" s="43" t="str">
        <f>IFERROR(__xludf.DUMMYFUNCTION("""COMPUTED_VALUE"""),"Barrera")</f>
        <v>Barrera</v>
      </c>
      <c r="E16" s="43" t="str">
        <f>IFERROR(__xludf.DUMMYFUNCTION("""COMPUTED_VALUE"""),"San Isidro")</f>
        <v>San Isidro</v>
      </c>
      <c r="F16" s="7" t="str">
        <f>IFERROR(__xludf.DUMMYFUNCTION("""COMPUTED_VALUE"""),"ARG")</f>
        <v>ARG</v>
      </c>
      <c r="G16" s="7">
        <f>IFERROR(__xludf.DUMMYFUNCTION("""COMPUTED_VALUE"""),5.2593162E7)</f>
        <v>52593162</v>
      </c>
      <c r="H16" s="44">
        <f>IFERROR(__xludf.DUMMYFUNCTION("""COMPUTED_VALUE"""),41070.0)</f>
        <v>41070</v>
      </c>
      <c r="I16" s="45" t="str">
        <f>IFERROR(__xludf.DUMMYFUNCTION("""COMPUTED_VALUE"""),"+54 9 11 3394-3846")</f>
        <v>+54 9 11 3394-3846</v>
      </c>
      <c r="J16" s="45"/>
      <c r="K16" s="45" t="str">
        <f>IFERROR(__xludf.DUMMYFUNCTION("""COMPUTED_VALUE"""),"ignacio.varisco@gmail.com")</f>
        <v>ignacio.varisco@gmail.com</v>
      </c>
      <c r="L16" s="45" t="str">
        <f>IFERROR(__xludf.DUMMYFUNCTION("""COMPUTED_VALUE"""),"Masculino")</f>
        <v>Masculino</v>
      </c>
      <c r="M16" s="54" t="str">
        <f>IFERROR(__xludf.DUMMYFUNCTION("""COMPUTED_VALUE"""),"CPNLB- CBRIO")</f>
        <v>CPNLB- CBRIO</v>
      </c>
      <c r="N16" s="45"/>
      <c r="O16" s="45" t="str">
        <f>IFERROR(__xludf.DUMMYFUNCTION("""COMPUTED_VALUE"""),"OPTIMIST TIMONELES")</f>
        <v>OPTIMIST TIMONELES</v>
      </c>
      <c r="P16" s="45"/>
      <c r="Q16" s="7" t="str">
        <f>IFERROR(__xludf.DUMMYFUNCTION("""COMPUTED_VALUE"""),"ARG 3828")</f>
        <v>ARG 3828</v>
      </c>
      <c r="R16" s="45" t="str">
        <f>IFERROR(__xludf.DUMMYFUNCTION("""COMPUTED_VALUE"""),"Foiler")</f>
        <v>Foiler</v>
      </c>
      <c r="S16" s="45"/>
      <c r="T16" s="45"/>
      <c r="U16" s="45"/>
      <c r="V16" s="45"/>
      <c r="W16" s="45"/>
      <c r="X16" s="45"/>
      <c r="Y16" s="45"/>
      <c r="Z16" s="7" t="str">
        <f>IFERROR(__xludf.DUMMYFUNCTION("""COMPUTED_VALUE"""),"Si")</f>
        <v>Si</v>
      </c>
      <c r="AA16" s="7" t="str">
        <f>IFERROR(__xludf.DUMMYFUNCTION("""COMPUTED_VALUE"""),"Acepto")</f>
        <v>Acepto</v>
      </c>
      <c r="AB16" s="7" t="str">
        <f>IFERROR(__xludf.DUMMYFUNCTION("""COMPUTED_VALUE"""),"Terminado")</f>
        <v>Terminado</v>
      </c>
      <c r="AC16" s="7"/>
      <c r="AD16" s="7"/>
      <c r="AE16" s="45" t="str">
        <f>IFERROR(__xludf.DUMMYFUNCTION("""COMPUTED_VALUE"""),"Beca CBrrio")</f>
        <v>Beca CBrrio</v>
      </c>
      <c r="AF16" s="7" t="str">
        <f>IFERROR(__xludf.DUMMYFUNCTION("""COMPUTED_VALUE"""),"OK")</f>
        <v>OK</v>
      </c>
      <c r="AG16" s="7" t="str">
        <f>IFERROR(__xludf.DUMMYFUNCTION("""COMPUTED_VALUE"""),"SI")</f>
        <v>SI</v>
      </c>
      <c r="AH16" s="7"/>
      <c r="AI16" s="7"/>
    </row>
    <row r="17">
      <c r="B17" s="83">
        <f>IFERROR(__xludf.DUMMYFUNCTION("""COMPUTED_VALUE"""),45535.83237344907)</f>
        <v>45535.83237</v>
      </c>
      <c r="C17" s="43" t="str">
        <f>IFERROR(__xludf.DUMMYFUNCTION("""COMPUTED_VALUE"""),"Delfina")</f>
        <v>Delfina</v>
      </c>
      <c r="D17" s="43" t="str">
        <f>IFERROR(__xludf.DUMMYFUNCTION("""COMPUTED_VALUE"""),"Becerra")</f>
        <v>Becerra</v>
      </c>
      <c r="E17" s="43" t="str">
        <f>IFERROR(__xludf.DUMMYFUNCTION("""COMPUTED_VALUE"""),"San Fernando")</f>
        <v>San Fernando</v>
      </c>
      <c r="F17" s="7" t="str">
        <f>IFERROR(__xludf.DUMMYFUNCTION("""COMPUTED_VALUE"""),"ARG")</f>
        <v>ARG</v>
      </c>
      <c r="G17" s="7">
        <f>IFERROR(__xludf.DUMMYFUNCTION("""COMPUTED_VALUE"""),5.1183098E7)</f>
        <v>51183098</v>
      </c>
      <c r="H17" s="44">
        <f>IFERROR(__xludf.DUMMYFUNCTION("""COMPUTED_VALUE"""),40733.0)</f>
        <v>40733</v>
      </c>
      <c r="I17" s="45">
        <f>IFERROR(__xludf.DUMMYFUNCTION("""COMPUTED_VALUE"""),1.154522861E9)</f>
        <v>1154522861</v>
      </c>
      <c r="J17" s="45">
        <f>IFERROR(__xludf.DUMMYFUNCTION("""COMPUTED_VALUE"""),1.154522871E9)</f>
        <v>1154522871</v>
      </c>
      <c r="K17" s="45" t="str">
        <f>IFERROR(__xludf.DUMMYFUNCTION("""COMPUTED_VALUE"""),"mechicanofrers@hotmail.com")</f>
        <v>mechicanofrers@hotmail.com</v>
      </c>
      <c r="L17" s="45" t="str">
        <f>IFERROR(__xludf.DUMMYFUNCTION("""COMPUTED_VALUE"""),"Femenino")</f>
        <v>Femenino</v>
      </c>
      <c r="M17" s="54" t="str">
        <f>IFERROR(__xludf.DUMMYFUNCTION("""COMPUTED_VALUE"""),"CNSI")</f>
        <v>CNSI</v>
      </c>
      <c r="N17" s="45" t="str">
        <f>IFERROR(__xludf.DUMMYFUNCTION("""COMPUTED_VALUE"""),"Femenino")</f>
        <v>Femenino</v>
      </c>
      <c r="O17" s="45" t="str">
        <f>IFERROR(__xludf.DUMMYFUNCTION("""COMPUTED_VALUE"""),"OPTIMIST TIMONELES")</f>
        <v>OPTIMIST TIMONELES</v>
      </c>
      <c r="P17" s="45"/>
      <c r="Q17" s="7">
        <f>IFERROR(__xludf.DUMMYFUNCTION("""COMPUTED_VALUE"""),4.0)</f>
        <v>4</v>
      </c>
      <c r="R17" s="45"/>
      <c r="S17" s="45"/>
      <c r="T17" s="45"/>
      <c r="U17" s="45"/>
      <c r="V17" s="45"/>
      <c r="W17" s="45"/>
      <c r="X17" s="45"/>
      <c r="Y17" s="45">
        <f>IFERROR(__xludf.DUMMYFUNCTION("""COMPUTED_VALUE"""),6.0796880905E10)</f>
        <v>60796880905</v>
      </c>
      <c r="Z17" s="7" t="str">
        <f>IFERROR(__xludf.DUMMYFUNCTION("""COMPUTED_VALUE"""),"No")</f>
        <v>No</v>
      </c>
      <c r="AA17" s="7" t="str">
        <f>IFERROR(__xludf.DUMMYFUNCTION("""COMPUTED_VALUE"""),"Acepto")</f>
        <v>Acepto</v>
      </c>
      <c r="AB17" s="7" t="str">
        <f>IFERROR(__xludf.DUMMYFUNCTION("""COMPUTED_VALUE"""),"Terminado")</f>
        <v>Terminado</v>
      </c>
      <c r="AC17" s="7">
        <f>IFERROR(__xludf.DUMMYFUNCTION("""COMPUTED_VALUE"""),50000.0)</f>
        <v>50000</v>
      </c>
      <c r="AD17" s="7">
        <f>IFERROR(__xludf.DUMMYFUNCTION("""COMPUTED_VALUE"""),205346.0)</f>
        <v>205346</v>
      </c>
      <c r="AE17" s="45" t="str">
        <f>IFERROR(__xludf.DUMMYFUNCTION("""COMPUTED_VALUE"""),"TRF 31-08")</f>
        <v>TRF 31-08</v>
      </c>
      <c r="AF17" s="7" t="str">
        <f>IFERROR(__xludf.DUMMYFUNCTION("""COMPUTED_VALUE"""),"OK")</f>
        <v>OK</v>
      </c>
      <c r="AG17" s="7"/>
      <c r="AH17" s="7"/>
      <c r="AI17" s="7"/>
    </row>
    <row r="18">
      <c r="B18" s="83">
        <f>IFERROR(__xludf.DUMMYFUNCTION("""COMPUTED_VALUE"""),45538.588682430556)</f>
        <v>45538.58868</v>
      </c>
      <c r="C18" s="43" t="str">
        <f>IFERROR(__xludf.DUMMYFUNCTION("""COMPUTED_VALUE"""),"AMELIA ")</f>
        <v>AMELIA </v>
      </c>
      <c r="D18" s="43" t="str">
        <f>IFERROR(__xludf.DUMMYFUNCTION("""COMPUTED_VALUE"""),"BELARDI DE LEON ")</f>
        <v>BELARDI DE LEON </v>
      </c>
      <c r="E18" s="43" t="str">
        <f>IFERROR(__xludf.DUMMYFUNCTION("""COMPUTED_VALUE"""),"Buenos Aires ")</f>
        <v>Buenos Aires </v>
      </c>
      <c r="F18" s="7" t="str">
        <f>IFERROR(__xludf.DUMMYFUNCTION("""COMPUTED_VALUE"""),"ARG")</f>
        <v>ARG</v>
      </c>
      <c r="G18" s="7">
        <f>IFERROR(__xludf.DUMMYFUNCTION("""COMPUTED_VALUE"""),5.1397535E7)</f>
        <v>51397535</v>
      </c>
      <c r="H18" s="44">
        <f>IFERROR(__xludf.DUMMYFUNCTION("""COMPUTED_VALUE"""),40806.0)</f>
        <v>40806</v>
      </c>
      <c r="I18" s="45">
        <f>IFERROR(__xludf.DUMMYFUNCTION("""COMPUTED_VALUE"""),1.534037248E9)</f>
        <v>1534037248</v>
      </c>
      <c r="J18" s="45">
        <f>IFERROR(__xludf.DUMMYFUNCTION("""COMPUTED_VALUE"""),1.534195571E9)</f>
        <v>1534195571</v>
      </c>
      <c r="K18" s="45" t="str">
        <f>IFERROR(__xludf.DUMMYFUNCTION("""COMPUTED_VALUE"""),"pikicernic@gmail.com")</f>
        <v>pikicernic@gmail.com</v>
      </c>
      <c r="L18" s="45" t="str">
        <f>IFERROR(__xludf.DUMMYFUNCTION("""COMPUTED_VALUE"""),"Femenino")</f>
        <v>Femenino</v>
      </c>
      <c r="M18" s="54" t="str">
        <f>IFERROR(__xludf.DUMMYFUNCTION("""COMPUTED_VALUE"""),"CNSI")</f>
        <v>CNSI</v>
      </c>
      <c r="N18" s="45"/>
      <c r="O18" s="45" t="str">
        <f>IFERROR(__xludf.DUMMYFUNCTION("""COMPUTED_VALUE"""),"OPTIMIST TIMONELES")</f>
        <v>OPTIMIST TIMONELES</v>
      </c>
      <c r="P18" s="45"/>
      <c r="Q18" s="7" t="str">
        <f>IFERROR(__xludf.DUMMYFUNCTION("""COMPUTED_VALUE"""),"ARG 4096")</f>
        <v>ARG 4096</v>
      </c>
      <c r="R18" s="45"/>
      <c r="S18" s="45"/>
      <c r="T18" s="45"/>
      <c r="U18" s="45"/>
      <c r="V18" s="45"/>
      <c r="W18" s="45"/>
      <c r="X18" s="45"/>
      <c r="Y18" s="45" t="str">
        <f>IFERROR(__xludf.DUMMYFUNCTION("""COMPUTED_VALUE"""),"OSDE 60844562103")</f>
        <v>OSDE 60844562103</v>
      </c>
      <c r="Z18" s="7" t="str">
        <f>IFERROR(__xludf.DUMMYFUNCTION("""COMPUTED_VALUE"""),"No")</f>
        <v>No</v>
      </c>
      <c r="AA18" s="7" t="str">
        <f>IFERROR(__xludf.DUMMYFUNCTION("""COMPUTED_VALUE"""),"Acepto")</f>
        <v>Acepto</v>
      </c>
      <c r="AB18" s="7" t="str">
        <f>IFERROR(__xludf.DUMMYFUNCTION("""COMPUTED_VALUE"""),"Terminado")</f>
        <v>Terminado</v>
      </c>
      <c r="AC18" s="7">
        <f>IFERROR(__xludf.DUMMYFUNCTION("""COMPUTED_VALUE"""),50000.0)</f>
        <v>50000</v>
      </c>
      <c r="AD18" s="7">
        <f>IFERROR(__xludf.DUMMYFUNCTION("""COMPUTED_VALUE"""),205434.0)</f>
        <v>205434</v>
      </c>
      <c r="AE18" s="45" t="str">
        <f>IFERROR(__xludf.DUMMYFUNCTION("""COMPUTED_VALUE"""),"TRF 03-09")</f>
        <v>TRF 03-09</v>
      </c>
      <c r="AF18" s="7" t="str">
        <f>IFERROR(__xludf.DUMMYFUNCTION("""COMPUTED_VALUE"""),"OK")</f>
        <v>OK</v>
      </c>
      <c r="AG18" s="7"/>
      <c r="AH18" s="7"/>
      <c r="AI18" s="7"/>
    </row>
    <row r="19">
      <c r="B19" s="83">
        <f>IFERROR(__xludf.DUMMYFUNCTION("""COMPUTED_VALUE"""),45535.405896111115)</f>
        <v>45535.4059</v>
      </c>
      <c r="C19" s="43" t="str">
        <f>IFERROR(__xludf.DUMMYFUNCTION("""COMPUTED_VALUE"""),"Maria Emilia")</f>
        <v>Maria Emilia</v>
      </c>
      <c r="D19" s="43" t="str">
        <f>IFERROR(__xludf.DUMMYFUNCTION("""COMPUTED_VALUE"""),"Bieler")</f>
        <v>Bieler</v>
      </c>
      <c r="E19" s="43" t="str">
        <f>IFERROR(__xludf.DUMMYFUNCTION("""COMPUTED_VALUE"""),"Santa Fe")</f>
        <v>Santa Fe</v>
      </c>
      <c r="F19" s="7" t="str">
        <f>IFERROR(__xludf.DUMMYFUNCTION("""COMPUTED_VALUE"""),"ARG")</f>
        <v>ARG</v>
      </c>
      <c r="G19" s="7">
        <f>IFERROR(__xludf.DUMMYFUNCTION("""COMPUTED_VALUE"""),5.0349144E7)</f>
        <v>50349144</v>
      </c>
      <c r="H19" s="44">
        <f>IFERROR(__xludf.DUMMYFUNCTION("""COMPUTED_VALUE"""),40326.0)</f>
        <v>40326</v>
      </c>
      <c r="I19" s="45">
        <f>IFERROR(__xludf.DUMMYFUNCTION("""COMPUTED_VALUE"""),3.424403334E9)</f>
        <v>3424403334</v>
      </c>
      <c r="J19" s="45">
        <f>IFERROR(__xludf.DUMMYFUNCTION("""COMPUTED_VALUE"""),3.424403334E9)</f>
        <v>3424403334</v>
      </c>
      <c r="K19" s="45" t="str">
        <f>IFERROR(__xludf.DUMMYFUNCTION("""COMPUTED_VALUE"""),"cariolalla@yahoo.com")</f>
        <v>cariolalla@yahoo.com</v>
      </c>
      <c r="L19" s="45" t="str">
        <f>IFERROR(__xludf.DUMMYFUNCTION("""COMPUTED_VALUE"""),"Femenino")</f>
        <v>Femenino</v>
      </c>
      <c r="M19" s="54" t="str">
        <f>IFERROR(__xludf.DUMMYFUNCTION("""COMPUTED_VALUE"""),"YCO")</f>
        <v>YCO</v>
      </c>
      <c r="N19" s="45" t="str">
        <f>IFERROR(__xludf.DUMMYFUNCTION("""COMPUTED_VALUE"""),"Femenino, Interior (Optimist)")</f>
        <v>Femenino, Interior (Optimist)</v>
      </c>
      <c r="O19" s="45" t="str">
        <f>IFERROR(__xludf.DUMMYFUNCTION("""COMPUTED_VALUE"""),"OPTIMIST TIMONELES")</f>
        <v>OPTIMIST TIMONELES</v>
      </c>
      <c r="P19" s="45"/>
      <c r="Q19" s="7">
        <f>IFERROR(__xludf.DUMMYFUNCTION("""COMPUTED_VALUE"""),3989.0)</f>
        <v>3989</v>
      </c>
      <c r="R19" s="45"/>
      <c r="S19" s="45"/>
      <c r="T19" s="45"/>
      <c r="U19" s="45"/>
      <c r="V19" s="45"/>
      <c r="W19" s="45"/>
      <c r="X19" s="45"/>
      <c r="Y19" s="45" t="str">
        <f>IFERROR(__xludf.DUMMYFUNCTION("""COMPUTED_VALUE"""),"SANATORIO SANTA FE 94702")</f>
        <v>SANATORIO SANTA FE 94702</v>
      </c>
      <c r="Z19" s="7" t="str">
        <f>IFERROR(__xludf.DUMMYFUNCTION("""COMPUTED_VALUE"""),"Si")</f>
        <v>Si</v>
      </c>
      <c r="AA19" s="7" t="str">
        <f>IFERROR(__xludf.DUMMYFUNCTION("""COMPUTED_VALUE"""),"Acepto")</f>
        <v>Acepto</v>
      </c>
      <c r="AB19" s="7" t="str">
        <f>IFERROR(__xludf.DUMMYFUNCTION("""COMPUTED_VALUE"""),"Terminado")</f>
        <v>Terminado</v>
      </c>
      <c r="AC19" s="7">
        <f>IFERROR(__xludf.DUMMYFUNCTION("""COMPUTED_VALUE"""),50000.0)</f>
        <v>50000</v>
      </c>
      <c r="AD19" s="7">
        <f>IFERROR(__xludf.DUMMYFUNCTION("""COMPUTED_VALUE"""),205109.0)</f>
        <v>205109</v>
      </c>
      <c r="AE19" s="45" t="str">
        <f>IFERROR(__xludf.DUMMYFUNCTION("""COMPUTED_VALUE"""),"Tarj 31-08")</f>
        <v>Tarj 31-08</v>
      </c>
      <c r="AF19" s="7" t="str">
        <f>IFERROR(__xludf.DUMMYFUNCTION("""COMPUTED_VALUE"""),"OK")</f>
        <v>OK</v>
      </c>
      <c r="AG19" s="7"/>
      <c r="AH19" s="7"/>
      <c r="AI19" s="7"/>
    </row>
    <row r="20">
      <c r="B20" s="83">
        <f>IFERROR(__xludf.DUMMYFUNCTION("""COMPUTED_VALUE"""),45524.88328071759)</f>
        <v>45524.88328</v>
      </c>
      <c r="C20" s="43" t="str">
        <f>IFERROR(__xludf.DUMMYFUNCTION("""COMPUTED_VALUE"""),"Diego")</f>
        <v>Diego</v>
      </c>
      <c r="D20" s="43" t="str">
        <f>IFERROR(__xludf.DUMMYFUNCTION("""COMPUTED_VALUE"""),"Borlenghi")</f>
        <v>Borlenghi</v>
      </c>
      <c r="E20" s="43" t="str">
        <f>IFERROR(__xludf.DUMMYFUNCTION("""COMPUTED_VALUE"""),"buenos aires")</f>
        <v>buenos aires</v>
      </c>
      <c r="F20" s="7" t="str">
        <f>IFERROR(__xludf.DUMMYFUNCTION("""COMPUTED_VALUE"""),"ARG")</f>
        <v>ARG</v>
      </c>
      <c r="G20" s="7">
        <f>IFERROR(__xludf.DUMMYFUNCTION("""COMPUTED_VALUE"""),5.2827491E7)</f>
        <v>52827491</v>
      </c>
      <c r="H20" s="44">
        <f>IFERROR(__xludf.DUMMYFUNCTION("""COMPUTED_VALUE"""),41261.0)</f>
        <v>41261</v>
      </c>
      <c r="I20" s="45">
        <f>IFERROR(__xludf.DUMMYFUNCTION("""COMPUTED_VALUE"""),1.156913406E9)</f>
        <v>1156913406</v>
      </c>
      <c r="J20" s="45"/>
      <c r="K20" s="45" t="str">
        <f>IFERROR(__xludf.DUMMYFUNCTION("""COMPUTED_VALUE"""),"gaby.rodriguez@yahoo.com.ar")</f>
        <v>gaby.rodriguez@yahoo.com.ar</v>
      </c>
      <c r="L20" s="45" t="str">
        <f>IFERROR(__xludf.DUMMYFUNCTION("""COMPUTED_VALUE"""),"Masculino")</f>
        <v>Masculino</v>
      </c>
      <c r="M20" s="54" t="str">
        <f>IFERROR(__xludf.DUMMYFUNCTION("""COMPUTED_VALUE"""),"CPNLB ")</f>
        <v>CPNLB </v>
      </c>
      <c r="N20" s="45"/>
      <c r="O20" s="45" t="str">
        <f>IFERROR(__xludf.DUMMYFUNCTION("""COMPUTED_VALUE"""),"OPTIMIST TIMONELES")</f>
        <v>OPTIMIST TIMONELES</v>
      </c>
      <c r="P20" s="45"/>
      <c r="Q20" s="7">
        <f>IFERROR(__xludf.DUMMYFUNCTION("""COMPUTED_VALUE"""),4023.0)</f>
        <v>4023</v>
      </c>
      <c r="R20" s="45"/>
      <c r="S20" s="45"/>
      <c r="T20" s="45"/>
      <c r="U20" s="45"/>
      <c r="V20" s="45"/>
      <c r="W20" s="45"/>
      <c r="X20" s="45"/>
      <c r="Y20" s="45"/>
      <c r="Z20" s="7" t="str">
        <f>IFERROR(__xludf.DUMMYFUNCTION("""COMPUTED_VALUE"""),"Si")</f>
        <v>Si</v>
      </c>
      <c r="AA20" s="7" t="str">
        <f>IFERROR(__xludf.DUMMYFUNCTION("""COMPUTED_VALUE"""),"Acepto")</f>
        <v>Acepto</v>
      </c>
      <c r="AB20" s="7" t="str">
        <f>IFERROR(__xludf.DUMMYFUNCTION("""COMPUTED_VALUE"""),"Terminado")</f>
        <v>Terminado</v>
      </c>
      <c r="AC20" s="7">
        <f>IFERROR(__xludf.DUMMYFUNCTION("""COMPUTED_VALUE"""),60000.0)</f>
        <v>60000</v>
      </c>
      <c r="AD20" s="7">
        <f>IFERROR(__xludf.DUMMYFUNCTION("""COMPUTED_VALUE"""),205012.0)</f>
        <v>205012</v>
      </c>
      <c r="AE20" s="45" t="str">
        <f>IFERROR(__xludf.DUMMYFUNCTION("""COMPUTED_VALUE"""),"TRF 20-08")</f>
        <v>TRF 20-08</v>
      </c>
      <c r="AF20" s="7" t="str">
        <f>IFERROR(__xludf.DUMMYFUNCTION("""COMPUTED_VALUE"""),"OK")</f>
        <v>OK</v>
      </c>
      <c r="AG20" s="7" t="str">
        <f>IFERROR(__xludf.DUMMYFUNCTION("""COMPUTED_VALUE"""),"SI")</f>
        <v>SI</v>
      </c>
      <c r="AH20" s="7"/>
      <c r="AI20" s="7"/>
    </row>
    <row r="21">
      <c r="B21" s="83">
        <f>IFERROR(__xludf.DUMMYFUNCTION("""COMPUTED_VALUE"""),45533.922367719904)</f>
        <v>45533.92237</v>
      </c>
      <c r="C21" s="43" t="str">
        <f>IFERROR(__xludf.DUMMYFUNCTION("""COMPUTED_VALUE"""),"Olivia ")</f>
        <v>Olivia </v>
      </c>
      <c r="D21" s="43" t="str">
        <f>IFERROR(__xludf.DUMMYFUNCTION("""COMPUTED_VALUE"""),"Bouvier ")</f>
        <v>Bouvier </v>
      </c>
      <c r="E21" s="43" t="str">
        <f>IFERROR(__xludf.DUMMYFUNCTION("""COMPUTED_VALUE"""),"Zárate ")</f>
        <v>Zárate </v>
      </c>
      <c r="F21" s="7" t="str">
        <f>IFERROR(__xludf.DUMMYFUNCTION("""COMPUTED_VALUE"""),"ARG")</f>
        <v>ARG</v>
      </c>
      <c r="G21" s="7">
        <f>IFERROR(__xludf.DUMMYFUNCTION("""COMPUTED_VALUE"""),5.0417852E7)</f>
        <v>50417852</v>
      </c>
      <c r="H21" s="44">
        <f>IFERROR(__xludf.DUMMYFUNCTION("""COMPUTED_VALUE"""),40456.0)</f>
        <v>40456</v>
      </c>
      <c r="I21" s="45">
        <f>IFERROR(__xludf.DUMMYFUNCTION("""COMPUTED_VALUE"""),1.150435258E9)</f>
        <v>1150435258</v>
      </c>
      <c r="J21" s="45">
        <f>IFERROR(__xludf.DUMMYFUNCTION("""COMPUTED_VALUE"""),1.149168977E9)</f>
        <v>1149168977</v>
      </c>
      <c r="K21" s="45" t="str">
        <f>IFERROR(__xludf.DUMMYFUNCTION("""COMPUTED_VALUE"""),"Verominetti75@gmail.com")</f>
        <v>Verominetti75@gmail.com</v>
      </c>
      <c r="L21" s="45" t="str">
        <f>IFERROR(__xludf.DUMMYFUNCTION("""COMPUTED_VALUE"""),"Femenino")</f>
        <v>Femenino</v>
      </c>
      <c r="M21" s="54" t="str">
        <f>IFERROR(__xludf.DUMMYFUNCTION("""COMPUTED_VALUE"""),"CNZ")</f>
        <v>CNZ</v>
      </c>
      <c r="N21" s="45"/>
      <c r="O21" s="45" t="str">
        <f>IFERROR(__xludf.DUMMYFUNCTION("""COMPUTED_VALUE"""),"OPTIMIST TIMONELES")</f>
        <v>OPTIMIST TIMONELES</v>
      </c>
      <c r="P21" s="45"/>
      <c r="Q21" s="7">
        <f>IFERROR(__xludf.DUMMYFUNCTION("""COMPUTED_VALUE"""),3888.0)</f>
        <v>3888</v>
      </c>
      <c r="R21" s="45"/>
      <c r="S21" s="45" t="str">
        <f>IFERROR(__xludf.DUMMYFUNCTION("""COMPUTED_VALUE"""),"Oliva Bouvier ")</f>
        <v>Oliva Bouvier </v>
      </c>
      <c r="T21" s="45"/>
      <c r="U21" s="45"/>
      <c r="V21" s="45"/>
      <c r="W21" s="45"/>
      <c r="X21" s="45"/>
      <c r="Y21" s="45" t="str">
        <f>IFERROR(__xludf.DUMMYFUNCTION("""COMPUTED_VALUE"""),"Swiss Medical")</f>
        <v>Swiss Medical</v>
      </c>
      <c r="Z21" s="7" t="str">
        <f>IFERROR(__xludf.DUMMYFUNCTION("""COMPUTED_VALUE"""),"No")</f>
        <v>No</v>
      </c>
      <c r="AA21" s="7" t="str">
        <f>IFERROR(__xludf.DUMMYFUNCTION("""COMPUTED_VALUE"""),"Acepto")</f>
        <v>Acepto</v>
      </c>
      <c r="AB21" s="7" t="str">
        <f>IFERROR(__xludf.DUMMYFUNCTION("""COMPUTED_VALUE"""),"Terminado")</f>
        <v>Terminado</v>
      </c>
      <c r="AC21" s="7">
        <f>IFERROR(__xludf.DUMMYFUNCTION("""COMPUTED_VALUE"""),50000.0)</f>
        <v>50000</v>
      </c>
      <c r="AD21" s="7">
        <f>IFERROR(__xludf.DUMMYFUNCTION("""COMPUTED_VALUE"""),205085.0)</f>
        <v>205085</v>
      </c>
      <c r="AE21" s="45" t="str">
        <f>IFERROR(__xludf.DUMMYFUNCTION("""COMPUTED_VALUE"""),"TRF 29-08")</f>
        <v>TRF 29-08</v>
      </c>
      <c r="AF21" s="7" t="str">
        <f>IFERROR(__xludf.DUMMYFUNCTION("""COMPUTED_VALUE"""),"OK")</f>
        <v>OK</v>
      </c>
      <c r="AG21" s="7"/>
      <c r="AH21" s="7"/>
      <c r="AI21" s="7"/>
    </row>
    <row r="22">
      <c r="B22" s="83">
        <f>IFERROR(__xludf.DUMMYFUNCTION("""COMPUTED_VALUE"""),45538.592665937496)</f>
        <v>45538.59267</v>
      </c>
      <c r="C22" s="43" t="str">
        <f>IFERROR(__xludf.DUMMYFUNCTION("""COMPUTED_VALUE"""),"Ines")</f>
        <v>Ines</v>
      </c>
      <c r="D22" s="43" t="str">
        <f>IFERROR(__xludf.DUMMYFUNCTION("""COMPUTED_VALUE"""),"Bradley")</f>
        <v>Bradley</v>
      </c>
      <c r="E22" s="43" t="str">
        <f>IFERROR(__xludf.DUMMYFUNCTION("""COMPUTED_VALUE"""),"Buenos aires")</f>
        <v>Buenos aires</v>
      </c>
      <c r="F22" s="7" t="str">
        <f>IFERROR(__xludf.DUMMYFUNCTION("""COMPUTED_VALUE"""),"ARG")</f>
        <v>ARG</v>
      </c>
      <c r="G22" s="7">
        <f>IFERROR(__xludf.DUMMYFUNCTION("""COMPUTED_VALUE"""),5.1139794E8)</f>
        <v>511397940</v>
      </c>
      <c r="H22" s="44">
        <f>IFERROR(__xludf.DUMMYFUNCTION("""COMPUTED_VALUE"""),40709.0)</f>
        <v>40709</v>
      </c>
      <c r="I22" s="45">
        <f>IFERROR(__xludf.DUMMYFUNCTION("""COMPUTED_VALUE"""),1.165125393E9)</f>
        <v>1165125393</v>
      </c>
      <c r="J22" s="45">
        <f>IFERROR(__xludf.DUMMYFUNCTION("""COMPUTED_VALUE"""),1.16512393E8)</f>
        <v>116512393</v>
      </c>
      <c r="K22" s="45" t="str">
        <f>IFERROR(__xludf.DUMMYFUNCTION("""COMPUTED_VALUE"""),"franciscobradley@gmail.com")</f>
        <v>franciscobradley@gmail.com</v>
      </c>
      <c r="L22" s="45" t="str">
        <f>IFERROR(__xludf.DUMMYFUNCTION("""COMPUTED_VALUE"""),"Femenino")</f>
        <v>Femenino</v>
      </c>
      <c r="M22" s="54" t="str">
        <f>IFERROR(__xludf.DUMMYFUNCTION("""COMPUTED_VALUE"""),"CNSI")</f>
        <v>CNSI</v>
      </c>
      <c r="N22" s="45" t="str">
        <f>IFERROR(__xludf.DUMMYFUNCTION("""COMPUTED_VALUE"""),"Femenino")</f>
        <v>Femenino</v>
      </c>
      <c r="O22" s="45" t="str">
        <f>IFERROR(__xludf.DUMMYFUNCTION("""COMPUTED_VALUE"""),"OPTIMIST TIMONELES")</f>
        <v>OPTIMIST TIMONELES</v>
      </c>
      <c r="P22" s="45"/>
      <c r="Q22" s="7">
        <f>IFERROR(__xludf.DUMMYFUNCTION("""COMPUTED_VALUE"""),3914.0)</f>
        <v>3914</v>
      </c>
      <c r="R22" s="45"/>
      <c r="S22" s="45"/>
      <c r="T22" s="45"/>
      <c r="U22" s="45"/>
      <c r="V22" s="45"/>
      <c r="W22" s="45"/>
      <c r="X22" s="45"/>
      <c r="Y22" s="45" t="str">
        <f>IFERROR(__xludf.DUMMYFUNCTION("""COMPUTED_VALUE"""),"SMG")</f>
        <v>SMG</v>
      </c>
      <c r="Z22" s="7" t="str">
        <f>IFERROR(__xludf.DUMMYFUNCTION("""COMPUTED_VALUE"""),"Si")</f>
        <v>Si</v>
      </c>
      <c r="AA22" s="7" t="str">
        <f>IFERROR(__xludf.DUMMYFUNCTION("""COMPUTED_VALUE"""),"Acepto")</f>
        <v>Acepto</v>
      </c>
      <c r="AB22" s="7" t="str">
        <f>IFERROR(__xludf.DUMMYFUNCTION("""COMPUTED_VALUE"""),"Terminado")</f>
        <v>Terminado</v>
      </c>
      <c r="AC22" s="7">
        <f>IFERROR(__xludf.DUMMYFUNCTION("""COMPUTED_VALUE"""),50000.0)</f>
        <v>50000</v>
      </c>
      <c r="AD22" s="7">
        <f>IFERROR(__xludf.DUMMYFUNCTION("""COMPUTED_VALUE"""),205438.0)</f>
        <v>205438</v>
      </c>
      <c r="AE22" s="45" t="str">
        <f>IFERROR(__xludf.DUMMYFUNCTION("""COMPUTED_VALUE"""),"TRF 04-09")</f>
        <v>TRF 04-09</v>
      </c>
      <c r="AF22" s="7" t="str">
        <f>IFERROR(__xludf.DUMMYFUNCTION("""COMPUTED_VALUE"""),"OK")</f>
        <v>OK</v>
      </c>
      <c r="AG22" s="7"/>
      <c r="AH22" s="7"/>
      <c r="AI22" s="7"/>
    </row>
    <row r="23">
      <c r="B23" s="83">
        <f>IFERROR(__xludf.DUMMYFUNCTION("""COMPUTED_VALUE"""),45532.492384004625)</f>
        <v>45532.49238</v>
      </c>
      <c r="C23" s="43" t="str">
        <f>IFERROR(__xludf.DUMMYFUNCTION("""COMPUTED_VALUE"""),"FELIPE ")</f>
        <v>FELIPE </v>
      </c>
      <c r="D23" s="43" t="str">
        <f>IFERROR(__xludf.DUMMYFUNCTION("""COMPUTED_VALUE"""),"BRUNO")</f>
        <v>BRUNO</v>
      </c>
      <c r="E23" s="43" t="str">
        <f>IFERROR(__xludf.DUMMYFUNCTION("""COMPUTED_VALUE"""),"RECOLETA")</f>
        <v>RECOLETA</v>
      </c>
      <c r="F23" s="7" t="str">
        <f>IFERROR(__xludf.DUMMYFUNCTION("""COMPUTED_VALUE"""),"ARG")</f>
        <v>ARG</v>
      </c>
      <c r="G23" s="7">
        <f>IFERROR(__xludf.DUMMYFUNCTION("""COMPUTED_VALUE"""),5.0705487E7)</f>
        <v>50705487</v>
      </c>
      <c r="H23" s="44">
        <f>IFERROR(__xludf.DUMMYFUNCTION("""COMPUTED_VALUE"""),40533.0)</f>
        <v>40533</v>
      </c>
      <c r="I23" s="45">
        <f>IFERROR(__xludf.DUMMYFUNCTION("""COMPUTED_VALUE"""),1.155998816E9)</f>
        <v>1155998816</v>
      </c>
      <c r="J23" s="45">
        <f>IFERROR(__xludf.DUMMYFUNCTION("""COMPUTED_VALUE"""),1.123241842E9)</f>
        <v>1123241842</v>
      </c>
      <c r="K23" s="45" t="str">
        <f>IFERROR(__xludf.DUMMYFUNCTION("""COMPUTED_VALUE"""),"gimade@hotmail.com")</f>
        <v>gimade@hotmail.com</v>
      </c>
      <c r="L23" s="45" t="str">
        <f>IFERROR(__xludf.DUMMYFUNCTION("""COMPUTED_VALUE"""),"Masculino")</f>
        <v>Masculino</v>
      </c>
      <c r="M23" s="54" t="str">
        <f>IFERROR(__xludf.DUMMYFUNCTION("""COMPUTED_VALUE"""),"YCO")</f>
        <v>YCO</v>
      </c>
      <c r="N23" s="45" t="str">
        <f>IFERROR(__xludf.DUMMYFUNCTION("""COMPUTED_VALUE"""),"OPTIMIST TIMONEL")</f>
        <v>OPTIMIST TIMONEL</v>
      </c>
      <c r="O23" s="45" t="str">
        <f>IFERROR(__xludf.DUMMYFUNCTION("""COMPUTED_VALUE"""),"OPTIMIST TIMONELES")</f>
        <v>OPTIMIST TIMONELES</v>
      </c>
      <c r="P23" s="45"/>
      <c r="Q23" s="7">
        <f>IFERROR(__xludf.DUMMYFUNCTION("""COMPUTED_VALUE"""),3528.0)</f>
        <v>3528</v>
      </c>
      <c r="R23" s="45" t="str">
        <f>IFERROR(__xludf.DUMMYFUNCTION("""COMPUTED_VALUE"""),"MOHANA")</f>
        <v>MOHANA</v>
      </c>
      <c r="S23" s="45"/>
      <c r="T23" s="45"/>
      <c r="U23" s="45"/>
      <c r="V23" s="45"/>
      <c r="W23" s="45"/>
      <c r="X23" s="45"/>
      <c r="Y23" s="45" t="str">
        <f>IFERROR(__xludf.DUMMYFUNCTION("""COMPUTED_VALUE"""),"22913677 HOSPITAL ALEMAN")</f>
        <v>22913677 HOSPITAL ALEMAN</v>
      </c>
      <c r="Z23" s="7" t="str">
        <f>IFERROR(__xludf.DUMMYFUNCTION("""COMPUTED_VALUE"""),"Si")</f>
        <v>Si</v>
      </c>
      <c r="AA23" s="7" t="str">
        <f>IFERROR(__xludf.DUMMYFUNCTION("""COMPUTED_VALUE"""),"Acepto")</f>
        <v>Acepto</v>
      </c>
      <c r="AB23" s="7" t="str">
        <f>IFERROR(__xludf.DUMMYFUNCTION("""COMPUTED_VALUE"""),"Pendiente")</f>
        <v>Pendiente</v>
      </c>
      <c r="AC23" s="7"/>
      <c r="AD23" s="7"/>
      <c r="AE23" s="45"/>
      <c r="AF23" s="7" t="str">
        <f>IFERROR(__xludf.DUMMYFUNCTION("""COMPUTED_VALUE"""),"OK")</f>
        <v>OK</v>
      </c>
      <c r="AG23" s="7"/>
      <c r="AH23" s="7"/>
      <c r="AI23" s="7"/>
    </row>
    <row r="24">
      <c r="B24" s="83">
        <f>IFERROR(__xludf.DUMMYFUNCTION("""COMPUTED_VALUE"""),45533.59806690972)</f>
        <v>45533.59807</v>
      </c>
      <c r="C24" s="43" t="str">
        <f>IFERROR(__xludf.DUMMYFUNCTION("""COMPUTED_VALUE"""),"Francisco")</f>
        <v>Francisco</v>
      </c>
      <c r="D24" s="43" t="str">
        <f>IFERROR(__xludf.DUMMYFUNCTION("""COMPUTED_VALUE"""),"Cerrato")</f>
        <v>Cerrato</v>
      </c>
      <c r="E24" s="43" t="str">
        <f>IFERROR(__xludf.DUMMYFUNCTION("""COMPUTED_VALUE"""),"Buenos Aires ")</f>
        <v>Buenos Aires </v>
      </c>
      <c r="F24" s="7" t="str">
        <f>IFERROR(__xludf.DUMMYFUNCTION("""COMPUTED_VALUE"""),"ARG")</f>
        <v>ARG</v>
      </c>
      <c r="G24" s="7">
        <f>IFERROR(__xludf.DUMMYFUNCTION("""COMPUTED_VALUE"""),5.1584319E7)</f>
        <v>51584319</v>
      </c>
      <c r="H24" s="44">
        <f>IFERROR(__xludf.DUMMYFUNCTION("""COMPUTED_VALUE"""),40857.0)</f>
        <v>40857</v>
      </c>
      <c r="I24" s="45">
        <f>IFERROR(__xludf.DUMMYFUNCTION("""COMPUTED_VALUE"""),1.169476129E9)</f>
        <v>1169476129</v>
      </c>
      <c r="J24" s="45">
        <f>IFERROR(__xludf.DUMMYFUNCTION("""COMPUTED_VALUE"""),1.169476129E9)</f>
        <v>1169476129</v>
      </c>
      <c r="K24" s="45" t="str">
        <f>IFERROR(__xludf.DUMMYFUNCTION("""COMPUTED_VALUE"""),"cerramar432@yahoo.com.ar")</f>
        <v>cerramar432@yahoo.com.ar</v>
      </c>
      <c r="L24" s="45" t="str">
        <f>IFERROR(__xludf.DUMMYFUNCTION("""COMPUTED_VALUE"""),"Masculino")</f>
        <v>Masculino</v>
      </c>
      <c r="M24" s="54" t="str">
        <f>IFERROR(__xludf.DUMMYFUNCTION("""COMPUTED_VALUE"""),"CGLNM")</f>
        <v>CGLNM</v>
      </c>
      <c r="N24" s="45" t="str">
        <f>IFERROR(__xludf.DUMMYFUNCTION("""COMPUTED_VALUE"""),"Optimist Timonel")</f>
        <v>Optimist Timonel</v>
      </c>
      <c r="O24" s="45" t="str">
        <f>IFERROR(__xludf.DUMMYFUNCTION("""COMPUTED_VALUE"""),"OPTIMIST TIMONELES")</f>
        <v>OPTIMIST TIMONELES</v>
      </c>
      <c r="P24" s="45"/>
      <c r="Q24" s="7">
        <f>IFERROR(__xludf.DUMMYFUNCTION("""COMPUTED_VALUE"""),3801.0)</f>
        <v>3801</v>
      </c>
      <c r="R24" s="45"/>
      <c r="S24" s="45"/>
      <c r="T24" s="45"/>
      <c r="U24" s="45"/>
      <c r="V24" s="45"/>
      <c r="W24" s="45"/>
      <c r="X24" s="45"/>
      <c r="Y24" s="45" t="str">
        <f>IFERROR(__xludf.DUMMYFUNCTION("""COMPUTED_VALUE"""),"Swiss Medical")</f>
        <v>Swiss Medical</v>
      </c>
      <c r="Z24" s="7" t="str">
        <f>IFERROR(__xludf.DUMMYFUNCTION("""COMPUTED_VALUE"""),"Si")</f>
        <v>Si</v>
      </c>
      <c r="AA24" s="7" t="str">
        <f>IFERROR(__xludf.DUMMYFUNCTION("""COMPUTED_VALUE"""),"Acepto")</f>
        <v>Acepto</v>
      </c>
      <c r="AB24" s="7" t="str">
        <f>IFERROR(__xludf.DUMMYFUNCTION("""COMPUTED_VALUE"""),"Terminado")</f>
        <v>Terminado</v>
      </c>
      <c r="AC24" s="7">
        <f>IFERROR(__xludf.DUMMYFUNCTION("""COMPUTED_VALUE"""),50000.0)</f>
        <v>50000</v>
      </c>
      <c r="AD24" s="7">
        <f>IFERROR(__xludf.DUMMYFUNCTION("""COMPUTED_VALUE"""),205082.0)</f>
        <v>205082</v>
      </c>
      <c r="AE24" s="45" t="str">
        <f>IFERROR(__xludf.DUMMYFUNCTION("""COMPUTED_VALUE"""),"TRF 29-08")</f>
        <v>TRF 29-08</v>
      </c>
      <c r="AF24" s="7" t="str">
        <f>IFERROR(__xludf.DUMMYFUNCTION("""COMPUTED_VALUE"""),"OK")</f>
        <v>OK</v>
      </c>
      <c r="AG24" s="7"/>
      <c r="AH24" s="7"/>
      <c r="AI24" s="7"/>
    </row>
    <row r="25">
      <c r="B25" s="83">
        <f>IFERROR(__xludf.DUMMYFUNCTION("""COMPUTED_VALUE"""),45535.87349679398)</f>
        <v>45535.8735</v>
      </c>
      <c r="C25" s="43" t="str">
        <f>IFERROR(__xludf.DUMMYFUNCTION("""COMPUTED_VALUE"""),"Isabella")</f>
        <v>Isabella</v>
      </c>
      <c r="D25" s="43" t="str">
        <f>IFERROR(__xludf.DUMMYFUNCTION("""COMPUTED_VALUE"""),"Conde")</f>
        <v>Conde</v>
      </c>
      <c r="E25" s="43" t="str">
        <f>IFERROR(__xludf.DUMMYFUNCTION("""COMPUTED_VALUE"""),"Montevideo")</f>
        <v>Montevideo</v>
      </c>
      <c r="F25" s="7" t="str">
        <f>IFERROR(__xludf.DUMMYFUNCTION("""COMPUTED_VALUE"""),"URU")</f>
        <v>URU</v>
      </c>
      <c r="G25" s="7">
        <f>IFERROR(__xludf.DUMMYFUNCTION("""COMPUTED_VALUE"""),5.9054813E7)</f>
        <v>59054813</v>
      </c>
      <c r="H25" s="44">
        <f>IFERROR(__xludf.DUMMYFUNCTION("""COMPUTED_VALUE"""),40638.0)</f>
        <v>40638</v>
      </c>
      <c r="I25" s="45" t="str">
        <f>IFERROR(__xludf.DUMMYFUNCTION("""COMPUTED_VALUE"""),"+59899827662")</f>
        <v>+59899827662</v>
      </c>
      <c r="J25" s="45" t="str">
        <f>IFERROR(__xludf.DUMMYFUNCTION("""COMPUTED_VALUE"""),"+59899827662")</f>
        <v>+59899827662</v>
      </c>
      <c r="K25" s="45" t="str">
        <f>IFERROR(__xludf.DUMMYFUNCTION("""COMPUTED_VALUE"""),"analiabianco@vera.com.uy")</f>
        <v>analiabianco@vera.com.uy</v>
      </c>
      <c r="L25" s="45" t="str">
        <f>IFERROR(__xludf.DUMMYFUNCTION("""COMPUTED_VALUE"""),"Femenino")</f>
        <v>Femenino</v>
      </c>
      <c r="M25" s="54" t="str">
        <f>IFERROR(__xludf.DUMMYFUNCTION("""COMPUTED_VALUE"""),"NYC")</f>
        <v>NYC</v>
      </c>
      <c r="N25" s="45" t="str">
        <f>IFERROR(__xludf.DUMMYFUNCTION("""COMPUTED_VALUE"""),"Interior (Optimist)")</f>
        <v>Interior (Optimist)</v>
      </c>
      <c r="O25" s="45" t="str">
        <f>IFERROR(__xludf.DUMMYFUNCTION("""COMPUTED_VALUE"""),"OPTIMIST TIMONELES")</f>
        <v>OPTIMIST TIMONELES</v>
      </c>
      <c r="P25" s="45"/>
      <c r="Q25" s="7" t="str">
        <f>IFERROR(__xludf.DUMMYFUNCTION("""COMPUTED_VALUE"""),"NYC")</f>
        <v>NYC</v>
      </c>
      <c r="R25" s="45"/>
      <c r="S25" s="45"/>
      <c r="T25" s="45"/>
      <c r="U25" s="45"/>
      <c r="V25" s="45"/>
      <c r="W25" s="45"/>
      <c r="X25" s="45"/>
      <c r="Y25" s="45"/>
      <c r="Z25" s="7" t="str">
        <f>IFERROR(__xludf.DUMMYFUNCTION("""COMPUTED_VALUE"""),"Si")</f>
        <v>Si</v>
      </c>
      <c r="AA25" s="7" t="str">
        <f>IFERROR(__xludf.DUMMYFUNCTION("""COMPUTED_VALUE"""),"Acepto")</f>
        <v>Acepto</v>
      </c>
      <c r="AB25" s="7" t="str">
        <f>IFERROR(__xludf.DUMMYFUNCTION("""COMPUTED_VALUE"""),"Terminado")</f>
        <v>Terminado</v>
      </c>
      <c r="AC25" s="7">
        <f>IFERROR(__xludf.DUMMYFUNCTION("""COMPUTED_VALUE"""),42500.0)</f>
        <v>42500</v>
      </c>
      <c r="AD25" s="7">
        <f>IFERROR(__xludf.DUMMYFUNCTION("""COMPUTED_VALUE"""),205391.0)</f>
        <v>205391</v>
      </c>
      <c r="AE25" s="45" t="str">
        <f>IFERROR(__xludf.DUMMYFUNCTION("""COMPUTED_VALUE"""),"TRF 02-09")</f>
        <v>TRF 02-09</v>
      </c>
      <c r="AF25" s="7" t="str">
        <f>IFERROR(__xludf.DUMMYFUNCTION("""COMPUTED_VALUE"""),"Pendiente")</f>
        <v>Pendiente</v>
      </c>
      <c r="AG25" s="7" t="str">
        <f>IFERROR(__xludf.DUMMYFUNCTION("""COMPUTED_VALUE"""),"SI")</f>
        <v>SI</v>
      </c>
      <c r="AH25" s="7"/>
      <c r="AI25" s="7"/>
    </row>
    <row r="26">
      <c r="B26" s="83">
        <f>IFERROR(__xludf.DUMMYFUNCTION("""COMPUTED_VALUE"""),45535.73799695601)</f>
        <v>45535.738</v>
      </c>
      <c r="C26" s="43" t="str">
        <f>IFERROR(__xludf.DUMMYFUNCTION("""COMPUTED_VALUE"""),"MAXIMO")</f>
        <v>MAXIMO</v>
      </c>
      <c r="D26" s="43" t="str">
        <f>IFERROR(__xludf.DUMMYFUNCTION("""COMPUTED_VALUE"""),"COROMINAS")</f>
        <v>COROMINAS</v>
      </c>
      <c r="E26" s="43" t="str">
        <f>IFERROR(__xludf.DUMMYFUNCTION("""COMPUTED_VALUE"""),"ZARATE")</f>
        <v>ZARATE</v>
      </c>
      <c r="F26" s="7" t="str">
        <f>IFERROR(__xludf.DUMMYFUNCTION("""COMPUTED_VALUE"""),"ARG")</f>
        <v>ARG</v>
      </c>
      <c r="G26" s="7">
        <f>IFERROR(__xludf.DUMMYFUNCTION("""COMPUTED_VALUE"""),5.2192618E7)</f>
        <v>52192618</v>
      </c>
      <c r="H26" s="44">
        <f>IFERROR(__xludf.DUMMYFUNCTION("""COMPUTED_VALUE"""),40970.0)</f>
        <v>40970</v>
      </c>
      <c r="I26" s="45">
        <f>IFERROR(__xludf.DUMMYFUNCTION("""COMPUTED_VALUE"""),3.487314537E9)</f>
        <v>3487314537</v>
      </c>
      <c r="J26" s="45">
        <f>IFERROR(__xludf.DUMMYFUNCTION("""COMPUTED_VALUE"""),3.487314537E9)</f>
        <v>3487314537</v>
      </c>
      <c r="K26" s="45" t="str">
        <f>IFERROR(__xludf.DUMMYFUNCTION("""COMPUTED_VALUE"""),"vanesamledo@gmail.com")</f>
        <v>vanesamledo@gmail.com</v>
      </c>
      <c r="L26" s="45" t="str">
        <f>IFERROR(__xludf.DUMMYFUNCTION("""COMPUTED_VALUE"""),"Masculino")</f>
        <v>Masculino</v>
      </c>
      <c r="M26" s="54" t="str">
        <f>IFERROR(__xludf.DUMMYFUNCTION("""COMPUTED_VALUE"""),"CNZ")</f>
        <v>CNZ</v>
      </c>
      <c r="N26" s="45" t="str">
        <f>IFERROR(__xludf.DUMMYFUNCTION("""COMPUTED_VALUE"""),"Interior (Optimist)")</f>
        <v>Interior (Optimist)</v>
      </c>
      <c r="O26" s="45" t="str">
        <f>IFERROR(__xludf.DUMMYFUNCTION("""COMPUTED_VALUE"""),"OPTIMIST TIMONELES")</f>
        <v>OPTIMIST TIMONELES</v>
      </c>
      <c r="P26" s="45"/>
      <c r="Q26" s="7">
        <f>IFERROR(__xludf.DUMMYFUNCTION("""COMPUTED_VALUE"""),3819.0)</f>
        <v>3819</v>
      </c>
      <c r="R26" s="45"/>
      <c r="S26" s="45"/>
      <c r="T26" s="45"/>
      <c r="U26" s="45"/>
      <c r="V26" s="45"/>
      <c r="W26" s="45"/>
      <c r="X26" s="45"/>
      <c r="Y26" s="45" t="str">
        <f>IFERROR(__xludf.DUMMYFUNCTION("""COMPUTED_VALUE"""),"SWISS MEDICAL")</f>
        <v>SWISS MEDICAL</v>
      </c>
      <c r="Z26" s="7" t="str">
        <f>IFERROR(__xludf.DUMMYFUNCTION("""COMPUTED_VALUE"""),"Si")</f>
        <v>Si</v>
      </c>
      <c r="AA26" s="7" t="str">
        <f>IFERROR(__xludf.DUMMYFUNCTION("""COMPUTED_VALUE"""),"Acepto")</f>
        <v>Acepto</v>
      </c>
      <c r="AB26" s="7" t="str">
        <f>IFERROR(__xludf.DUMMYFUNCTION("""COMPUTED_VALUE"""),"Terminado")</f>
        <v>Terminado</v>
      </c>
      <c r="AC26" s="7">
        <f>IFERROR(__xludf.DUMMYFUNCTION("""COMPUTED_VALUE"""),50000.0)</f>
        <v>50000</v>
      </c>
      <c r="AD26" s="7">
        <f>IFERROR(__xludf.DUMMYFUNCTION("""COMPUTED_VALUE"""),205411.0)</f>
        <v>205411</v>
      </c>
      <c r="AE26" s="45" t="str">
        <f>IFERROR(__xludf.DUMMYFUNCTION("""COMPUTED_VALUE"""),"TRF 02-09")</f>
        <v>TRF 02-09</v>
      </c>
      <c r="AF26" s="7" t="str">
        <f>IFERROR(__xludf.DUMMYFUNCTION("""COMPUTED_VALUE"""),"OK")</f>
        <v>OK</v>
      </c>
      <c r="AG26" s="7"/>
      <c r="AH26" s="7"/>
      <c r="AI26" s="7"/>
    </row>
    <row r="27">
      <c r="B27" s="83">
        <f>IFERROR(__xludf.DUMMYFUNCTION("""COMPUTED_VALUE"""),45535.73240177083)</f>
        <v>45535.7324</v>
      </c>
      <c r="C27" s="43" t="str">
        <f>IFERROR(__xludf.DUMMYFUNCTION("""COMPUTED_VALUE"""),"Marcos")</f>
        <v>Marcos</v>
      </c>
      <c r="D27" s="43" t="str">
        <f>IFERROR(__xludf.DUMMYFUNCTION("""COMPUTED_VALUE"""),"Costa Urquiza")</f>
        <v>Costa Urquiza</v>
      </c>
      <c r="E27" s="43" t="str">
        <f>IFERROR(__xludf.DUMMYFUNCTION("""COMPUTED_VALUE"""),"SAN ISIDRO - MARTINEZ")</f>
        <v>SAN ISIDRO - MARTINEZ</v>
      </c>
      <c r="F27" s="7" t="str">
        <f>IFERROR(__xludf.DUMMYFUNCTION("""COMPUTED_VALUE"""),"ARG")</f>
        <v>ARG</v>
      </c>
      <c r="G27" s="7">
        <f>IFERROR(__xludf.DUMMYFUNCTION("""COMPUTED_VALUE"""),5.2764604E7)</f>
        <v>52764604</v>
      </c>
      <c r="H27" s="44">
        <f>IFERROR(__xludf.DUMMYFUNCTION("""COMPUTED_VALUE"""),41190.0)</f>
        <v>41190</v>
      </c>
      <c r="I27" s="45">
        <f>IFERROR(__xludf.DUMMYFUNCTION("""COMPUTED_VALUE"""),1.136972482E9)</f>
        <v>1136972482</v>
      </c>
      <c r="J27" s="45">
        <f>IFERROR(__xludf.DUMMYFUNCTION("""COMPUTED_VALUE"""),1.150246852E9)</f>
        <v>1150246852</v>
      </c>
      <c r="K27" s="45" t="str">
        <f>IFERROR(__xludf.DUMMYFUNCTION("""COMPUTED_VALUE"""),"jcostaurquiza@gmail.com")</f>
        <v>jcostaurquiza@gmail.com</v>
      </c>
      <c r="L27" s="45" t="str">
        <f>IFERROR(__xludf.DUMMYFUNCTION("""COMPUTED_VALUE"""),"Masculino")</f>
        <v>Masculino</v>
      </c>
      <c r="M27" s="54" t="str">
        <f>IFERROR(__xludf.DUMMYFUNCTION("""COMPUTED_VALUE"""),"Barrancas")</f>
        <v>Barrancas</v>
      </c>
      <c r="N27" s="45"/>
      <c r="O27" s="45" t="str">
        <f>IFERROR(__xludf.DUMMYFUNCTION("""COMPUTED_VALUE"""),"OPTIMIST TIMONELES")</f>
        <v>OPTIMIST TIMONELES</v>
      </c>
      <c r="P27" s="45"/>
      <c r="Q27" s="7">
        <f>IFERROR(__xludf.DUMMYFUNCTION("""COMPUTED_VALUE"""),3090.0)</f>
        <v>3090</v>
      </c>
      <c r="R27" s="45"/>
      <c r="S27" s="45"/>
      <c r="T27" s="45"/>
      <c r="U27" s="45"/>
      <c r="V27" s="45"/>
      <c r="W27" s="45"/>
      <c r="X27" s="45"/>
      <c r="Y27" s="45" t="str">
        <f>IFERROR(__xludf.DUMMYFUNCTION("""COMPUTED_VALUE"""),"OSDE 61096214004")</f>
        <v>OSDE 61096214004</v>
      </c>
      <c r="Z27" s="7" t="str">
        <f>IFERROR(__xludf.DUMMYFUNCTION("""COMPUTED_VALUE"""),"Si")</f>
        <v>Si</v>
      </c>
      <c r="AA27" s="7" t="str">
        <f>IFERROR(__xludf.DUMMYFUNCTION("""COMPUTED_VALUE"""),"Acepto")</f>
        <v>Acepto</v>
      </c>
      <c r="AB27" s="7" t="str">
        <f>IFERROR(__xludf.DUMMYFUNCTION("""COMPUTED_VALUE"""),"Terminado")</f>
        <v>Terminado</v>
      </c>
      <c r="AC27" s="7">
        <f>IFERROR(__xludf.DUMMYFUNCTION("""COMPUTED_VALUE"""),50000.0)</f>
        <v>50000</v>
      </c>
      <c r="AD27" s="7">
        <f>IFERROR(__xludf.DUMMYFUNCTION("""COMPUTED_VALUE"""),205409.0)</f>
        <v>205409</v>
      </c>
      <c r="AE27" s="45" t="str">
        <f>IFERROR(__xludf.DUMMYFUNCTION("""COMPUTED_VALUE"""),"TRF 02-09")</f>
        <v>TRF 02-09</v>
      </c>
      <c r="AF27" s="7" t="str">
        <f>IFERROR(__xludf.DUMMYFUNCTION("""COMPUTED_VALUE"""),"OK")</f>
        <v>OK</v>
      </c>
      <c r="AG27" s="7" t="str">
        <f>IFERROR(__xludf.DUMMYFUNCTION("""COMPUTED_VALUE"""),"SI")</f>
        <v>SI</v>
      </c>
      <c r="AH27" s="7"/>
      <c r="AI27" s="7"/>
    </row>
    <row r="28">
      <c r="B28" s="83">
        <f>IFERROR(__xludf.DUMMYFUNCTION("""COMPUTED_VALUE"""),45531.444773587966)</f>
        <v>45531.44477</v>
      </c>
      <c r="C28" s="43" t="str">
        <f>IFERROR(__xludf.DUMMYFUNCTION("""COMPUTED_VALUE"""),"Paloma")</f>
        <v>Paloma</v>
      </c>
      <c r="D28" s="43" t="str">
        <f>IFERROR(__xludf.DUMMYFUNCTION("""COMPUTED_VALUE"""),"Cozar Giuliani")</f>
        <v>Cozar Giuliani</v>
      </c>
      <c r="E28" s="43" t="str">
        <f>IFERROR(__xludf.DUMMYFUNCTION("""COMPUTED_VALUE"""),"CABA")</f>
        <v>CABA</v>
      </c>
      <c r="F28" s="7" t="str">
        <f>IFERROR(__xludf.DUMMYFUNCTION("""COMPUTED_VALUE"""),"ARG")</f>
        <v>ARG</v>
      </c>
      <c r="G28" s="7">
        <f>IFERROR(__xludf.DUMMYFUNCTION("""COMPUTED_VALUE"""),5.276242E7)</f>
        <v>52762420</v>
      </c>
      <c r="H28" s="44">
        <f>IFERROR(__xludf.DUMMYFUNCTION("""COMPUTED_VALUE"""),41207.0)</f>
        <v>41207</v>
      </c>
      <c r="I28" s="45">
        <f>IFERROR(__xludf.DUMMYFUNCTION("""COMPUTED_VALUE"""),1.154284469E9)</f>
        <v>1154284469</v>
      </c>
      <c r="J28" s="45">
        <f>IFERROR(__xludf.DUMMYFUNCTION("""COMPUTED_VALUE"""),1.161298429E9)</f>
        <v>1161298429</v>
      </c>
      <c r="K28" s="45" t="str">
        <f>IFERROR(__xludf.DUMMYFUNCTION("""COMPUTED_VALUE"""),"cozarmarcelo@hotmail.com")</f>
        <v>cozarmarcelo@hotmail.com</v>
      </c>
      <c r="L28" s="45" t="str">
        <f>IFERROR(__xludf.DUMMYFUNCTION("""COMPUTED_VALUE"""),"Femenino")</f>
        <v>Femenino</v>
      </c>
      <c r="M28" s="54" t="str">
        <f>IFERROR(__xludf.DUMMYFUNCTION("""COMPUTED_VALUE"""),"CNA")</f>
        <v>CNA</v>
      </c>
      <c r="N28" s="45" t="str">
        <f>IFERROR(__xludf.DUMMYFUNCTION("""COMPUTED_VALUE"""),"Femenino")</f>
        <v>Femenino</v>
      </c>
      <c r="O28" s="45" t="str">
        <f>IFERROR(__xludf.DUMMYFUNCTION("""COMPUTED_VALUE"""),"OPTIMIST TIMONELES")</f>
        <v>OPTIMIST TIMONELES</v>
      </c>
      <c r="P28" s="45"/>
      <c r="Q28" s="7">
        <f>IFERROR(__xludf.DUMMYFUNCTION("""COMPUTED_VALUE"""),4026.0)</f>
        <v>4026</v>
      </c>
      <c r="R28" s="45" t="str">
        <f>IFERROR(__xludf.DUMMYFUNCTION("""COMPUTED_VALUE"""),"Desafiante")</f>
        <v>Desafiante</v>
      </c>
      <c r="S28" s="45"/>
      <c r="T28" s="45"/>
      <c r="U28" s="45"/>
      <c r="V28" s="45"/>
      <c r="W28" s="45"/>
      <c r="X28" s="45"/>
      <c r="Y28" s="45">
        <f>IFERROR(__xludf.DUMMYFUNCTION("""COMPUTED_VALUE"""),6.123142703E9)</f>
        <v>6123142703</v>
      </c>
      <c r="Z28" s="7" t="str">
        <f>IFERROR(__xludf.DUMMYFUNCTION("""COMPUTED_VALUE"""),"Si")</f>
        <v>Si</v>
      </c>
      <c r="AA28" s="7" t="str">
        <f>IFERROR(__xludf.DUMMYFUNCTION("""COMPUTED_VALUE"""),"Acepto")</f>
        <v>Acepto</v>
      </c>
      <c r="AB28" s="7" t="str">
        <f>IFERROR(__xludf.DUMMYFUNCTION("""COMPUTED_VALUE"""),"Terminado")</f>
        <v>Terminado</v>
      </c>
      <c r="AC28" s="7">
        <f>IFERROR(__xludf.DUMMYFUNCTION("""COMPUTED_VALUE"""),50000.0)</f>
        <v>50000</v>
      </c>
      <c r="AD28" s="7">
        <f>IFERROR(__xludf.DUMMYFUNCTION("""COMPUTED_VALUE"""),205056.0)</f>
        <v>205056</v>
      </c>
      <c r="AE28" s="45" t="str">
        <f>IFERROR(__xludf.DUMMYFUNCTION("""COMPUTED_VALUE"""),"TRF 27-08")</f>
        <v>TRF 27-08</v>
      </c>
      <c r="AF28" s="7" t="str">
        <f>IFERROR(__xludf.DUMMYFUNCTION("""COMPUTED_VALUE"""),"OK")</f>
        <v>OK</v>
      </c>
      <c r="AG28" s="7"/>
      <c r="AH28" s="7"/>
      <c r="AI28" s="7"/>
    </row>
    <row r="29">
      <c r="B29" s="83">
        <f>IFERROR(__xludf.DUMMYFUNCTION("""COMPUTED_VALUE"""),45535.55740806713)</f>
        <v>45535.55741</v>
      </c>
      <c r="C29" s="43" t="str">
        <f>IFERROR(__xludf.DUMMYFUNCTION("""COMPUTED_VALUE"""),"Francisco")</f>
        <v>Francisco</v>
      </c>
      <c r="D29" s="43" t="str">
        <f>IFERROR(__xludf.DUMMYFUNCTION("""COMPUTED_VALUE"""),"Crespi")</f>
        <v>Crespi</v>
      </c>
      <c r="E29" s="43" t="str">
        <f>IFERROR(__xludf.DUMMYFUNCTION("""COMPUTED_VALUE"""),"Puerto Madryn")</f>
        <v>Puerto Madryn</v>
      </c>
      <c r="F29" s="7" t="str">
        <f>IFERROR(__xludf.DUMMYFUNCTION("""COMPUTED_VALUE"""),"ARG")</f>
        <v>ARG</v>
      </c>
      <c r="G29" s="7">
        <f>IFERROR(__xludf.DUMMYFUNCTION("""COMPUTED_VALUE"""),5.1104355E7)</f>
        <v>51104355</v>
      </c>
      <c r="H29" s="44">
        <f>IFERROR(__xludf.DUMMYFUNCTION("""COMPUTED_VALUE"""),40813.0)</f>
        <v>40813</v>
      </c>
      <c r="I29" s="45">
        <f>IFERROR(__xludf.DUMMYFUNCTION("""COMPUTED_VALUE"""),2.804567157E9)</f>
        <v>2804567157</v>
      </c>
      <c r="J29" s="45">
        <f>IFERROR(__xludf.DUMMYFUNCTION("""COMPUTED_VALUE"""),2.804567157E9)</f>
        <v>2804567157</v>
      </c>
      <c r="K29" s="45" t="str">
        <f>IFERROR(__xludf.DUMMYFUNCTION("""COMPUTED_VALUE"""),"augustocrespi@gmail.com")</f>
        <v>augustocrespi@gmail.com</v>
      </c>
      <c r="L29" s="45" t="str">
        <f>IFERROR(__xludf.DUMMYFUNCTION("""COMPUTED_VALUE"""),"Masculino")</f>
        <v>Masculino</v>
      </c>
      <c r="M29" s="54" t="str">
        <f>IFERROR(__xludf.DUMMYFUNCTION("""COMPUTED_VALUE"""),"CNAS")</f>
        <v>CNAS</v>
      </c>
      <c r="N29" s="45" t="str">
        <f>IFERROR(__xludf.DUMMYFUNCTION("""COMPUTED_VALUE"""),"Interior (Optimist)")</f>
        <v>Interior (Optimist)</v>
      </c>
      <c r="O29" s="45" t="str">
        <f>IFERROR(__xludf.DUMMYFUNCTION("""COMPUTED_VALUE"""),"OPTIMIST TIMONELES")</f>
        <v>OPTIMIST TIMONELES</v>
      </c>
      <c r="P29" s="45"/>
      <c r="Q29" s="7">
        <f>IFERROR(__xludf.DUMMYFUNCTION("""COMPUTED_VALUE"""),3766.0)</f>
        <v>3766</v>
      </c>
      <c r="R29" s="45" t="str">
        <f>IFERROR(__xludf.DUMMYFUNCTION("""COMPUTED_VALUE"""),"Hau Pai")</f>
        <v>Hau Pai</v>
      </c>
      <c r="S29" s="45"/>
      <c r="T29" s="45"/>
      <c r="U29" s="45"/>
      <c r="V29" s="45"/>
      <c r="W29" s="45"/>
      <c r="X29" s="45"/>
      <c r="Y29" s="45" t="str">
        <f>IFERROR(__xludf.DUMMYFUNCTION("""COMPUTED_VALUE"""),"SEROS 51104355")</f>
        <v>SEROS 51104355</v>
      </c>
      <c r="Z29" s="7" t="str">
        <f>IFERROR(__xludf.DUMMYFUNCTION("""COMPUTED_VALUE"""),"Si")</f>
        <v>Si</v>
      </c>
      <c r="AA29" s="7" t="str">
        <f>IFERROR(__xludf.DUMMYFUNCTION("""COMPUTED_VALUE"""),"Acepto")</f>
        <v>Acepto</v>
      </c>
      <c r="AB29" s="7" t="str">
        <f>IFERROR(__xludf.DUMMYFUNCTION("""COMPUTED_VALUE"""),"Terminado")</f>
        <v>Terminado</v>
      </c>
      <c r="AC29" s="7">
        <f>IFERROR(__xludf.DUMMYFUNCTION("""COMPUTED_VALUE"""),42500.0)</f>
        <v>42500</v>
      </c>
      <c r="AD29" s="7">
        <f>IFERROR(__xludf.DUMMYFUNCTION("""COMPUTED_VALUE"""),205153.0)</f>
        <v>205153</v>
      </c>
      <c r="AE29" s="45" t="str">
        <f>IFERROR(__xludf.DUMMYFUNCTION("""COMPUTED_VALUE"""),"TRF 31-08")</f>
        <v>TRF 31-08</v>
      </c>
      <c r="AF29" s="7" t="str">
        <f>IFERROR(__xludf.DUMMYFUNCTION("""COMPUTED_VALUE"""),"OK")</f>
        <v>OK</v>
      </c>
      <c r="AG29" s="7"/>
      <c r="AH29" s="7"/>
      <c r="AI29" s="7"/>
    </row>
    <row r="30">
      <c r="B30" s="83">
        <f>IFERROR(__xludf.DUMMYFUNCTION("""COMPUTED_VALUE"""),45536.35924899306)</f>
        <v>45536.35925</v>
      </c>
      <c r="C30" s="43" t="str">
        <f>IFERROR(__xludf.DUMMYFUNCTION("""COMPUTED_VALUE"""),"Maria Emilia")</f>
        <v>Maria Emilia</v>
      </c>
      <c r="D30" s="43" t="str">
        <f>IFERROR(__xludf.DUMMYFUNCTION("""COMPUTED_VALUE"""),"D’Ottavio")</f>
        <v>D’Ottavio</v>
      </c>
      <c r="E30" s="43" t="str">
        <f>IFERROR(__xludf.DUMMYFUNCTION("""COMPUTED_VALUE"""),"Rosario")</f>
        <v>Rosario</v>
      </c>
      <c r="F30" s="7" t="str">
        <f>IFERROR(__xludf.DUMMYFUNCTION("""COMPUTED_VALUE"""),"ARG")</f>
        <v>ARG</v>
      </c>
      <c r="G30" s="7">
        <f>IFERROR(__xludf.DUMMYFUNCTION("""COMPUTED_VALUE"""),5.0240962E7)</f>
        <v>50240962</v>
      </c>
      <c r="H30" s="44">
        <f>IFERROR(__xludf.DUMMYFUNCTION("""COMPUTED_VALUE"""),40257.0)</f>
        <v>40257</v>
      </c>
      <c r="I30" s="45">
        <f>IFERROR(__xludf.DUMMYFUNCTION("""COMPUTED_VALUE"""),3.415694188E9)</f>
        <v>3415694188</v>
      </c>
      <c r="J30" s="45">
        <f>IFERROR(__xludf.DUMMYFUNCTION("""COMPUTED_VALUE"""),3.415694188E9)</f>
        <v>3415694188</v>
      </c>
      <c r="K30" s="45" t="str">
        <f>IFERROR(__xludf.DUMMYFUNCTION("""COMPUTED_VALUE"""),"gabrielavicentin@hotmail.com")</f>
        <v>gabrielavicentin@hotmail.com</v>
      </c>
      <c r="L30" s="45" t="str">
        <f>IFERROR(__xludf.DUMMYFUNCTION("""COMPUTED_VALUE"""),"Femenino")</f>
        <v>Femenino</v>
      </c>
      <c r="M30" s="54" t="str">
        <f>IFERROR(__xludf.DUMMYFUNCTION("""COMPUTED_VALUE"""),"CVR")</f>
        <v>CVR</v>
      </c>
      <c r="N30" s="45" t="str">
        <f>IFERROR(__xludf.DUMMYFUNCTION("""COMPUTED_VALUE"""),"Interior (Optimist)")</f>
        <v>Interior (Optimist)</v>
      </c>
      <c r="O30" s="45" t="str">
        <f>IFERROR(__xludf.DUMMYFUNCTION("""COMPUTED_VALUE"""),"OPTIMIST TIMONELES")</f>
        <v>OPTIMIST TIMONELES</v>
      </c>
      <c r="P30" s="45" t="str">
        <f>IFERROR(__xludf.DUMMYFUNCTION("""COMPUTED_VALUE"""),"Ni idea")</f>
        <v>Ni idea</v>
      </c>
      <c r="Q30" s="7">
        <f>IFERROR(__xludf.DUMMYFUNCTION("""COMPUTED_VALUE"""),3984.0)</f>
        <v>3984</v>
      </c>
      <c r="R30" s="45">
        <f>IFERROR(__xludf.DUMMYFUNCTION("""COMPUTED_VALUE"""),3984.0)</f>
        <v>3984</v>
      </c>
      <c r="S30" s="45"/>
      <c r="T30" s="45"/>
      <c r="U30" s="45"/>
      <c r="V30" s="45"/>
      <c r="W30" s="45"/>
      <c r="X30" s="45"/>
      <c r="Y30" s="45" t="str">
        <f>IFERROR(__xludf.DUMMYFUNCTION("""COMPUTED_VALUE"""),"OSPAC")</f>
        <v>OSPAC</v>
      </c>
      <c r="Z30" s="7" t="str">
        <f>IFERROR(__xludf.DUMMYFUNCTION("""COMPUTED_VALUE"""),"No")</f>
        <v>No</v>
      </c>
      <c r="AA30" s="7" t="str">
        <f>IFERROR(__xludf.DUMMYFUNCTION("""COMPUTED_VALUE"""),"Acepto")</f>
        <v>Acepto</v>
      </c>
      <c r="AB30" s="7" t="str">
        <f>IFERROR(__xludf.DUMMYFUNCTION("""COMPUTED_VALUE"""),"Terminado")</f>
        <v>Terminado</v>
      </c>
      <c r="AC30" s="7">
        <f>IFERROR(__xludf.DUMMYFUNCTION("""COMPUTED_VALUE"""),70000.0)</f>
        <v>70000</v>
      </c>
      <c r="AD30" s="7">
        <f>IFERROR(__xludf.DUMMYFUNCTION("""COMPUTED_VALUE"""),205335.0)</f>
        <v>205335</v>
      </c>
      <c r="AE30" s="45" t="str">
        <f>IFERROR(__xludf.DUMMYFUNCTION("""COMPUTED_VALUE"""),"TRF 01-09")</f>
        <v>TRF 01-09</v>
      </c>
      <c r="AF30" s="7" t="str">
        <f>IFERROR(__xludf.DUMMYFUNCTION("""COMPUTED_VALUE"""),"Pendiente")</f>
        <v>Pendiente</v>
      </c>
      <c r="AG30" s="7"/>
      <c r="AH30" s="7"/>
      <c r="AI30" s="7"/>
    </row>
    <row r="31">
      <c r="B31" s="83">
        <f>IFERROR(__xludf.DUMMYFUNCTION("""COMPUTED_VALUE"""),45536.35672094907)</f>
        <v>45536.35672</v>
      </c>
      <c r="C31" s="43" t="str">
        <f>IFERROR(__xludf.DUMMYFUNCTION("""COMPUTED_VALUE"""),"Bautista ")</f>
        <v>Bautista </v>
      </c>
      <c r="D31" s="43" t="str">
        <f>IFERROR(__xludf.DUMMYFUNCTION("""COMPUTED_VALUE"""),"D’Ottavio ")</f>
        <v>D’Ottavio </v>
      </c>
      <c r="E31" s="43" t="str">
        <f>IFERROR(__xludf.DUMMYFUNCTION("""COMPUTED_VALUE"""),"Rosario")</f>
        <v>Rosario</v>
      </c>
      <c r="F31" s="7" t="str">
        <f>IFERROR(__xludf.DUMMYFUNCTION("""COMPUTED_VALUE"""),"ARG")</f>
        <v>ARG</v>
      </c>
      <c r="G31" s="7">
        <f>IFERROR(__xludf.DUMMYFUNCTION("""COMPUTED_VALUE"""),5.2366183E7)</f>
        <v>52366183</v>
      </c>
      <c r="H31" s="44">
        <f>IFERROR(__xludf.DUMMYFUNCTION("""COMPUTED_VALUE"""),40963.0)</f>
        <v>40963</v>
      </c>
      <c r="I31" s="45">
        <f>IFERROR(__xludf.DUMMYFUNCTION("""COMPUTED_VALUE"""),3.415694188E9)</f>
        <v>3415694188</v>
      </c>
      <c r="J31" s="45">
        <f>IFERROR(__xludf.DUMMYFUNCTION("""COMPUTED_VALUE"""),3.415694188E9)</f>
        <v>3415694188</v>
      </c>
      <c r="K31" s="45" t="str">
        <f>IFERROR(__xludf.DUMMYFUNCTION("""COMPUTED_VALUE"""),"gabrielavicentin@hotmail.com")</f>
        <v>gabrielavicentin@hotmail.com</v>
      </c>
      <c r="L31" s="45" t="str">
        <f>IFERROR(__xludf.DUMMYFUNCTION("""COMPUTED_VALUE"""),"Masculino")</f>
        <v>Masculino</v>
      </c>
      <c r="M31" s="54" t="str">
        <f>IFERROR(__xludf.DUMMYFUNCTION("""COMPUTED_VALUE"""),"CVR")</f>
        <v>CVR</v>
      </c>
      <c r="N31" s="45" t="str">
        <f>IFERROR(__xludf.DUMMYFUNCTION("""COMPUTED_VALUE"""),"Interior (Optimist)")</f>
        <v>Interior (Optimist)</v>
      </c>
      <c r="O31" s="45" t="str">
        <f>IFERROR(__xludf.DUMMYFUNCTION("""COMPUTED_VALUE"""),"OPTIMIST TIMONELES")</f>
        <v>OPTIMIST TIMONELES</v>
      </c>
      <c r="P31" s="45" t="str">
        <f>IFERROR(__xludf.DUMMYFUNCTION("""COMPUTED_VALUE"""),"Ni idea")</f>
        <v>Ni idea</v>
      </c>
      <c r="Q31" s="7">
        <f>IFERROR(__xludf.DUMMYFUNCTION("""COMPUTED_VALUE"""),3996.0)</f>
        <v>3996</v>
      </c>
      <c r="R31" s="45">
        <f>IFERROR(__xludf.DUMMYFUNCTION("""COMPUTED_VALUE"""),3996.0)</f>
        <v>3996</v>
      </c>
      <c r="S31" s="45"/>
      <c r="T31" s="45"/>
      <c r="U31" s="45"/>
      <c r="V31" s="45"/>
      <c r="W31" s="45"/>
      <c r="X31" s="45"/>
      <c r="Y31" s="45" t="str">
        <f>IFERROR(__xludf.DUMMYFUNCTION("""COMPUTED_VALUE"""),"OSPAC ")</f>
        <v>OSPAC </v>
      </c>
      <c r="Z31" s="7" t="str">
        <f>IFERROR(__xludf.DUMMYFUNCTION("""COMPUTED_VALUE"""),"No")</f>
        <v>No</v>
      </c>
      <c r="AA31" s="7" t="str">
        <f>IFERROR(__xludf.DUMMYFUNCTION("""COMPUTED_VALUE"""),"Acepto")</f>
        <v>Acepto</v>
      </c>
      <c r="AB31" s="7" t="str">
        <f>IFERROR(__xludf.DUMMYFUNCTION("""COMPUTED_VALUE"""),"Terminado")</f>
        <v>Terminado</v>
      </c>
      <c r="AC31" s="7">
        <f>IFERROR(__xludf.DUMMYFUNCTION("""COMPUTED_VALUE"""),70000.0)</f>
        <v>70000</v>
      </c>
      <c r="AD31" s="7">
        <f>IFERROR(__xludf.DUMMYFUNCTION("""COMPUTED_VALUE"""),205335.0)</f>
        <v>205335</v>
      </c>
      <c r="AE31" s="45" t="str">
        <f>IFERROR(__xludf.DUMMYFUNCTION("""COMPUTED_VALUE"""),"TRF 01-09")</f>
        <v>TRF 01-09</v>
      </c>
      <c r="AF31" s="7" t="str">
        <f>IFERROR(__xludf.DUMMYFUNCTION("""COMPUTED_VALUE"""),"Pendiente")</f>
        <v>Pendiente</v>
      </c>
      <c r="AG31" s="7"/>
      <c r="AH31" s="7"/>
      <c r="AI31" s="7"/>
    </row>
    <row r="32">
      <c r="B32" s="83">
        <f>IFERROR(__xludf.DUMMYFUNCTION("""COMPUTED_VALUE"""),45535.44696298611)</f>
        <v>45535.44696</v>
      </c>
      <c r="C32" s="43" t="str">
        <f>IFERROR(__xludf.DUMMYFUNCTION("""COMPUTED_VALUE"""),"Lautaro Julián")</f>
        <v>Lautaro Julián</v>
      </c>
      <c r="D32" s="43" t="str">
        <f>IFERROR(__xludf.DUMMYFUNCTION("""COMPUTED_VALUE"""),"DE BAGGE")</f>
        <v>DE BAGGE</v>
      </c>
      <c r="E32" s="43" t="str">
        <f>IFERROR(__xludf.DUMMYFUNCTION("""COMPUTED_VALUE"""),"CABA")</f>
        <v>CABA</v>
      </c>
      <c r="F32" s="7" t="str">
        <f>IFERROR(__xludf.DUMMYFUNCTION("""COMPUTED_VALUE"""),"ARG")</f>
        <v>ARG</v>
      </c>
      <c r="G32" s="7">
        <f>IFERROR(__xludf.DUMMYFUNCTION("""COMPUTED_VALUE"""),4.9961664E7)</f>
        <v>49961664</v>
      </c>
      <c r="H32" s="44">
        <f>IFERROR(__xludf.DUMMYFUNCTION("""COMPUTED_VALUE"""),40198.0)</f>
        <v>40198</v>
      </c>
      <c r="I32" s="45">
        <f>IFERROR(__xludf.DUMMYFUNCTION("""COMPUTED_VALUE"""),1.156549521E9)</f>
        <v>1156549521</v>
      </c>
      <c r="J32" s="45">
        <f>IFERROR(__xludf.DUMMYFUNCTION("""COMPUTED_VALUE"""),1.156549521E9)</f>
        <v>1156549521</v>
      </c>
      <c r="K32" s="45" t="str">
        <f>IFERROR(__xludf.DUMMYFUNCTION("""COMPUTED_VALUE"""),"mdebagge@hotmail.com")</f>
        <v>mdebagge@hotmail.com</v>
      </c>
      <c r="L32" s="45" t="str">
        <f>IFERROR(__xludf.DUMMYFUNCTION("""COMPUTED_VALUE"""),"Masculino")</f>
        <v>Masculino</v>
      </c>
      <c r="M32" s="54" t="str">
        <f>IFERROR(__xludf.DUMMYFUNCTION("""COMPUTED_VALUE"""),"SI")</f>
        <v>SI</v>
      </c>
      <c r="N32" s="45"/>
      <c r="O32" s="45" t="str">
        <f>IFERROR(__xludf.DUMMYFUNCTION("""COMPUTED_VALUE"""),"OPTIMIST TIMONELES")</f>
        <v>OPTIMIST TIMONELES</v>
      </c>
      <c r="P32" s="45"/>
      <c r="Q32" s="7">
        <f>IFERROR(__xludf.DUMMYFUNCTION("""COMPUTED_VALUE"""),3712.0)</f>
        <v>3712</v>
      </c>
      <c r="R32" s="45"/>
      <c r="S32" s="45"/>
      <c r="T32" s="45"/>
      <c r="U32" s="45"/>
      <c r="V32" s="45"/>
      <c r="W32" s="45"/>
      <c r="X32" s="45"/>
      <c r="Y32" s="45">
        <f>IFERROR(__xludf.DUMMYFUNCTION("""COMPUTED_VALUE"""),6.1354126904E10)</f>
        <v>61354126904</v>
      </c>
      <c r="Z32" s="7" t="str">
        <f>IFERROR(__xludf.DUMMYFUNCTION("""COMPUTED_VALUE"""),"No")</f>
        <v>No</v>
      </c>
      <c r="AA32" s="7" t="str">
        <f>IFERROR(__xludf.DUMMYFUNCTION("""COMPUTED_VALUE"""),"Acepto")</f>
        <v>Acepto</v>
      </c>
      <c r="AB32" s="7" t="str">
        <f>IFERROR(__xludf.DUMMYFUNCTION("""COMPUTED_VALUE"""),"Terminado")</f>
        <v>Terminado</v>
      </c>
      <c r="AC32" s="7">
        <f>IFERROR(__xludf.DUMMYFUNCTION("""COMPUTED_VALUE"""),60000.0)</f>
        <v>60000</v>
      </c>
      <c r="AD32" s="7">
        <f>IFERROR(__xludf.DUMMYFUNCTION("""COMPUTED_VALUE"""),205167.0)</f>
        <v>205167</v>
      </c>
      <c r="AE32" s="45" t="str">
        <f>IFERROR(__xludf.DUMMYFUNCTION("""COMPUTED_VALUE"""),"TRF 31-08")</f>
        <v>TRF 31-08</v>
      </c>
      <c r="AF32" s="7" t="str">
        <f>IFERROR(__xludf.DUMMYFUNCTION("""COMPUTED_VALUE"""),"OK")</f>
        <v>OK</v>
      </c>
      <c r="AG32" s="7" t="str">
        <f>IFERROR(__xludf.DUMMYFUNCTION("""COMPUTED_VALUE"""),"SI")</f>
        <v>SI</v>
      </c>
      <c r="AH32" s="7"/>
      <c r="AI32" s="7"/>
    </row>
    <row r="33">
      <c r="B33" s="83">
        <f>IFERROR(__xludf.DUMMYFUNCTION("""COMPUTED_VALUE"""),45533.63087804399)</f>
        <v>45533.63088</v>
      </c>
      <c r="C33" s="43" t="str">
        <f>IFERROR(__xludf.DUMMYFUNCTION("""COMPUTED_VALUE"""),"Juan cruz ")</f>
        <v>Juan cruz </v>
      </c>
      <c r="D33" s="43" t="str">
        <f>IFERROR(__xludf.DUMMYFUNCTION("""COMPUTED_VALUE"""),"De Valais ")</f>
        <v>De Valais </v>
      </c>
      <c r="E33" s="43" t="str">
        <f>IFERROR(__xludf.DUMMYFUNCTION("""COMPUTED_VALUE"""),"CABA")</f>
        <v>CABA</v>
      </c>
      <c r="F33" s="7" t="str">
        <f>IFERROR(__xludf.DUMMYFUNCTION("""COMPUTED_VALUE"""),"ARG")</f>
        <v>ARG</v>
      </c>
      <c r="G33" s="7">
        <f>IFERROR(__xludf.DUMMYFUNCTION("""COMPUTED_VALUE"""),5.0414789E7)</f>
        <v>50414789</v>
      </c>
      <c r="H33" s="44">
        <f>IFERROR(__xludf.DUMMYFUNCTION("""COMPUTED_VALUE"""),40367.0)</f>
        <v>40367</v>
      </c>
      <c r="I33" s="45">
        <f>IFERROR(__xludf.DUMMYFUNCTION("""COMPUTED_VALUE"""),1.144345575E9)</f>
        <v>1144345575</v>
      </c>
      <c r="J33" s="45">
        <f>IFERROR(__xludf.DUMMYFUNCTION("""COMPUTED_VALUE"""),1.140290151E9)</f>
        <v>1140290151</v>
      </c>
      <c r="K33" s="45" t="str">
        <f>IFERROR(__xludf.DUMMYFUNCTION("""COMPUTED_VALUE"""),"fmeiller@hotmail.com")</f>
        <v>fmeiller@hotmail.com</v>
      </c>
      <c r="L33" s="45" t="str">
        <f>IFERROR(__xludf.DUMMYFUNCTION("""COMPUTED_VALUE"""),"Masculino")</f>
        <v>Masculino</v>
      </c>
      <c r="M33" s="54" t="str">
        <f>IFERROR(__xludf.DUMMYFUNCTION("""COMPUTED_VALUE"""),"CVB")</f>
        <v>CVB</v>
      </c>
      <c r="N33" s="45" t="str">
        <f>IFERROR(__xludf.DUMMYFUNCTION("""COMPUTED_VALUE"""),"Interior (Optimist), Optimist timonel")</f>
        <v>Interior (Optimist), Optimist timonel</v>
      </c>
      <c r="O33" s="45" t="str">
        <f>IFERROR(__xludf.DUMMYFUNCTION("""COMPUTED_VALUE"""),"OPTIMIST TIMONELES")</f>
        <v>OPTIMIST TIMONELES</v>
      </c>
      <c r="P33" s="45"/>
      <c r="Q33" s="7">
        <f>IFERROR(__xludf.DUMMYFUNCTION("""COMPUTED_VALUE"""),3852.0)</f>
        <v>3852</v>
      </c>
      <c r="R33" s="45" t="str">
        <f>IFERROR(__xludf.DUMMYFUNCTION("""COMPUTED_VALUE"""),"Pájaro loco")</f>
        <v>Pájaro loco</v>
      </c>
      <c r="S33" s="45"/>
      <c r="T33" s="45"/>
      <c r="U33" s="45"/>
      <c r="V33" s="45"/>
      <c r="W33" s="45"/>
      <c r="X33" s="45"/>
      <c r="Y33" s="45" t="str">
        <f>IFERROR(__xludf.DUMMYFUNCTION("""COMPUTED_VALUE"""),"Plan médico del hospital alemán ")</f>
        <v>Plan médico del hospital alemán </v>
      </c>
      <c r="Z33" s="7" t="str">
        <f>IFERROR(__xludf.DUMMYFUNCTION("""COMPUTED_VALUE"""),"Si")</f>
        <v>Si</v>
      </c>
      <c r="AA33" s="7" t="str">
        <f>IFERROR(__xludf.DUMMYFUNCTION("""COMPUTED_VALUE"""),"Acepto")</f>
        <v>Acepto</v>
      </c>
      <c r="AB33" s="7" t="str">
        <f>IFERROR(__xludf.DUMMYFUNCTION("""COMPUTED_VALUE"""),"Terminado")</f>
        <v>Terminado</v>
      </c>
      <c r="AC33" s="7">
        <f>IFERROR(__xludf.DUMMYFUNCTION("""COMPUTED_VALUE"""),50000.0)</f>
        <v>50000</v>
      </c>
      <c r="AD33" s="7">
        <f>IFERROR(__xludf.DUMMYFUNCTION("""COMPUTED_VALUE"""),205103.0)</f>
        <v>205103</v>
      </c>
      <c r="AE33" s="45" t="str">
        <f>IFERROR(__xludf.DUMMYFUNCTION("""COMPUTED_VALUE"""),"TRF 30-08")</f>
        <v>TRF 30-08</v>
      </c>
      <c r="AF33" s="7" t="str">
        <f>IFERROR(__xludf.DUMMYFUNCTION("""COMPUTED_VALUE"""),"OK")</f>
        <v>OK</v>
      </c>
      <c r="AG33" s="7" t="str">
        <f>IFERROR(__xludf.DUMMYFUNCTION("""COMPUTED_VALUE"""),"SI")</f>
        <v>SI</v>
      </c>
      <c r="AH33" s="7"/>
      <c r="AI33" s="7"/>
    </row>
    <row r="34">
      <c r="B34" s="83">
        <f>IFERROR(__xludf.DUMMYFUNCTION("""COMPUTED_VALUE"""),45531.54145804398)</f>
        <v>45531.54146</v>
      </c>
      <c r="C34" s="43" t="str">
        <f>IFERROR(__xludf.DUMMYFUNCTION("""COMPUTED_VALUE"""),"Clara")</f>
        <v>Clara</v>
      </c>
      <c r="D34" s="43" t="str">
        <f>IFERROR(__xludf.DUMMYFUNCTION("""COMPUTED_VALUE"""),"Deleo")</f>
        <v>Deleo</v>
      </c>
      <c r="E34" s="43" t="str">
        <f>IFERROR(__xludf.DUMMYFUNCTION("""COMPUTED_VALUE"""),"La Plata")</f>
        <v>La Plata</v>
      </c>
      <c r="F34" s="7" t="str">
        <f>IFERROR(__xludf.DUMMYFUNCTION("""COMPUTED_VALUE"""),"ARG")</f>
        <v>ARG</v>
      </c>
      <c r="G34" s="7">
        <f>IFERROR(__xludf.DUMMYFUNCTION("""COMPUTED_VALUE"""),5.2725158E7)</f>
        <v>52725158</v>
      </c>
      <c r="H34" s="44">
        <f>IFERROR(__xludf.DUMMYFUNCTION("""COMPUTED_VALUE"""),41167.0)</f>
        <v>41167</v>
      </c>
      <c r="I34" s="45">
        <f>IFERROR(__xludf.DUMMYFUNCTION("""COMPUTED_VALUE"""),2.215909668E9)</f>
        <v>2215909668</v>
      </c>
      <c r="J34" s="45">
        <f>IFERROR(__xludf.DUMMYFUNCTION("""COMPUTED_VALUE"""),2.215909668E9)</f>
        <v>2215909668</v>
      </c>
      <c r="K34" s="45" t="str">
        <f>IFERROR(__xludf.DUMMYFUNCTION("""COMPUTED_VALUE"""),"deleosabino@gmail.com")</f>
        <v>deleosabino@gmail.com</v>
      </c>
      <c r="L34" s="45" t="str">
        <f>IFERROR(__xludf.DUMMYFUNCTION("""COMPUTED_VALUE"""),"Femenino")</f>
        <v>Femenino</v>
      </c>
      <c r="M34" s="54" t="str">
        <f>IFERROR(__xludf.DUMMYFUNCTION("""COMPUTED_VALUE"""),"CRLP")</f>
        <v>CRLP</v>
      </c>
      <c r="N34" s="45" t="str">
        <f>IFERROR(__xludf.DUMMYFUNCTION("""COMPUTED_VALUE"""),"Femenino")</f>
        <v>Femenino</v>
      </c>
      <c r="O34" s="45" t="str">
        <f>IFERROR(__xludf.DUMMYFUNCTION("""COMPUTED_VALUE"""),"OPTIMIST TIMONELES")</f>
        <v>OPTIMIST TIMONELES</v>
      </c>
      <c r="P34" s="45"/>
      <c r="Q34" s="7">
        <f>IFERROR(__xludf.DUMMYFUNCTION("""COMPUTED_VALUE"""),4160.0)</f>
        <v>4160</v>
      </c>
      <c r="R34" s="45"/>
      <c r="S34" s="45"/>
      <c r="T34" s="45"/>
      <c r="U34" s="45"/>
      <c r="V34" s="45"/>
      <c r="W34" s="45"/>
      <c r="X34" s="45"/>
      <c r="Y34" s="45" t="str">
        <f>IFERROR(__xludf.DUMMYFUNCTION("""COMPUTED_VALUE"""),"IOMA")</f>
        <v>IOMA</v>
      </c>
      <c r="Z34" s="7" t="str">
        <f>IFERROR(__xludf.DUMMYFUNCTION("""COMPUTED_VALUE"""),"Si")</f>
        <v>Si</v>
      </c>
      <c r="AA34" s="7" t="str">
        <f>IFERROR(__xludf.DUMMYFUNCTION("""COMPUTED_VALUE"""),"Acepto")</f>
        <v>Acepto</v>
      </c>
      <c r="AB34" s="7" t="str">
        <f>IFERROR(__xludf.DUMMYFUNCTION("""COMPUTED_VALUE"""),"Terminado")</f>
        <v>Terminado</v>
      </c>
      <c r="AC34" s="7">
        <f>IFERROR(__xludf.DUMMYFUNCTION("""COMPUTED_VALUE"""),60000.0)</f>
        <v>60000</v>
      </c>
      <c r="AD34" s="7">
        <f>IFERROR(__xludf.DUMMYFUNCTION("""COMPUTED_VALUE"""),205057.0)</f>
        <v>205057</v>
      </c>
      <c r="AE34" s="45" t="str">
        <f>IFERROR(__xludf.DUMMYFUNCTION("""COMPUTED_VALUE"""),"TRF 27-08")</f>
        <v>TRF 27-08</v>
      </c>
      <c r="AF34" s="7" t="str">
        <f>IFERROR(__xludf.DUMMYFUNCTION("""COMPUTED_VALUE"""),"OK")</f>
        <v>OK</v>
      </c>
      <c r="AG34" s="7"/>
      <c r="AH34" s="7"/>
      <c r="AI34" s="7"/>
    </row>
    <row r="35">
      <c r="B35" s="83">
        <f>IFERROR(__xludf.DUMMYFUNCTION("""COMPUTED_VALUE"""),45537.348006307875)</f>
        <v>45537.34801</v>
      </c>
      <c r="C35" s="43" t="str">
        <f>IFERROR(__xludf.DUMMYFUNCTION("""COMPUTED_VALUE"""),"Abril")</f>
        <v>Abril</v>
      </c>
      <c r="D35" s="43" t="str">
        <f>IFERROR(__xludf.DUMMYFUNCTION("""COMPUTED_VALUE"""),"Della Vecchia")</f>
        <v>Della Vecchia</v>
      </c>
      <c r="E35" s="43" t="str">
        <f>IFERROR(__xludf.DUMMYFUNCTION("""COMPUTED_VALUE"""),"Caseros")</f>
        <v>Caseros</v>
      </c>
      <c r="F35" s="7" t="str">
        <f>IFERROR(__xludf.DUMMYFUNCTION("""COMPUTED_VALUE"""),"ARG")</f>
        <v>ARG</v>
      </c>
      <c r="G35" s="7">
        <f>IFERROR(__xludf.DUMMYFUNCTION("""COMPUTED_VALUE"""),4.9764378E7)</f>
        <v>49764378</v>
      </c>
      <c r="H35" s="44">
        <f>IFERROR(__xludf.DUMMYFUNCTION("""COMPUTED_VALUE"""),40085.0)</f>
        <v>40085</v>
      </c>
      <c r="I35" s="45">
        <f>IFERROR(__xludf.DUMMYFUNCTION("""COMPUTED_VALUE"""),1.56723917E9)</f>
        <v>1567239170</v>
      </c>
      <c r="J35" s="45">
        <f>IFERROR(__xludf.DUMMYFUNCTION("""COMPUTED_VALUE"""),1.56723917E9)</f>
        <v>1567239170</v>
      </c>
      <c r="K35" s="45" t="str">
        <f>IFERROR(__xludf.DUMMYFUNCTION("""COMPUTED_VALUE"""),"danisaolmedo@gmail.com")</f>
        <v>danisaolmedo@gmail.com</v>
      </c>
      <c r="L35" s="45" t="str">
        <f>IFERROR(__xludf.DUMMYFUNCTION("""COMPUTED_VALUE"""),"Femenino")</f>
        <v>Femenino</v>
      </c>
      <c r="M35" s="54" t="str">
        <f>IFERROR(__xludf.DUMMYFUNCTION("""COMPUTED_VALUE"""),"CPNLB")</f>
        <v>CPNLB</v>
      </c>
      <c r="N35" s="45" t="str">
        <f>IFERROR(__xludf.DUMMYFUNCTION("""COMPUTED_VALUE"""),"Femenino")</f>
        <v>Femenino</v>
      </c>
      <c r="O35" s="45" t="str">
        <f>IFERROR(__xludf.DUMMYFUNCTION("""COMPUTED_VALUE"""),"OPTIMIST TIMONELES")</f>
        <v>OPTIMIST TIMONELES</v>
      </c>
      <c r="P35" s="45"/>
      <c r="Q35" s="7">
        <f>IFERROR(__xludf.DUMMYFUNCTION("""COMPUTED_VALUE"""),3680.0)</f>
        <v>3680</v>
      </c>
      <c r="R35" s="45" t="str">
        <f>IFERROR(__xludf.DUMMYFUNCTION("""COMPUTED_VALUE"""),"Ocean")</f>
        <v>Ocean</v>
      </c>
      <c r="S35" s="45"/>
      <c r="T35" s="45"/>
      <c r="U35" s="45"/>
      <c r="V35" s="45"/>
      <c r="W35" s="45"/>
      <c r="X35" s="45"/>
      <c r="Y35" s="45">
        <f>IFERROR(__xludf.DUMMYFUNCTION("""COMPUTED_VALUE"""),4.50090929004E11)</f>
        <v>450090929004</v>
      </c>
      <c r="Z35" s="7" t="str">
        <f>IFERROR(__xludf.DUMMYFUNCTION("""COMPUTED_VALUE"""),"Si")</f>
        <v>Si</v>
      </c>
      <c r="AA35" s="7" t="str">
        <f>IFERROR(__xludf.DUMMYFUNCTION("""COMPUTED_VALUE"""),"Acepto")</f>
        <v>Acepto</v>
      </c>
      <c r="AB35" s="7" t="str">
        <f>IFERROR(__xludf.DUMMYFUNCTION("""COMPUTED_VALUE"""),"Terminado")</f>
        <v>Terminado</v>
      </c>
      <c r="AC35" s="7">
        <f>IFERROR(__xludf.DUMMYFUNCTION("""COMPUTED_VALUE"""),50000.0)</f>
        <v>50000</v>
      </c>
      <c r="AD35" s="7">
        <f>IFERROR(__xludf.DUMMYFUNCTION("""COMPUTED_VALUE"""),205394.0)</f>
        <v>205394</v>
      </c>
      <c r="AE35" s="45" t="str">
        <f>IFERROR(__xludf.DUMMYFUNCTION("""COMPUTED_VALUE"""),"TRF 02-09")</f>
        <v>TRF 02-09</v>
      </c>
      <c r="AF35" s="7" t="str">
        <f>IFERROR(__xludf.DUMMYFUNCTION("""COMPUTED_VALUE"""),"OK")</f>
        <v>OK</v>
      </c>
      <c r="AG35" s="7" t="str">
        <f>IFERROR(__xludf.DUMMYFUNCTION("""COMPUTED_VALUE"""),"SI")</f>
        <v>SI</v>
      </c>
      <c r="AH35" s="7"/>
      <c r="AI35" s="7"/>
    </row>
    <row r="36">
      <c r="B36" s="83">
        <f>IFERROR(__xludf.DUMMYFUNCTION("""COMPUTED_VALUE"""),45536.759121574076)</f>
        <v>45536.75912</v>
      </c>
      <c r="C36" s="43" t="str">
        <f>IFERROR(__xludf.DUMMYFUNCTION("""COMPUTED_VALUE"""),"Faustina")</f>
        <v>Faustina</v>
      </c>
      <c r="D36" s="43" t="str">
        <f>IFERROR(__xludf.DUMMYFUNCTION("""COMPUTED_VALUE"""),"Dianda")</f>
        <v>Dianda</v>
      </c>
      <c r="E36" s="43" t="str">
        <f>IFERROR(__xludf.DUMMYFUNCTION("""COMPUTED_VALUE"""),"bs as")</f>
        <v>bs as</v>
      </c>
      <c r="F36" s="7" t="str">
        <f>IFERROR(__xludf.DUMMYFUNCTION("""COMPUTED_VALUE"""),"ARG")</f>
        <v>ARG</v>
      </c>
      <c r="G36" s="7">
        <f>IFERROR(__xludf.DUMMYFUNCTION("""COMPUTED_VALUE"""),5.0324563E7)</f>
        <v>50324563</v>
      </c>
      <c r="H36" s="44">
        <f>IFERROR(__xludf.DUMMYFUNCTION("""COMPUTED_VALUE"""),40329.0)</f>
        <v>40329</v>
      </c>
      <c r="I36" s="45" t="str">
        <f>IFERROR(__xludf.DUMMYFUNCTION("""COMPUTED_VALUE"""),"54 911 3407-7629")</f>
        <v>54 911 3407-7629</v>
      </c>
      <c r="J36" s="45" t="str">
        <f>IFERROR(__xludf.DUMMYFUNCTION("""COMPUTED_VALUE"""),"54 911 55 65-1028")</f>
        <v>54 911 55 65-1028</v>
      </c>
      <c r="K36" s="45" t="str">
        <f>IFERROR(__xludf.DUMMYFUNCTION("""COMPUTED_VALUE"""),"tdianda@rems.com.ar")</f>
        <v>tdianda@rems.com.ar</v>
      </c>
      <c r="L36" s="45" t="str">
        <f>IFERROR(__xludf.DUMMYFUNCTION("""COMPUTED_VALUE"""),"Femenino")</f>
        <v>Femenino</v>
      </c>
      <c r="M36" s="54" t="str">
        <f>IFERROR(__xludf.DUMMYFUNCTION("""COMPUTED_VALUE"""),"CGLNM")</f>
        <v>CGLNM</v>
      </c>
      <c r="N36" s="45" t="str">
        <f>IFERROR(__xludf.DUMMYFUNCTION("""COMPUTED_VALUE"""),"Interior (Optimist)")</f>
        <v>Interior (Optimist)</v>
      </c>
      <c r="O36" s="45" t="str">
        <f>IFERROR(__xludf.DUMMYFUNCTION("""COMPUTED_VALUE"""),"OPTIMIST TIMONELES")</f>
        <v>OPTIMIST TIMONELES</v>
      </c>
      <c r="P36" s="45"/>
      <c r="Q36" s="7">
        <f>IFERROR(__xludf.DUMMYFUNCTION("""COMPUTED_VALUE"""),4114.0)</f>
        <v>4114</v>
      </c>
      <c r="R36" s="45" t="str">
        <f>IFERROR(__xludf.DUMMYFUNCTION("""COMPUTED_VALUE"""),"no tienen")</f>
        <v>no tienen</v>
      </c>
      <c r="S36" s="45"/>
      <c r="T36" s="45"/>
      <c r="U36" s="45"/>
      <c r="V36" s="45"/>
      <c r="W36" s="45"/>
      <c r="X36" s="45"/>
      <c r="Y36" s="45" t="str">
        <f>IFERROR(__xludf.DUMMYFUNCTION("""COMPUTED_VALUE"""),"Poder Judicial - Plan Unico - Nro Afiliado 41641/31 ")</f>
        <v>Poder Judicial - Plan Unico - Nro Afiliado 41641/31 </v>
      </c>
      <c r="Z36" s="7" t="str">
        <f>IFERROR(__xludf.DUMMYFUNCTION("""COMPUTED_VALUE"""),"Si")</f>
        <v>Si</v>
      </c>
      <c r="AA36" s="7" t="str">
        <f>IFERROR(__xludf.DUMMYFUNCTION("""COMPUTED_VALUE"""),"Acepto")</f>
        <v>Acepto</v>
      </c>
      <c r="AB36" s="7" t="str">
        <f>IFERROR(__xludf.DUMMYFUNCTION("""COMPUTED_VALUE"""),"Terminado")</f>
        <v>Terminado</v>
      </c>
      <c r="AC36" s="7">
        <f>IFERROR(__xludf.DUMMYFUNCTION("""COMPUTED_VALUE"""),50000.0)</f>
        <v>50000</v>
      </c>
      <c r="AD36" s="7">
        <f>IFERROR(__xludf.DUMMYFUNCTION("""COMPUTED_VALUE"""),205390.0)</f>
        <v>205390</v>
      </c>
      <c r="AE36" s="45" t="str">
        <f>IFERROR(__xludf.DUMMYFUNCTION("""COMPUTED_VALUE"""),"TRF 02-09")</f>
        <v>TRF 02-09</v>
      </c>
      <c r="AF36" s="7" t="str">
        <f>IFERROR(__xludf.DUMMYFUNCTION("""COMPUTED_VALUE"""),"OK")</f>
        <v>OK</v>
      </c>
      <c r="AG36" s="7"/>
      <c r="AH36" s="7"/>
      <c r="AI36" s="7"/>
    </row>
    <row r="37">
      <c r="B37" s="83">
        <f>IFERROR(__xludf.DUMMYFUNCTION("""COMPUTED_VALUE"""),45538.47564040509)</f>
        <v>45538.47564</v>
      </c>
      <c r="C37" s="43" t="str">
        <f>IFERROR(__xludf.DUMMYFUNCTION("""COMPUTED_VALUE"""),"Braian")</f>
        <v>Braian</v>
      </c>
      <c r="D37" s="43" t="str">
        <f>IFERROR(__xludf.DUMMYFUNCTION("""COMPUTED_VALUE"""),"Diaz Basualdo")</f>
        <v>Diaz Basualdo</v>
      </c>
      <c r="E37" s="43" t="str">
        <f>IFERROR(__xludf.DUMMYFUNCTION("""COMPUTED_VALUE"""),"San Fernando")</f>
        <v>San Fernando</v>
      </c>
      <c r="F37" s="7" t="str">
        <f>IFERROR(__xludf.DUMMYFUNCTION("""COMPUTED_VALUE"""),"ARG")</f>
        <v>ARG</v>
      </c>
      <c r="G37" s="7">
        <f>IFERROR(__xludf.DUMMYFUNCTION("""COMPUTED_VALUE"""),5.2619617E7)</f>
        <v>52619617</v>
      </c>
      <c r="H37" s="44">
        <f>IFERROR(__xludf.DUMMYFUNCTION("""COMPUTED_VALUE"""),41038.0)</f>
        <v>41038</v>
      </c>
      <c r="I37" s="45" t="str">
        <f>IFERROR(__xludf.DUMMYFUNCTION("""COMPUTED_VALUE"""),"+54 9 11 3394-3846")</f>
        <v>+54 9 11 3394-3846</v>
      </c>
      <c r="J37" s="45"/>
      <c r="K37" s="45" t="str">
        <f>IFERROR(__xludf.DUMMYFUNCTION("""COMPUTED_VALUE"""),"ignacio.varisco@gmail.com")</f>
        <v>ignacio.varisco@gmail.com</v>
      </c>
      <c r="L37" s="45" t="str">
        <f>IFERROR(__xludf.DUMMYFUNCTION("""COMPUTED_VALUE"""),"Masculino")</f>
        <v>Masculino</v>
      </c>
      <c r="M37" s="54" t="str">
        <f>IFERROR(__xludf.DUMMYFUNCTION("""COMPUTED_VALUE"""),"CPNLB- CBRIO")</f>
        <v>CPNLB- CBRIO</v>
      </c>
      <c r="N37" s="45"/>
      <c r="O37" s="45" t="str">
        <f>IFERROR(__xludf.DUMMYFUNCTION("""COMPUTED_VALUE"""),"OPTIMIST TIMONELES")</f>
        <v>OPTIMIST TIMONELES</v>
      </c>
      <c r="P37" s="45"/>
      <c r="Q37" s="7" t="str">
        <f>IFERROR(__xludf.DUMMYFUNCTION("""COMPUTED_VALUE"""),"ARG 384")</f>
        <v>ARG 384</v>
      </c>
      <c r="R37" s="45"/>
      <c r="S37" s="45"/>
      <c r="T37" s="45"/>
      <c r="U37" s="45"/>
      <c r="V37" s="45"/>
      <c r="W37" s="45"/>
      <c r="X37" s="45"/>
      <c r="Y37" s="45"/>
      <c r="Z37" s="7" t="str">
        <f>IFERROR(__xludf.DUMMYFUNCTION("""COMPUTED_VALUE"""),"Si")</f>
        <v>Si</v>
      </c>
      <c r="AA37" s="7" t="str">
        <f>IFERROR(__xludf.DUMMYFUNCTION("""COMPUTED_VALUE"""),"Acepto")</f>
        <v>Acepto</v>
      </c>
      <c r="AB37" s="7" t="str">
        <f>IFERROR(__xludf.DUMMYFUNCTION("""COMPUTED_VALUE"""),"Pendiente")</f>
        <v>Pendiente</v>
      </c>
      <c r="AC37" s="7"/>
      <c r="AD37" s="7"/>
      <c r="AE37" s="45"/>
      <c r="AF37" s="7" t="str">
        <f>IFERROR(__xludf.DUMMYFUNCTION("""COMPUTED_VALUE"""),"OK")</f>
        <v>OK</v>
      </c>
      <c r="AG37" s="7" t="str">
        <f>IFERROR(__xludf.DUMMYFUNCTION("""COMPUTED_VALUE"""),"SI")</f>
        <v>SI</v>
      </c>
      <c r="AH37" s="7"/>
      <c r="AI37" s="7"/>
    </row>
    <row r="38">
      <c r="B38" s="83">
        <f>IFERROR(__xludf.DUMMYFUNCTION("""COMPUTED_VALUE"""),45535.253257268516)</f>
        <v>45535.25326</v>
      </c>
      <c r="C38" s="43" t="str">
        <f>IFERROR(__xludf.DUMMYFUNCTION("""COMPUTED_VALUE"""),"Luca")</f>
        <v>Luca</v>
      </c>
      <c r="D38" s="43" t="str">
        <f>IFERROR(__xludf.DUMMYFUNCTION("""COMPUTED_VALUE"""),"Donato")</f>
        <v>Donato</v>
      </c>
      <c r="E38" s="43" t="str">
        <f>IFERROR(__xludf.DUMMYFUNCTION("""COMPUTED_VALUE"""),"La Plata")</f>
        <v>La Plata</v>
      </c>
      <c r="F38" s="7" t="str">
        <f>IFERROR(__xludf.DUMMYFUNCTION("""COMPUTED_VALUE"""),"ARG")</f>
        <v>ARG</v>
      </c>
      <c r="G38" s="7">
        <f>IFERROR(__xludf.DUMMYFUNCTION("""COMPUTED_VALUE"""),4.9802533E7)</f>
        <v>49802533</v>
      </c>
      <c r="H38" s="44">
        <f>IFERROR(__xludf.DUMMYFUNCTION("""COMPUTED_VALUE"""),40065.0)</f>
        <v>40065</v>
      </c>
      <c r="I38" s="45">
        <f>IFERROR(__xludf.DUMMYFUNCTION("""COMPUTED_VALUE"""),2.214193683E9)</f>
        <v>2214193683</v>
      </c>
      <c r="J38" s="45"/>
      <c r="K38" s="45" t="str">
        <f>IFERROR(__xludf.DUMMYFUNCTION("""COMPUTED_VALUE"""),"mdonato@fcnym.unlp.edu.ar")</f>
        <v>mdonato@fcnym.unlp.edu.ar</v>
      </c>
      <c r="L38" s="45" t="str">
        <f>IFERROR(__xludf.DUMMYFUNCTION("""COMPUTED_VALUE"""),"Masculino")</f>
        <v>Masculino</v>
      </c>
      <c r="M38" s="54" t="str">
        <f>IFERROR(__xludf.DUMMYFUNCTION("""COMPUTED_VALUE"""),"CRLP")</f>
        <v>CRLP</v>
      </c>
      <c r="N38" s="45"/>
      <c r="O38" s="45" t="str">
        <f>IFERROR(__xludf.DUMMYFUNCTION("""COMPUTED_VALUE"""),"OPTIMIST TIMONELES")</f>
        <v>OPTIMIST TIMONELES</v>
      </c>
      <c r="P38" s="45"/>
      <c r="Q38" s="7">
        <f>IFERROR(__xludf.DUMMYFUNCTION("""COMPUTED_VALUE"""),3061.0)</f>
        <v>3061</v>
      </c>
      <c r="R38" s="45" t="str">
        <f>IFERROR(__xludf.DUMMYFUNCTION("""COMPUTED_VALUE"""),"Deja Vu")</f>
        <v>Deja Vu</v>
      </c>
      <c r="S38" s="45"/>
      <c r="T38" s="45"/>
      <c r="U38" s="45"/>
      <c r="V38" s="45"/>
      <c r="W38" s="45"/>
      <c r="X38" s="45"/>
      <c r="Y38" s="45" t="str">
        <f>IFERROR(__xludf.DUMMYFUNCTION("""COMPUTED_VALUE"""),"OSDE/61500367104")</f>
        <v>OSDE/61500367104</v>
      </c>
      <c r="Z38" s="7" t="str">
        <f>IFERROR(__xludf.DUMMYFUNCTION("""COMPUTED_VALUE"""),"Si")</f>
        <v>Si</v>
      </c>
      <c r="AA38" s="7" t="str">
        <f>IFERROR(__xludf.DUMMYFUNCTION("""COMPUTED_VALUE"""),"Acepto")</f>
        <v>Acepto</v>
      </c>
      <c r="AB38" s="7" t="str">
        <f>IFERROR(__xludf.DUMMYFUNCTION("""COMPUTED_VALUE"""),"Terminado")</f>
        <v>Terminado</v>
      </c>
      <c r="AC38" s="7">
        <f>IFERROR(__xludf.DUMMYFUNCTION("""COMPUTED_VALUE"""),50000.0)</f>
        <v>50000</v>
      </c>
      <c r="AD38" s="7">
        <f>IFERROR(__xludf.DUMMYFUNCTION("""COMPUTED_VALUE"""),205141.0)</f>
        <v>205141</v>
      </c>
      <c r="AE38" s="45" t="str">
        <f>IFERROR(__xludf.DUMMYFUNCTION("""COMPUTED_VALUE"""),"TRF 31-08")</f>
        <v>TRF 31-08</v>
      </c>
      <c r="AF38" s="7" t="str">
        <f>IFERROR(__xludf.DUMMYFUNCTION("""COMPUTED_VALUE"""),"OK")</f>
        <v>OK</v>
      </c>
      <c r="AG38" s="7"/>
      <c r="AH38" s="7"/>
      <c r="AI38" s="7"/>
    </row>
    <row r="39">
      <c r="B39" s="83">
        <f>IFERROR(__xludf.DUMMYFUNCTION("""COMPUTED_VALUE"""),45535.56714788194)</f>
        <v>45535.56715</v>
      </c>
      <c r="C39" s="43" t="str">
        <f>IFERROR(__xludf.DUMMYFUNCTION("""COMPUTED_VALUE"""),"Janko")</f>
        <v>Janko</v>
      </c>
      <c r="D39" s="43" t="str">
        <f>IFERROR(__xludf.DUMMYFUNCTION("""COMPUTED_VALUE"""),"DONOFRIO FREYTES")</f>
        <v>DONOFRIO FREYTES</v>
      </c>
      <c r="E39" s="43" t="str">
        <f>IFERROR(__xludf.DUMMYFUNCTION("""COMPUTED_VALUE"""),"CABA")</f>
        <v>CABA</v>
      </c>
      <c r="F39" s="7" t="str">
        <f>IFERROR(__xludf.DUMMYFUNCTION("""COMPUTED_VALUE"""),"ARG")</f>
        <v>ARG</v>
      </c>
      <c r="G39" s="7">
        <f>IFERROR(__xludf.DUMMYFUNCTION("""COMPUTED_VALUE"""),5.0671157E7)</f>
        <v>50671157</v>
      </c>
      <c r="H39" s="44">
        <f>IFERROR(__xludf.DUMMYFUNCTION("""COMPUTED_VALUE"""),40841.0)</f>
        <v>40841</v>
      </c>
      <c r="I39" s="45">
        <f>IFERROR(__xludf.DUMMYFUNCTION("""COMPUTED_VALUE"""),1.536571538E9)</f>
        <v>1536571538</v>
      </c>
      <c r="J39" s="45">
        <f>IFERROR(__xludf.DUMMYFUNCTION("""COMPUTED_VALUE"""),1.540654972E9)</f>
        <v>1540654972</v>
      </c>
      <c r="K39" s="45" t="str">
        <f>IFERROR(__xludf.DUMMYFUNCTION("""COMPUTED_VALUE"""),"adonofr@gmail.com")</f>
        <v>adonofr@gmail.com</v>
      </c>
      <c r="L39" s="45" t="str">
        <f>IFERROR(__xludf.DUMMYFUNCTION("""COMPUTED_VALUE"""),"Masculino")</f>
        <v>Masculino</v>
      </c>
      <c r="M39" s="54" t="str">
        <f>IFERROR(__xludf.DUMMYFUNCTION("""COMPUTED_VALUE"""),"YCCN")</f>
        <v>YCCN</v>
      </c>
      <c r="N39" s="45" t="str">
        <f>IFERROR(__xludf.DUMMYFUNCTION("""COMPUTED_VALUE"""),"Interior (Optimist)")</f>
        <v>Interior (Optimist)</v>
      </c>
      <c r="O39" s="45" t="str">
        <f>IFERROR(__xludf.DUMMYFUNCTION("""COMPUTED_VALUE"""),"OPTIMIST TIMONELES")</f>
        <v>OPTIMIST TIMONELES</v>
      </c>
      <c r="P39" s="45"/>
      <c r="Q39" s="7">
        <f>IFERROR(__xludf.DUMMYFUNCTION("""COMPUTED_VALUE"""),3876.0)</f>
        <v>3876</v>
      </c>
      <c r="R39" s="45"/>
      <c r="S39" s="45"/>
      <c r="T39" s="45"/>
      <c r="U39" s="45"/>
      <c r="V39" s="45"/>
      <c r="W39" s="45"/>
      <c r="X39" s="45"/>
      <c r="Y39" s="45"/>
      <c r="Z39" s="7" t="str">
        <f>IFERROR(__xludf.DUMMYFUNCTION("""COMPUTED_VALUE"""),"No")</f>
        <v>No</v>
      </c>
      <c r="AA39" s="7" t="str">
        <f>IFERROR(__xludf.DUMMYFUNCTION("""COMPUTED_VALUE"""),"Acepto")</f>
        <v>Acepto</v>
      </c>
      <c r="AB39" s="7" t="str">
        <f>IFERROR(__xludf.DUMMYFUNCTION("""COMPUTED_VALUE"""),"Terminado")</f>
        <v>Terminado</v>
      </c>
      <c r="AC39" s="7">
        <f>IFERROR(__xludf.DUMMYFUNCTION("""COMPUTED_VALUE"""),60000.0)</f>
        <v>60000</v>
      </c>
      <c r="AD39" s="7">
        <f>IFERROR(__xludf.DUMMYFUNCTION("""COMPUTED_VALUE"""),205156.0)</f>
        <v>205156</v>
      </c>
      <c r="AE39" s="45" t="str">
        <f>IFERROR(__xludf.DUMMYFUNCTION("""COMPUTED_VALUE"""),"TRF 31-08")</f>
        <v>TRF 31-08</v>
      </c>
      <c r="AF39" s="7" t="str">
        <f>IFERROR(__xludf.DUMMYFUNCTION("""COMPUTED_VALUE"""),"Pendiente")</f>
        <v>Pendiente</v>
      </c>
      <c r="AG39" s="7"/>
      <c r="AH39" s="7"/>
      <c r="AI39" s="7"/>
    </row>
    <row r="40">
      <c r="B40" s="83">
        <f>IFERROR(__xludf.DUMMYFUNCTION("""COMPUTED_VALUE"""),45537.73708496528)</f>
        <v>45537.73708</v>
      </c>
      <c r="C40" s="43" t="str">
        <f>IFERROR(__xludf.DUMMYFUNCTION("""COMPUTED_VALUE"""),"Milagros")</f>
        <v>Milagros</v>
      </c>
      <c r="D40" s="43" t="str">
        <f>IFERROR(__xludf.DUMMYFUNCTION("""COMPUTED_VALUE"""),"Fagundez Schroder")</f>
        <v>Fagundez Schroder</v>
      </c>
      <c r="E40" s="43" t="str">
        <f>IFERROR(__xludf.DUMMYFUNCTION("""COMPUTED_VALUE"""),"Montevideo")</f>
        <v>Montevideo</v>
      </c>
      <c r="F40" s="7" t="str">
        <f>IFERROR(__xludf.DUMMYFUNCTION("""COMPUTED_VALUE"""),"URU")</f>
        <v>URU</v>
      </c>
      <c r="G40" s="7">
        <f>IFERROR(__xludf.DUMMYFUNCTION("""COMPUTED_VALUE"""),5.8283967E7)</f>
        <v>58283967</v>
      </c>
      <c r="H40" s="44">
        <f>IFERROR(__xludf.DUMMYFUNCTION("""COMPUTED_VALUE"""),40141.0)</f>
        <v>40141</v>
      </c>
      <c r="I40" s="45" t="str">
        <f>IFERROR(__xludf.DUMMYFUNCTION("""COMPUTED_VALUE"""),"+59899657571")</f>
        <v>+59899657571</v>
      </c>
      <c r="J40" s="45" t="str">
        <f>IFERROR(__xludf.DUMMYFUNCTION("""COMPUTED_VALUE"""),"+59899657571")</f>
        <v>+59899657571</v>
      </c>
      <c r="K40" s="45" t="str">
        <f>IFERROR(__xludf.DUMMYFUNCTION("""COMPUTED_VALUE"""),"31fabricio@gmail.com")</f>
        <v>31fabricio@gmail.com</v>
      </c>
      <c r="L40" s="45" t="str">
        <f>IFERROR(__xludf.DUMMYFUNCTION("""COMPUTED_VALUE"""),"Femenino")</f>
        <v>Femenino</v>
      </c>
      <c r="M40" s="54" t="str">
        <f>IFERROR(__xludf.DUMMYFUNCTION("""COMPUTED_VALUE"""),"NYC ")</f>
        <v>NYC </v>
      </c>
      <c r="N40" s="45" t="str">
        <f>IFERROR(__xludf.DUMMYFUNCTION("""COMPUTED_VALUE"""),"Femenino, Interior (Optimist)")</f>
        <v>Femenino, Interior (Optimist)</v>
      </c>
      <c r="O40" s="45" t="str">
        <f>IFERROR(__xludf.DUMMYFUNCTION("""COMPUTED_VALUE"""),"OPTIMIST TIMONELES")</f>
        <v>OPTIMIST TIMONELES</v>
      </c>
      <c r="P40" s="45"/>
      <c r="Q40" s="7" t="str">
        <f>IFERROR(__xludf.DUMMYFUNCTION("""COMPUTED_VALUE"""),"URU 460")</f>
        <v>URU 460</v>
      </c>
      <c r="R40" s="45"/>
      <c r="S40" s="45" t="str">
        <f>IFERROR(__xludf.DUMMYFUNCTION("""COMPUTED_VALUE"""),"Milagros Fagundez Schroder")</f>
        <v>Milagros Fagundez Schroder</v>
      </c>
      <c r="T40" s="45"/>
      <c r="U40" s="45"/>
      <c r="V40" s="45"/>
      <c r="W40" s="45"/>
      <c r="X40" s="45"/>
      <c r="Y40" s="45"/>
      <c r="Z40" s="7" t="str">
        <f>IFERROR(__xludf.DUMMYFUNCTION("""COMPUTED_VALUE"""),"Si")</f>
        <v>Si</v>
      </c>
      <c r="AA40" s="7" t="str">
        <f>IFERROR(__xludf.DUMMYFUNCTION("""COMPUTED_VALUE"""),"Acepto")</f>
        <v>Acepto</v>
      </c>
      <c r="AB40" s="7" t="str">
        <f>IFERROR(__xludf.DUMMYFUNCTION("""COMPUTED_VALUE"""),"Terminado")</f>
        <v>Terminado</v>
      </c>
      <c r="AC40" s="7">
        <f>IFERROR(__xludf.DUMMYFUNCTION("""COMPUTED_VALUE"""),42500.0)</f>
        <v>42500</v>
      </c>
      <c r="AD40" s="7">
        <f>IFERROR(__xludf.DUMMYFUNCTION("""COMPUTED_VALUE"""),205391.0)</f>
        <v>205391</v>
      </c>
      <c r="AE40" s="45" t="str">
        <f>IFERROR(__xludf.DUMMYFUNCTION("""COMPUTED_VALUE"""),"TRF 02-09")</f>
        <v>TRF 02-09</v>
      </c>
      <c r="AF40" s="7" t="str">
        <f>IFERROR(__xludf.DUMMYFUNCTION("""COMPUTED_VALUE"""),"OK")</f>
        <v>OK</v>
      </c>
      <c r="AG40" s="7" t="str">
        <f>IFERROR(__xludf.DUMMYFUNCTION("""COMPUTED_VALUE"""),"SI")</f>
        <v>SI</v>
      </c>
      <c r="AH40" s="7"/>
      <c r="AI40" s="7"/>
    </row>
    <row r="41">
      <c r="B41" s="83">
        <f>IFERROR(__xludf.DUMMYFUNCTION("""COMPUTED_VALUE"""),45534.642036944446)</f>
        <v>45534.64204</v>
      </c>
      <c r="C41" s="43" t="str">
        <f>IFERROR(__xludf.DUMMYFUNCTION("""COMPUTED_VALUE"""),"Justino")</f>
        <v>Justino</v>
      </c>
      <c r="D41" s="43" t="str">
        <f>IFERROR(__xludf.DUMMYFUNCTION("""COMPUTED_VALUE"""),"Favero")</f>
        <v>Favero</v>
      </c>
      <c r="E41" s="43" t="str">
        <f>IFERROR(__xludf.DUMMYFUNCTION("""COMPUTED_VALUE"""),"La Plata")</f>
        <v>La Plata</v>
      </c>
      <c r="F41" s="7" t="str">
        <f>IFERROR(__xludf.DUMMYFUNCTION("""COMPUTED_VALUE"""),"ARG")</f>
        <v>ARG</v>
      </c>
      <c r="G41" s="7">
        <f>IFERROR(__xludf.DUMMYFUNCTION("""COMPUTED_VALUE"""),4.9833927E7)</f>
        <v>49833927</v>
      </c>
      <c r="H41" s="44">
        <f>IFERROR(__xludf.DUMMYFUNCTION("""COMPUTED_VALUE"""),40112.0)</f>
        <v>40112</v>
      </c>
      <c r="I41" s="45">
        <f>IFERROR(__xludf.DUMMYFUNCTION("""COMPUTED_VALUE"""),2.215741651E9)</f>
        <v>2215741651</v>
      </c>
      <c r="J41" s="45">
        <f>IFERROR(__xludf.DUMMYFUNCTION("""COMPUTED_VALUE"""),2.215222133E9)</f>
        <v>2215222133</v>
      </c>
      <c r="K41" s="45" t="str">
        <f>IFERROR(__xludf.DUMMYFUNCTION("""COMPUTED_VALUE"""),"mariaeugeniagarciaf@gmail.com")</f>
        <v>mariaeugeniagarciaf@gmail.com</v>
      </c>
      <c r="L41" s="45" t="str">
        <f>IFERROR(__xludf.DUMMYFUNCTION("""COMPUTED_VALUE"""),"Masculino")</f>
        <v>Masculino</v>
      </c>
      <c r="M41" s="54" t="str">
        <f>IFERROR(__xludf.DUMMYFUNCTION("""COMPUTED_VALUE"""),"CRLP")</f>
        <v>CRLP</v>
      </c>
      <c r="N41" s="45"/>
      <c r="O41" s="45" t="str">
        <f>IFERROR(__xludf.DUMMYFUNCTION("""COMPUTED_VALUE"""),"OPTIMIST TIMONELES")</f>
        <v>OPTIMIST TIMONELES</v>
      </c>
      <c r="P41" s="45"/>
      <c r="Q41" s="7">
        <f>IFERROR(__xludf.DUMMYFUNCTION("""COMPUTED_VALUE"""),3903.0)</f>
        <v>3903</v>
      </c>
      <c r="R41" s="45"/>
      <c r="S41" s="45"/>
      <c r="T41" s="45"/>
      <c r="U41" s="45"/>
      <c r="V41" s="45"/>
      <c r="W41" s="45"/>
      <c r="X41" s="45"/>
      <c r="Y41" s="45" t="str">
        <f>IFERROR(__xludf.DUMMYFUNCTION("""COMPUTED_VALUE"""),"IOMA")</f>
        <v>IOMA</v>
      </c>
      <c r="Z41" s="7" t="str">
        <f>IFERROR(__xludf.DUMMYFUNCTION("""COMPUTED_VALUE"""),"Si")</f>
        <v>Si</v>
      </c>
      <c r="AA41" s="7" t="str">
        <f>IFERROR(__xludf.DUMMYFUNCTION("""COMPUTED_VALUE"""),"Acepto")</f>
        <v>Acepto</v>
      </c>
      <c r="AB41" s="7" t="str">
        <f>IFERROR(__xludf.DUMMYFUNCTION("""COMPUTED_VALUE"""),"Terminado")</f>
        <v>Terminado</v>
      </c>
      <c r="AC41" s="7">
        <f>IFERROR(__xludf.DUMMYFUNCTION("""COMPUTED_VALUE"""),50000.0)</f>
        <v>50000</v>
      </c>
      <c r="AD41" s="7">
        <f>IFERROR(__xludf.DUMMYFUNCTION("""COMPUTED_VALUE"""),205124.0)</f>
        <v>205124</v>
      </c>
      <c r="AE41" s="45" t="str">
        <f>IFERROR(__xludf.DUMMYFUNCTION("""COMPUTED_VALUE"""),"TRF 30-08")</f>
        <v>TRF 30-08</v>
      </c>
      <c r="AF41" s="7" t="str">
        <f>IFERROR(__xludf.DUMMYFUNCTION("""COMPUTED_VALUE"""),"OK")</f>
        <v>OK</v>
      </c>
      <c r="AG41" s="7"/>
      <c r="AH41" s="7"/>
      <c r="AI41" s="7"/>
    </row>
    <row r="42">
      <c r="B42" s="83">
        <f>IFERROR(__xludf.DUMMYFUNCTION("""COMPUTED_VALUE"""),45535.72407829861)</f>
        <v>45535.72408</v>
      </c>
      <c r="C42" s="43" t="str">
        <f>IFERROR(__xludf.DUMMYFUNCTION("""COMPUTED_VALUE"""),"Valentina ")</f>
        <v>Valentina </v>
      </c>
      <c r="D42" s="43" t="str">
        <f>IFERROR(__xludf.DUMMYFUNCTION("""COMPUTED_VALUE"""),"Ferreyra")</f>
        <v>Ferreyra</v>
      </c>
      <c r="E42" s="43" t="str">
        <f>IFERROR(__xludf.DUMMYFUNCTION("""COMPUTED_VALUE"""),"Zárate ")</f>
        <v>Zárate </v>
      </c>
      <c r="F42" s="7" t="str">
        <f>IFERROR(__xludf.DUMMYFUNCTION("""COMPUTED_VALUE"""),"ARG")</f>
        <v>ARG</v>
      </c>
      <c r="G42" s="7">
        <f>IFERROR(__xludf.DUMMYFUNCTION("""COMPUTED_VALUE"""),5.1339867E7)</f>
        <v>51339867</v>
      </c>
      <c r="H42" s="44">
        <f>IFERROR(__xludf.DUMMYFUNCTION("""COMPUTED_VALUE"""),40854.0)</f>
        <v>40854</v>
      </c>
      <c r="I42" s="45">
        <f>IFERROR(__xludf.DUMMYFUNCTION("""COMPUTED_VALUE"""),3.487617188E9)</f>
        <v>3487617188</v>
      </c>
      <c r="J42" s="45">
        <f>IFERROR(__xludf.DUMMYFUNCTION("""COMPUTED_VALUE"""),3.487617188E9)</f>
        <v>3487617188</v>
      </c>
      <c r="K42" s="45" t="str">
        <f>IFERROR(__xludf.DUMMYFUNCTION("""COMPUTED_VALUE"""),"duke_jimegutierrez@hotmail.com")</f>
        <v>duke_jimegutierrez@hotmail.com</v>
      </c>
      <c r="L42" s="45" t="str">
        <f>IFERROR(__xludf.DUMMYFUNCTION("""COMPUTED_VALUE"""),"Femenino")</f>
        <v>Femenino</v>
      </c>
      <c r="M42" s="54" t="str">
        <f>IFERROR(__xludf.DUMMYFUNCTION("""COMPUTED_VALUE"""),"CNZ")</f>
        <v>CNZ</v>
      </c>
      <c r="N42" s="45" t="str">
        <f>IFERROR(__xludf.DUMMYFUNCTION("""COMPUTED_VALUE"""),"Interior (Optimist)")</f>
        <v>Interior (Optimist)</v>
      </c>
      <c r="O42" s="45" t="str">
        <f>IFERROR(__xludf.DUMMYFUNCTION("""COMPUTED_VALUE"""),"OPTIMIST TIMONELES")</f>
        <v>OPTIMIST TIMONELES</v>
      </c>
      <c r="P42" s="45"/>
      <c r="Q42" s="7">
        <f>IFERROR(__xludf.DUMMYFUNCTION("""COMPUTED_VALUE"""),4144.0)</f>
        <v>4144</v>
      </c>
      <c r="R42" s="45"/>
      <c r="S42" s="45"/>
      <c r="T42" s="45"/>
      <c r="U42" s="45"/>
      <c r="V42" s="45"/>
      <c r="W42" s="45"/>
      <c r="X42" s="45"/>
      <c r="Y42" s="45" t="str">
        <f>IFERROR(__xludf.DUMMYFUNCTION("""COMPUTED_VALUE"""),"Osde")</f>
        <v>Osde</v>
      </c>
      <c r="Z42" s="7" t="str">
        <f>IFERROR(__xludf.DUMMYFUNCTION("""COMPUTED_VALUE"""),"Si")</f>
        <v>Si</v>
      </c>
      <c r="AA42" s="7" t="str">
        <f>IFERROR(__xludf.DUMMYFUNCTION("""COMPUTED_VALUE"""),"Acepto")</f>
        <v>Acepto</v>
      </c>
      <c r="AB42" s="7" t="str">
        <f>IFERROR(__xludf.DUMMYFUNCTION("""COMPUTED_VALUE"""),"Repetido")</f>
        <v>Repetido</v>
      </c>
      <c r="AC42" s="7"/>
      <c r="AD42" s="7"/>
      <c r="AE42" s="45"/>
      <c r="AF42" s="7" t="str">
        <f>IFERROR(__xludf.DUMMYFUNCTION("""COMPUTED_VALUE"""),"No Corresp")</f>
        <v>No Corresp</v>
      </c>
      <c r="AG42" s="7"/>
      <c r="AH42" s="7"/>
      <c r="AI42" s="7"/>
    </row>
    <row r="43">
      <c r="B43" s="83">
        <f>IFERROR(__xludf.DUMMYFUNCTION("""COMPUTED_VALUE"""),45535.729173368054)</f>
        <v>45535.72917</v>
      </c>
      <c r="C43" s="43" t="str">
        <f>IFERROR(__xludf.DUMMYFUNCTION("""COMPUTED_VALUE"""),"Valentina ")</f>
        <v>Valentina </v>
      </c>
      <c r="D43" s="43" t="str">
        <f>IFERROR(__xludf.DUMMYFUNCTION("""COMPUTED_VALUE"""),"Ferreyra")</f>
        <v>Ferreyra</v>
      </c>
      <c r="E43" s="43" t="str">
        <f>IFERROR(__xludf.DUMMYFUNCTION("""COMPUTED_VALUE"""),"Zárate ")</f>
        <v>Zárate </v>
      </c>
      <c r="F43" s="7" t="str">
        <f>IFERROR(__xludf.DUMMYFUNCTION("""COMPUTED_VALUE"""),"ARG")</f>
        <v>ARG</v>
      </c>
      <c r="G43" s="7">
        <f>IFERROR(__xludf.DUMMYFUNCTION("""COMPUTED_VALUE"""),5.1339867E7)</f>
        <v>51339867</v>
      </c>
      <c r="H43" s="44">
        <f>IFERROR(__xludf.DUMMYFUNCTION("""COMPUTED_VALUE"""),40854.0)</f>
        <v>40854</v>
      </c>
      <c r="I43" s="45">
        <f>IFERROR(__xludf.DUMMYFUNCTION("""COMPUTED_VALUE"""),3.487617188E9)</f>
        <v>3487617188</v>
      </c>
      <c r="J43" s="45">
        <f>IFERROR(__xludf.DUMMYFUNCTION("""COMPUTED_VALUE"""),3.487617188E9)</f>
        <v>3487617188</v>
      </c>
      <c r="K43" s="45" t="str">
        <f>IFERROR(__xludf.DUMMYFUNCTION("""COMPUTED_VALUE"""),"duke_jimegutierrez@hotmail.com")</f>
        <v>duke_jimegutierrez@hotmail.com</v>
      </c>
      <c r="L43" s="45" t="str">
        <f>IFERROR(__xludf.DUMMYFUNCTION("""COMPUTED_VALUE"""),"Femenino")</f>
        <v>Femenino</v>
      </c>
      <c r="M43" s="54" t="str">
        <f>IFERROR(__xludf.DUMMYFUNCTION("""COMPUTED_VALUE"""),"CNZ")</f>
        <v>CNZ</v>
      </c>
      <c r="N43" s="45" t="str">
        <f>IFERROR(__xludf.DUMMYFUNCTION("""COMPUTED_VALUE"""),"Interior (Optimist)")</f>
        <v>Interior (Optimist)</v>
      </c>
      <c r="O43" s="45" t="str">
        <f>IFERROR(__xludf.DUMMYFUNCTION("""COMPUTED_VALUE"""),"OPTIMIST TIMONELES")</f>
        <v>OPTIMIST TIMONELES</v>
      </c>
      <c r="P43" s="45"/>
      <c r="Q43" s="7">
        <f>IFERROR(__xludf.DUMMYFUNCTION("""COMPUTED_VALUE"""),4144.0)</f>
        <v>4144</v>
      </c>
      <c r="R43" s="45"/>
      <c r="S43" s="45"/>
      <c r="T43" s="45"/>
      <c r="U43" s="45"/>
      <c r="V43" s="45"/>
      <c r="W43" s="45"/>
      <c r="X43" s="45"/>
      <c r="Y43" s="45" t="str">
        <f>IFERROR(__xludf.DUMMYFUNCTION("""COMPUTED_VALUE"""),"Osde")</f>
        <v>Osde</v>
      </c>
      <c r="Z43" s="7" t="str">
        <f>IFERROR(__xludf.DUMMYFUNCTION("""COMPUTED_VALUE"""),"Si")</f>
        <v>Si</v>
      </c>
      <c r="AA43" s="7" t="str">
        <f>IFERROR(__xludf.DUMMYFUNCTION("""COMPUTED_VALUE"""),"Acepto")</f>
        <v>Acepto</v>
      </c>
      <c r="AB43" s="7" t="str">
        <f>IFERROR(__xludf.DUMMYFUNCTION("""COMPUTED_VALUE"""),"Repetido")</f>
        <v>Repetido</v>
      </c>
      <c r="AC43" s="7"/>
      <c r="AD43" s="7"/>
      <c r="AE43" s="45"/>
      <c r="AF43" s="7" t="str">
        <f>IFERROR(__xludf.DUMMYFUNCTION("""COMPUTED_VALUE"""),"No Corresp")</f>
        <v>No Corresp</v>
      </c>
      <c r="AG43" s="7"/>
      <c r="AH43" s="7"/>
      <c r="AI43" s="7"/>
    </row>
    <row r="44">
      <c r="B44" s="83">
        <f>IFERROR(__xludf.DUMMYFUNCTION("""COMPUTED_VALUE"""),45535.733074675925)</f>
        <v>45535.73307</v>
      </c>
      <c r="C44" s="43" t="str">
        <f>IFERROR(__xludf.DUMMYFUNCTION("""COMPUTED_VALUE"""),"Valentina ")</f>
        <v>Valentina </v>
      </c>
      <c r="D44" s="43" t="str">
        <f>IFERROR(__xludf.DUMMYFUNCTION("""COMPUTED_VALUE"""),"Ferreyra")</f>
        <v>Ferreyra</v>
      </c>
      <c r="E44" s="43" t="str">
        <f>IFERROR(__xludf.DUMMYFUNCTION("""COMPUTED_VALUE"""),"Zárate ")</f>
        <v>Zárate </v>
      </c>
      <c r="F44" s="7" t="str">
        <f>IFERROR(__xludf.DUMMYFUNCTION("""COMPUTED_VALUE"""),"ARG")</f>
        <v>ARG</v>
      </c>
      <c r="G44" s="7">
        <f>IFERROR(__xludf.DUMMYFUNCTION("""COMPUTED_VALUE"""),5.1339867E7)</f>
        <v>51339867</v>
      </c>
      <c r="H44" s="44">
        <f>IFERROR(__xludf.DUMMYFUNCTION("""COMPUTED_VALUE"""),40854.0)</f>
        <v>40854</v>
      </c>
      <c r="I44" s="45">
        <f>IFERROR(__xludf.DUMMYFUNCTION("""COMPUTED_VALUE"""),3.487617188E9)</f>
        <v>3487617188</v>
      </c>
      <c r="J44" s="45"/>
      <c r="K44" s="45" t="str">
        <f>IFERROR(__xludf.DUMMYFUNCTION("""COMPUTED_VALUE"""),"duke_jimegutierrez@hotmail.com")</f>
        <v>duke_jimegutierrez@hotmail.com</v>
      </c>
      <c r="L44" s="45" t="str">
        <f>IFERROR(__xludf.DUMMYFUNCTION("""COMPUTED_VALUE"""),"Femenino")</f>
        <v>Femenino</v>
      </c>
      <c r="M44" s="54" t="str">
        <f>IFERROR(__xludf.DUMMYFUNCTION("""COMPUTED_VALUE"""),"CNZ")</f>
        <v>CNZ</v>
      </c>
      <c r="N44" s="45" t="str">
        <f>IFERROR(__xludf.DUMMYFUNCTION("""COMPUTED_VALUE"""),"Femenino")</f>
        <v>Femenino</v>
      </c>
      <c r="O44" s="45" t="str">
        <f>IFERROR(__xludf.DUMMYFUNCTION("""COMPUTED_VALUE"""),"OPTIMIST TIMONELES")</f>
        <v>OPTIMIST TIMONELES</v>
      </c>
      <c r="P44" s="45"/>
      <c r="Q44" s="7">
        <f>IFERROR(__xludf.DUMMYFUNCTION("""COMPUTED_VALUE"""),4144.0)</f>
        <v>4144</v>
      </c>
      <c r="R44" s="45"/>
      <c r="S44" s="45"/>
      <c r="T44" s="45"/>
      <c r="U44" s="45"/>
      <c r="V44" s="45"/>
      <c r="W44" s="45"/>
      <c r="X44" s="45"/>
      <c r="Y44" s="45" t="str">
        <f>IFERROR(__xludf.DUMMYFUNCTION("""COMPUTED_VALUE"""),"Osde")</f>
        <v>Osde</v>
      </c>
      <c r="Z44" s="7" t="str">
        <f>IFERROR(__xludf.DUMMYFUNCTION("""COMPUTED_VALUE"""),"Si")</f>
        <v>Si</v>
      </c>
      <c r="AA44" s="7" t="str">
        <f>IFERROR(__xludf.DUMMYFUNCTION("""COMPUTED_VALUE"""),"Acepto")</f>
        <v>Acepto</v>
      </c>
      <c r="AB44" s="7" t="str">
        <f>IFERROR(__xludf.DUMMYFUNCTION("""COMPUTED_VALUE"""),"Repetido")</f>
        <v>Repetido</v>
      </c>
      <c r="AC44" s="7"/>
      <c r="AD44" s="7"/>
      <c r="AE44" s="45"/>
      <c r="AF44" s="7" t="str">
        <f>IFERROR(__xludf.DUMMYFUNCTION("""COMPUTED_VALUE"""),"No Corresp")</f>
        <v>No Corresp</v>
      </c>
      <c r="AG44" s="7"/>
      <c r="AH44" s="7"/>
      <c r="AI44" s="7"/>
    </row>
    <row r="45">
      <c r="B45" s="83">
        <f>IFERROR(__xludf.DUMMYFUNCTION("""COMPUTED_VALUE"""),45535.740079201394)</f>
        <v>45535.74008</v>
      </c>
      <c r="C45" s="43" t="str">
        <f>IFERROR(__xludf.DUMMYFUNCTION("""COMPUTED_VALUE"""),"Valentina ")</f>
        <v>Valentina </v>
      </c>
      <c r="D45" s="43" t="str">
        <f>IFERROR(__xludf.DUMMYFUNCTION("""COMPUTED_VALUE"""),"Ferreyra")</f>
        <v>Ferreyra</v>
      </c>
      <c r="E45" s="43" t="str">
        <f>IFERROR(__xludf.DUMMYFUNCTION("""COMPUTED_VALUE"""),"Zárate ")</f>
        <v>Zárate </v>
      </c>
      <c r="F45" s="7" t="str">
        <f>IFERROR(__xludf.DUMMYFUNCTION("""COMPUTED_VALUE"""),"ARG")</f>
        <v>ARG</v>
      </c>
      <c r="G45" s="7">
        <f>IFERROR(__xludf.DUMMYFUNCTION("""COMPUTED_VALUE"""),5.1339867E7)</f>
        <v>51339867</v>
      </c>
      <c r="H45" s="44">
        <f>IFERROR(__xludf.DUMMYFUNCTION("""COMPUTED_VALUE"""),40854.0)</f>
        <v>40854</v>
      </c>
      <c r="I45" s="45">
        <f>IFERROR(__xludf.DUMMYFUNCTION("""COMPUTED_VALUE"""),3.487664811E9)</f>
        <v>3487664811</v>
      </c>
      <c r="J45" s="45">
        <f>IFERROR(__xludf.DUMMYFUNCTION("""COMPUTED_VALUE"""),3.487664811E9)</f>
        <v>3487664811</v>
      </c>
      <c r="K45" s="45" t="str">
        <f>IFERROR(__xludf.DUMMYFUNCTION("""COMPUTED_VALUE"""),"amapizzatti@gmail.com")</f>
        <v>amapizzatti@gmail.com</v>
      </c>
      <c r="L45" s="45" t="str">
        <f>IFERROR(__xludf.DUMMYFUNCTION("""COMPUTED_VALUE"""),"Femenino")</f>
        <v>Femenino</v>
      </c>
      <c r="M45" s="54" t="str">
        <f>IFERROR(__xludf.DUMMYFUNCTION("""COMPUTED_VALUE"""),"CNZ")</f>
        <v>CNZ</v>
      </c>
      <c r="N45" s="45" t="str">
        <f>IFERROR(__xludf.DUMMYFUNCTION("""COMPUTED_VALUE"""),"Femenino")</f>
        <v>Femenino</v>
      </c>
      <c r="O45" s="45" t="str">
        <f>IFERROR(__xludf.DUMMYFUNCTION("""COMPUTED_VALUE"""),"OPTIMIST TIMONELES")</f>
        <v>OPTIMIST TIMONELES</v>
      </c>
      <c r="P45" s="45"/>
      <c r="Q45" s="7">
        <f>IFERROR(__xludf.DUMMYFUNCTION("""COMPUTED_VALUE"""),4144.0)</f>
        <v>4144</v>
      </c>
      <c r="R45" s="45"/>
      <c r="S45" s="45"/>
      <c r="T45" s="45"/>
      <c r="U45" s="45"/>
      <c r="V45" s="45"/>
      <c r="W45" s="45"/>
      <c r="X45" s="45"/>
      <c r="Y45" s="45" t="str">
        <f>IFERROR(__xludf.DUMMYFUNCTION("""COMPUTED_VALUE"""),"Osde")</f>
        <v>Osde</v>
      </c>
      <c r="Z45" s="7" t="str">
        <f>IFERROR(__xludf.DUMMYFUNCTION("""COMPUTED_VALUE"""),"Si")</f>
        <v>Si</v>
      </c>
      <c r="AA45" s="7" t="str">
        <f>IFERROR(__xludf.DUMMYFUNCTION("""COMPUTED_VALUE"""),"Acepto")</f>
        <v>Acepto</v>
      </c>
      <c r="AB45" s="7" t="str">
        <f>IFERROR(__xludf.DUMMYFUNCTION("""COMPUTED_VALUE"""),"Repetido")</f>
        <v>Repetido</v>
      </c>
      <c r="AC45" s="7"/>
      <c r="AD45" s="7"/>
      <c r="AE45" s="45"/>
      <c r="AF45" s="7" t="str">
        <f>IFERROR(__xludf.DUMMYFUNCTION("""COMPUTED_VALUE"""),"No Corresp")</f>
        <v>No Corresp</v>
      </c>
      <c r="AG45" s="7"/>
      <c r="AH45" s="7"/>
      <c r="AI45" s="7"/>
    </row>
    <row r="46">
      <c r="B46" s="83">
        <f>IFERROR(__xludf.DUMMYFUNCTION("""COMPUTED_VALUE"""),45535.73797126157)</f>
        <v>45535.73797</v>
      </c>
      <c r="C46" s="43" t="str">
        <f>IFERROR(__xludf.DUMMYFUNCTION("""COMPUTED_VALUE"""),"Valentina ")</f>
        <v>Valentina </v>
      </c>
      <c r="D46" s="43" t="str">
        <f>IFERROR(__xludf.DUMMYFUNCTION("""COMPUTED_VALUE"""),"Ferreyra ")</f>
        <v>Ferreyra </v>
      </c>
      <c r="E46" s="43" t="str">
        <f>IFERROR(__xludf.DUMMYFUNCTION("""COMPUTED_VALUE"""),"Zárate ")</f>
        <v>Zárate </v>
      </c>
      <c r="F46" s="7" t="str">
        <f>IFERROR(__xludf.DUMMYFUNCTION("""COMPUTED_VALUE"""),"ARG")</f>
        <v>ARG</v>
      </c>
      <c r="G46" s="7">
        <f>IFERROR(__xludf.DUMMYFUNCTION("""COMPUTED_VALUE"""),5.1339867E7)</f>
        <v>51339867</v>
      </c>
      <c r="H46" s="44">
        <f>IFERROR(__xludf.DUMMYFUNCTION("""COMPUTED_VALUE"""),40854.0)</f>
        <v>40854</v>
      </c>
      <c r="I46" s="45">
        <f>IFERROR(__xludf.DUMMYFUNCTION("""COMPUTED_VALUE"""),3.487664811E9)</f>
        <v>3487664811</v>
      </c>
      <c r="J46" s="45">
        <f>IFERROR(__xludf.DUMMYFUNCTION("""COMPUTED_VALUE"""),3.487664811E9)</f>
        <v>3487664811</v>
      </c>
      <c r="K46" s="45" t="str">
        <f>IFERROR(__xludf.DUMMYFUNCTION("""COMPUTED_VALUE"""),"jimesvgutierrez@gmail.com")</f>
        <v>jimesvgutierrez@gmail.com</v>
      </c>
      <c r="L46" s="45" t="str">
        <f>IFERROR(__xludf.DUMMYFUNCTION("""COMPUTED_VALUE"""),"Femenino")</f>
        <v>Femenino</v>
      </c>
      <c r="M46" s="54" t="str">
        <f>IFERROR(__xludf.DUMMYFUNCTION("""COMPUTED_VALUE"""),"CNZ")</f>
        <v>CNZ</v>
      </c>
      <c r="N46" s="45" t="str">
        <f>IFERROR(__xludf.DUMMYFUNCTION("""COMPUTED_VALUE"""),"Femenino")</f>
        <v>Femenino</v>
      </c>
      <c r="O46" s="45" t="str">
        <f>IFERROR(__xludf.DUMMYFUNCTION("""COMPUTED_VALUE"""),"OPTIMIST TIMONELES")</f>
        <v>OPTIMIST TIMONELES</v>
      </c>
      <c r="P46" s="45"/>
      <c r="Q46" s="7">
        <f>IFERROR(__xludf.DUMMYFUNCTION("""COMPUTED_VALUE"""),4144.0)</f>
        <v>4144</v>
      </c>
      <c r="R46" s="45"/>
      <c r="S46" s="45"/>
      <c r="T46" s="45"/>
      <c r="U46" s="45"/>
      <c r="V46" s="45"/>
      <c r="W46" s="45"/>
      <c r="X46" s="45"/>
      <c r="Y46" s="45" t="str">
        <f>IFERROR(__xludf.DUMMYFUNCTION("""COMPUTED_VALUE"""),"Osde")</f>
        <v>Osde</v>
      </c>
      <c r="Z46" s="7" t="str">
        <f>IFERROR(__xludf.DUMMYFUNCTION("""COMPUTED_VALUE"""),"Si")</f>
        <v>Si</v>
      </c>
      <c r="AA46" s="7" t="str">
        <f>IFERROR(__xludf.DUMMYFUNCTION("""COMPUTED_VALUE"""),"Acepto")</f>
        <v>Acepto</v>
      </c>
      <c r="AB46" s="7" t="str">
        <f>IFERROR(__xludf.DUMMYFUNCTION("""COMPUTED_VALUE"""),"Terminado")</f>
        <v>Terminado</v>
      </c>
      <c r="AC46" s="7">
        <f>IFERROR(__xludf.DUMMYFUNCTION("""COMPUTED_VALUE"""),50000.0)</f>
        <v>50000</v>
      </c>
      <c r="AD46" s="7">
        <f>IFERROR(__xludf.DUMMYFUNCTION("""COMPUTED_VALUE"""),205373.0)</f>
        <v>205373</v>
      </c>
      <c r="AE46" s="45" t="str">
        <f>IFERROR(__xludf.DUMMYFUNCTION("""COMPUTED_VALUE"""),"TRF 02-09")</f>
        <v>TRF 02-09</v>
      </c>
      <c r="AF46" s="7" t="str">
        <f>IFERROR(__xludf.DUMMYFUNCTION("""COMPUTED_VALUE"""),"OK")</f>
        <v>OK</v>
      </c>
      <c r="AG46" s="7"/>
      <c r="AH46" s="7"/>
      <c r="AI46" s="7"/>
    </row>
    <row r="47">
      <c r="B47" s="83">
        <f>IFERROR(__xludf.DUMMYFUNCTION("""COMPUTED_VALUE"""),45531.43645282407)</f>
        <v>45531.43645</v>
      </c>
      <c r="C47" s="43" t="str">
        <f>IFERROR(__xludf.DUMMYFUNCTION("""COMPUTED_VALUE"""),"Renata")</f>
        <v>Renata</v>
      </c>
      <c r="D47" s="43" t="str">
        <f>IFERROR(__xludf.DUMMYFUNCTION("""COMPUTED_VALUE"""),"Fuhrmann")</f>
        <v>Fuhrmann</v>
      </c>
      <c r="E47" s="43" t="str">
        <f>IFERROR(__xludf.DUMMYFUNCTION("""COMPUTED_VALUE"""),"Buenos Aires")</f>
        <v>Buenos Aires</v>
      </c>
      <c r="F47" s="7" t="str">
        <f>IFERROR(__xludf.DUMMYFUNCTION("""COMPUTED_VALUE"""),"ARG")</f>
        <v>ARG</v>
      </c>
      <c r="G47" s="7">
        <f>IFERROR(__xludf.DUMMYFUNCTION("""COMPUTED_VALUE"""),5.3956527E7)</f>
        <v>53956527</v>
      </c>
      <c r="H47" s="44">
        <f>IFERROR(__xludf.DUMMYFUNCTION("""COMPUTED_VALUE"""),41774.0)</f>
        <v>41774</v>
      </c>
      <c r="I47" s="45" t="str">
        <f>IFERROR(__xludf.DUMMYFUNCTION("""COMPUTED_VALUE"""),"01160235442")</f>
        <v>01160235442</v>
      </c>
      <c r="J47" s="45" t="str">
        <f>IFERROR(__xludf.DUMMYFUNCTION("""COMPUTED_VALUE"""),"01167433488")</f>
        <v>01167433488</v>
      </c>
      <c r="K47" s="45" t="str">
        <f>IFERROR(__xludf.DUMMYFUNCTION("""COMPUTED_VALUE"""),"alejandro.fuhrmann@gmail.com")</f>
        <v>alejandro.fuhrmann@gmail.com</v>
      </c>
      <c r="L47" s="45" t="str">
        <f>IFERROR(__xludf.DUMMYFUNCTION("""COMPUTED_VALUE"""),"Femenino")</f>
        <v>Femenino</v>
      </c>
      <c r="M47" s="54" t="str">
        <f>IFERROR(__xludf.DUMMYFUNCTION("""COMPUTED_VALUE"""),"CNAs")</f>
        <v>CNAs</v>
      </c>
      <c r="N47" s="45" t="str">
        <f>IFERROR(__xludf.DUMMYFUNCTION("""COMPUTED_VALUE"""),"Femenino")</f>
        <v>Femenino</v>
      </c>
      <c r="O47" s="45" t="str">
        <f>IFERROR(__xludf.DUMMYFUNCTION("""COMPUTED_VALUE"""),"OPTIMIST TIMONELES")</f>
        <v>OPTIMIST TIMONELES</v>
      </c>
      <c r="P47" s="45"/>
      <c r="Q47" s="7">
        <f>IFERROR(__xludf.DUMMYFUNCTION("""COMPUTED_VALUE"""),3832.0)</f>
        <v>3832</v>
      </c>
      <c r="R47" s="45" t="str">
        <f>IFERROR(__xludf.DUMMYFUNCTION("""COMPUTED_VALUE"""),"Chimichanga")</f>
        <v>Chimichanga</v>
      </c>
      <c r="S47" s="45"/>
      <c r="T47" s="45"/>
      <c r="U47" s="45"/>
      <c r="V47" s="45"/>
      <c r="W47" s="45"/>
      <c r="X47" s="45"/>
      <c r="Y47" s="45" t="str">
        <f>IFERROR(__xludf.DUMMYFUNCTION("""COMPUTED_VALUE"""),"OSDE")</f>
        <v>OSDE</v>
      </c>
      <c r="Z47" s="7" t="str">
        <f>IFERROR(__xludf.DUMMYFUNCTION("""COMPUTED_VALUE"""),"Si")</f>
        <v>Si</v>
      </c>
      <c r="AA47" s="7" t="str">
        <f>IFERROR(__xludf.DUMMYFUNCTION("""COMPUTED_VALUE"""),"Acepto")</f>
        <v>Acepto</v>
      </c>
      <c r="AB47" s="7" t="str">
        <f>IFERROR(__xludf.DUMMYFUNCTION("""COMPUTED_VALUE"""),"Terminado")</f>
        <v>Terminado</v>
      </c>
      <c r="AC47" s="7">
        <f>IFERROR(__xludf.DUMMYFUNCTION("""COMPUTED_VALUE"""),50000.0)</f>
        <v>50000</v>
      </c>
      <c r="AD47" s="7">
        <f>IFERROR(__xludf.DUMMYFUNCTION("""COMPUTED_VALUE"""),205096.0)</f>
        <v>205096</v>
      </c>
      <c r="AE47" s="45" t="str">
        <f>IFERROR(__xludf.DUMMYFUNCTION("""COMPUTED_VALUE"""),"TRF 30-08")</f>
        <v>TRF 30-08</v>
      </c>
      <c r="AF47" s="7" t="str">
        <f>IFERROR(__xludf.DUMMYFUNCTION("""COMPUTED_VALUE"""),"OK")</f>
        <v>OK</v>
      </c>
      <c r="AG47" s="7"/>
      <c r="AH47" s="7"/>
      <c r="AI47" s="7"/>
    </row>
    <row r="48">
      <c r="B48" s="83">
        <f>IFERROR(__xludf.DUMMYFUNCTION("""COMPUTED_VALUE"""),45535.43489752315)</f>
        <v>45535.4349</v>
      </c>
      <c r="C48" s="43" t="str">
        <f>IFERROR(__xludf.DUMMYFUNCTION("""COMPUTED_VALUE"""),"Damasia")</f>
        <v>Damasia</v>
      </c>
      <c r="D48" s="43" t="str">
        <f>IFERROR(__xludf.DUMMYFUNCTION("""COMPUTED_VALUE"""),"García Canteli ")</f>
        <v>García Canteli </v>
      </c>
      <c r="E48" s="43" t="str">
        <f>IFERROR(__xludf.DUMMYFUNCTION("""COMPUTED_VALUE"""),"Tigre")</f>
        <v>Tigre</v>
      </c>
      <c r="F48" s="7" t="str">
        <f>IFERROR(__xludf.DUMMYFUNCTION("""COMPUTED_VALUE"""),"ARG")</f>
        <v>ARG</v>
      </c>
      <c r="G48" s="7">
        <f>IFERROR(__xludf.DUMMYFUNCTION("""COMPUTED_VALUE"""),5.0435588E7)</f>
        <v>50435588</v>
      </c>
      <c r="H48" s="44">
        <f>IFERROR(__xludf.DUMMYFUNCTION("""COMPUTED_VALUE"""),40374.0)</f>
        <v>40374</v>
      </c>
      <c r="I48" s="45">
        <f>IFERROR(__xludf.DUMMYFUNCTION("""COMPUTED_VALUE"""),1.144379842E9)</f>
        <v>1144379842</v>
      </c>
      <c r="J48" s="45">
        <f>IFERROR(__xludf.DUMMYFUNCTION("""COMPUTED_VALUE"""),1.144379842E9)</f>
        <v>1144379842</v>
      </c>
      <c r="K48" s="45" t="str">
        <f>IFERROR(__xludf.DUMMYFUNCTION("""COMPUTED_VALUE"""),"ignagcanteli@yahoo.com.ar")</f>
        <v>ignagcanteli@yahoo.com.ar</v>
      </c>
      <c r="L48" s="45" t="str">
        <f>IFERROR(__xludf.DUMMYFUNCTION("""COMPUTED_VALUE"""),"Femenino")</f>
        <v>Femenino</v>
      </c>
      <c r="M48" s="54" t="str">
        <f>IFERROR(__xludf.DUMMYFUNCTION("""COMPUTED_VALUE"""),"CNSI")</f>
        <v>CNSI</v>
      </c>
      <c r="N48" s="45" t="str">
        <f>IFERROR(__xludf.DUMMYFUNCTION("""COMPUTED_VALUE"""),"Femenino")</f>
        <v>Femenino</v>
      </c>
      <c r="O48" s="45" t="str">
        <f>IFERROR(__xludf.DUMMYFUNCTION("""COMPUTED_VALUE"""),"OPTIMIST TIMONELES")</f>
        <v>OPTIMIST TIMONELES</v>
      </c>
      <c r="P48" s="45"/>
      <c r="Q48" s="7">
        <f>IFERROR(__xludf.DUMMYFUNCTION("""COMPUTED_VALUE"""),3823.0)</f>
        <v>3823</v>
      </c>
      <c r="R48" s="45" t="str">
        <f>IFERROR(__xludf.DUMMYFUNCTION("""COMPUTED_VALUE"""),"Damasia")</f>
        <v>Damasia</v>
      </c>
      <c r="S48" s="45"/>
      <c r="T48" s="45"/>
      <c r="U48" s="45"/>
      <c r="V48" s="45"/>
      <c r="W48" s="45"/>
      <c r="X48" s="45"/>
      <c r="Y48" s="45" t="str">
        <f>IFERROR(__xludf.DUMMYFUNCTION("""COMPUTED_VALUE"""),"OSDE 410")</f>
        <v>OSDE 410</v>
      </c>
      <c r="Z48" s="7" t="str">
        <f>IFERROR(__xludf.DUMMYFUNCTION("""COMPUTED_VALUE"""),"No")</f>
        <v>No</v>
      </c>
      <c r="AA48" s="7" t="str">
        <f>IFERROR(__xludf.DUMMYFUNCTION("""COMPUTED_VALUE"""),"Acepto")</f>
        <v>Acepto</v>
      </c>
      <c r="AB48" s="7" t="str">
        <f>IFERROR(__xludf.DUMMYFUNCTION("""COMPUTED_VALUE"""),"Terminado")</f>
        <v>Terminado</v>
      </c>
      <c r="AC48" s="7">
        <f>IFERROR(__xludf.DUMMYFUNCTION("""COMPUTED_VALUE"""),50000.0)</f>
        <v>50000</v>
      </c>
      <c r="AD48" s="7">
        <f>IFERROR(__xludf.DUMMYFUNCTION("""COMPUTED_VALUE"""),205352.0)</f>
        <v>205352</v>
      </c>
      <c r="AE48" s="45" t="str">
        <f>IFERROR(__xludf.DUMMYFUNCTION("""COMPUTED_VALUE"""),"TRF 31-08")</f>
        <v>TRF 31-08</v>
      </c>
      <c r="AF48" s="7" t="str">
        <f>IFERROR(__xludf.DUMMYFUNCTION("""COMPUTED_VALUE"""),"OK")</f>
        <v>OK</v>
      </c>
      <c r="AG48" s="7"/>
      <c r="AH48" s="7"/>
      <c r="AI48" s="7"/>
    </row>
    <row r="49">
      <c r="B49" s="83">
        <f>IFERROR(__xludf.DUMMYFUNCTION("""COMPUTED_VALUE"""),45535.659965300925)</f>
        <v>45535.65997</v>
      </c>
      <c r="C49" s="43" t="str">
        <f>IFERROR(__xludf.DUMMYFUNCTION("""COMPUTED_VALUE"""),"Matias Uriel")</f>
        <v>Matias Uriel</v>
      </c>
      <c r="D49" s="43" t="str">
        <f>IFERROR(__xludf.DUMMYFUNCTION("""COMPUTED_VALUE"""),"García Cecolisio")</f>
        <v>García Cecolisio</v>
      </c>
      <c r="E49" s="43" t="str">
        <f>IFERROR(__xludf.DUMMYFUNCTION("""COMPUTED_VALUE"""),"San Isidro")</f>
        <v>San Isidro</v>
      </c>
      <c r="F49" s="7" t="str">
        <f>IFERROR(__xludf.DUMMYFUNCTION("""COMPUTED_VALUE"""),"ARG")</f>
        <v>ARG</v>
      </c>
      <c r="G49" s="7">
        <f>IFERROR(__xludf.DUMMYFUNCTION("""COMPUTED_VALUE"""),4.9313131E7)</f>
        <v>49313131</v>
      </c>
      <c r="H49" s="44">
        <f>IFERROR(__xludf.DUMMYFUNCTION("""COMPUTED_VALUE"""),39860.0)</f>
        <v>39860</v>
      </c>
      <c r="I49" s="45">
        <f>IFERROR(__xludf.DUMMYFUNCTION("""COMPUTED_VALUE"""),1.136996219E9)</f>
        <v>1136996219</v>
      </c>
      <c r="J49" s="45">
        <f>IFERROR(__xludf.DUMMYFUNCTION("""COMPUTED_VALUE"""),1.136996219E9)</f>
        <v>1136996219</v>
      </c>
      <c r="K49" s="45" t="str">
        <f>IFERROR(__xludf.DUMMYFUNCTION("""COMPUTED_VALUE"""),"gfgg100@yahoo.com.ar")</f>
        <v>gfgg100@yahoo.com.ar</v>
      </c>
      <c r="L49" s="45" t="str">
        <f>IFERROR(__xludf.DUMMYFUNCTION("""COMPUTED_VALUE"""),"Masculino")</f>
        <v>Masculino</v>
      </c>
      <c r="M49" s="54" t="str">
        <f>IFERROR(__xludf.DUMMYFUNCTION("""COMPUTED_VALUE"""),"CNGSM")</f>
        <v>CNGSM</v>
      </c>
      <c r="N49" s="45" t="str">
        <f>IFERROR(__xludf.DUMMYFUNCTION("""COMPUTED_VALUE"""),"Optimist")</f>
        <v>Optimist</v>
      </c>
      <c r="O49" s="45" t="str">
        <f>IFERROR(__xludf.DUMMYFUNCTION("""COMPUTED_VALUE"""),"OPTIMIST TIMONELES")</f>
        <v>OPTIMIST TIMONELES</v>
      </c>
      <c r="P49" s="45"/>
      <c r="Q49" s="7">
        <f>IFERROR(__xludf.DUMMYFUNCTION("""COMPUTED_VALUE"""),2984.0)</f>
        <v>2984</v>
      </c>
      <c r="R49" s="45" t="str">
        <f>IFERROR(__xludf.DUMMYFUNCTION("""COMPUTED_VALUE"""),"Pegasso")</f>
        <v>Pegasso</v>
      </c>
      <c r="S49" s="45"/>
      <c r="T49" s="45"/>
      <c r="U49" s="45"/>
      <c r="V49" s="45"/>
      <c r="W49" s="45"/>
      <c r="X49" s="45"/>
      <c r="Y49" s="45">
        <f>IFERROR(__xludf.DUMMYFUNCTION("""COMPUTED_VALUE"""),6.0849216602E10)</f>
        <v>60849216602</v>
      </c>
      <c r="Z49" s="7" t="str">
        <f>IFERROR(__xludf.DUMMYFUNCTION("""COMPUTED_VALUE"""),"No")</f>
        <v>No</v>
      </c>
      <c r="AA49" s="7" t="str">
        <f>IFERROR(__xludf.DUMMYFUNCTION("""COMPUTED_VALUE"""),"Acepto")</f>
        <v>Acepto</v>
      </c>
      <c r="AB49" s="7" t="str">
        <f>IFERROR(__xludf.DUMMYFUNCTION("""COMPUTED_VALUE"""),"Terminado")</f>
        <v>Terminado</v>
      </c>
      <c r="AC49" s="7">
        <f>IFERROR(__xludf.DUMMYFUNCTION("""COMPUTED_VALUE"""),50000.0)</f>
        <v>50000</v>
      </c>
      <c r="AD49" s="7">
        <f>IFERROR(__xludf.DUMMYFUNCTION("""COMPUTED_VALUE"""),205360.0)</f>
        <v>205360</v>
      </c>
      <c r="AE49" s="45" t="str">
        <f>IFERROR(__xludf.DUMMYFUNCTION("""COMPUTED_VALUE"""),"TRF 31-08")</f>
        <v>TRF 31-08</v>
      </c>
      <c r="AF49" s="7" t="str">
        <f>IFERROR(__xludf.DUMMYFUNCTION("""COMPUTED_VALUE"""),"OK")</f>
        <v>OK</v>
      </c>
      <c r="AG49" s="7" t="str">
        <f>IFERROR(__xludf.DUMMYFUNCTION("""COMPUTED_VALUE"""),"SI")</f>
        <v>SI</v>
      </c>
      <c r="AH49" s="7"/>
      <c r="AI49" s="7"/>
    </row>
    <row r="50">
      <c r="B50" s="83">
        <f>IFERROR(__xludf.DUMMYFUNCTION("""COMPUTED_VALUE"""),45524.56522351852)</f>
        <v>45524.56522</v>
      </c>
      <c r="C50" s="43" t="str">
        <f>IFERROR(__xludf.DUMMYFUNCTION("""COMPUTED_VALUE"""),"Lara")</f>
        <v>Lara</v>
      </c>
      <c r="D50" s="43" t="str">
        <f>IFERROR(__xludf.DUMMYFUNCTION("""COMPUTED_VALUE"""),"Gherghi")</f>
        <v>Gherghi</v>
      </c>
      <c r="E50" s="43" t="str">
        <f>IFERROR(__xludf.DUMMYFUNCTION("""COMPUTED_VALUE"""),"Buenos Aires")</f>
        <v>Buenos Aires</v>
      </c>
      <c r="F50" s="7" t="str">
        <f>IFERROR(__xludf.DUMMYFUNCTION("""COMPUTED_VALUE"""),"ARG")</f>
        <v>ARG</v>
      </c>
      <c r="G50" s="7">
        <f>IFERROR(__xludf.DUMMYFUNCTION("""COMPUTED_VALUE"""),5.2672616E7)</f>
        <v>52672616</v>
      </c>
      <c r="H50" s="44">
        <f>IFERROR(__xludf.DUMMYFUNCTION("""COMPUTED_VALUE"""),41142.0)</f>
        <v>41142</v>
      </c>
      <c r="I50" s="45">
        <f>IFERROR(__xludf.DUMMYFUNCTION("""COMPUTED_VALUE"""),1.158200952E9)</f>
        <v>1158200952</v>
      </c>
      <c r="J50" s="45">
        <f>IFERROR(__xludf.DUMMYFUNCTION("""COMPUTED_VALUE"""),1.14030723E9)</f>
        <v>1140307230</v>
      </c>
      <c r="K50" s="45" t="str">
        <f>IFERROR(__xludf.DUMMYFUNCTION("""COMPUTED_VALUE"""),"jagherghi@gmail.com")</f>
        <v>jagherghi@gmail.com</v>
      </c>
      <c r="L50" s="45" t="str">
        <f>IFERROR(__xludf.DUMMYFUNCTION("""COMPUTED_VALUE"""),"Femenino")</f>
        <v>Femenino</v>
      </c>
      <c r="M50" s="54" t="str">
        <f>IFERROR(__xludf.DUMMYFUNCTION("""COMPUTED_VALUE"""),"YCO")</f>
        <v>YCO</v>
      </c>
      <c r="N50" s="45" t="str">
        <f>IFERROR(__xludf.DUMMYFUNCTION("""COMPUTED_VALUE"""),"Femenino")</f>
        <v>Femenino</v>
      </c>
      <c r="O50" s="45" t="str">
        <f>IFERROR(__xludf.DUMMYFUNCTION("""COMPUTED_VALUE"""),"OPTIMIST TIMONELES")</f>
        <v>OPTIMIST TIMONELES</v>
      </c>
      <c r="P50" s="45"/>
      <c r="Q50" s="7">
        <f>IFERROR(__xludf.DUMMYFUNCTION("""COMPUTED_VALUE"""),3892.0)</f>
        <v>3892</v>
      </c>
      <c r="R50" s="45"/>
      <c r="S50" s="45"/>
      <c r="T50" s="45"/>
      <c r="U50" s="45"/>
      <c r="V50" s="45"/>
      <c r="W50" s="45"/>
      <c r="X50" s="45"/>
      <c r="Y50" s="45" t="str">
        <f>IFERROR(__xludf.DUMMYFUNCTION("""COMPUTED_VALUE"""),"Hospital Alemán ")</f>
        <v>Hospital Alemán </v>
      </c>
      <c r="Z50" s="7" t="str">
        <f>IFERROR(__xludf.DUMMYFUNCTION("""COMPUTED_VALUE"""),"Si")</f>
        <v>Si</v>
      </c>
      <c r="AA50" s="7" t="str">
        <f>IFERROR(__xludf.DUMMYFUNCTION("""COMPUTED_VALUE"""),"Acepto")</f>
        <v>Acepto</v>
      </c>
      <c r="AB50" s="7" t="str">
        <f>IFERROR(__xludf.DUMMYFUNCTION("""COMPUTED_VALUE"""),"Terminado")</f>
        <v>Terminado</v>
      </c>
      <c r="AC50" s="7">
        <f>IFERROR(__xludf.DUMMYFUNCTION("""COMPUTED_VALUE"""),50000.0)</f>
        <v>50000</v>
      </c>
      <c r="AD50" s="7"/>
      <c r="AE50" s="45" t="str">
        <f>IFERROR(__xludf.DUMMYFUNCTION("""COMPUTED_VALUE"""),"AF")</f>
        <v>AF</v>
      </c>
      <c r="AF50" s="7" t="str">
        <f>IFERROR(__xludf.DUMMYFUNCTION("""COMPUTED_VALUE"""),"OK")</f>
        <v>OK</v>
      </c>
      <c r="AG50" s="7"/>
      <c r="AH50" s="7"/>
      <c r="AI50" s="7"/>
    </row>
    <row r="51">
      <c r="B51" s="83">
        <f>IFERROR(__xludf.DUMMYFUNCTION("""COMPUTED_VALUE"""),45538.46070173611)</f>
        <v>45538.4607</v>
      </c>
      <c r="C51" s="43" t="str">
        <f>IFERROR(__xludf.DUMMYFUNCTION("""COMPUTED_VALUE"""),"Isabel")</f>
        <v>Isabel</v>
      </c>
      <c r="D51" s="43" t="str">
        <f>IFERROR(__xludf.DUMMYFUNCTION("""COMPUTED_VALUE"""),"Gibert")</f>
        <v>Gibert</v>
      </c>
      <c r="E51" s="43" t="str">
        <f>IFERROR(__xludf.DUMMYFUNCTION("""COMPUTED_VALUE"""),"CABA")</f>
        <v>CABA</v>
      </c>
      <c r="F51" s="7" t="str">
        <f>IFERROR(__xludf.DUMMYFUNCTION("""COMPUTED_VALUE"""),"ARG")</f>
        <v>ARG</v>
      </c>
      <c r="G51" s="7">
        <f>IFERROR(__xludf.DUMMYFUNCTION("""COMPUTED_VALUE"""),4.9759489E7)</f>
        <v>49759489</v>
      </c>
      <c r="H51" s="44">
        <f>IFERROR(__xludf.DUMMYFUNCTION("""COMPUTED_VALUE"""),40106.0)</f>
        <v>40106</v>
      </c>
      <c r="I51" s="45">
        <f>IFERROR(__xludf.DUMMYFUNCTION("""COMPUTED_VALUE"""),1.164117291E9)</f>
        <v>1164117291</v>
      </c>
      <c r="J51" s="45" t="str">
        <f>IFERROR(__xludf.DUMMYFUNCTION("""COMPUTED_VALUE"""),"idem")</f>
        <v>idem</v>
      </c>
      <c r="K51" s="45" t="str">
        <f>IFERROR(__xludf.DUMMYFUNCTION("""COMPUTED_VALUE"""),"marianogibert3@gmail.com")</f>
        <v>marianogibert3@gmail.com</v>
      </c>
      <c r="L51" s="45" t="str">
        <f>IFERROR(__xludf.DUMMYFUNCTION("""COMPUTED_VALUE"""),"Femenino")</f>
        <v>Femenino</v>
      </c>
      <c r="M51" s="54" t="str">
        <f>IFERROR(__xludf.DUMMYFUNCTION("""COMPUTED_VALUE"""),"CUBA")</f>
        <v>CUBA</v>
      </c>
      <c r="N51" s="45"/>
      <c r="O51" s="45" t="str">
        <f>IFERROR(__xludf.DUMMYFUNCTION("""COMPUTED_VALUE"""),"OPTIMIST TIMONELES")</f>
        <v>OPTIMIST TIMONELES</v>
      </c>
      <c r="P51" s="45"/>
      <c r="Q51" s="7">
        <f>IFERROR(__xludf.DUMMYFUNCTION("""COMPUTED_VALUE"""),3995.0)</f>
        <v>3995</v>
      </c>
      <c r="R51" s="45"/>
      <c r="S51" s="45"/>
      <c r="T51" s="45"/>
      <c r="U51" s="45"/>
      <c r="V51" s="45"/>
      <c r="W51" s="45"/>
      <c r="X51" s="45"/>
      <c r="Y51" s="45" t="str">
        <f>IFERROR(__xludf.DUMMYFUNCTION("""COMPUTED_VALUE"""),"Swiss Medical 8000067256809 03 1040")</f>
        <v>Swiss Medical 8000067256809 03 1040</v>
      </c>
      <c r="Z51" s="7" t="str">
        <f>IFERROR(__xludf.DUMMYFUNCTION("""COMPUTED_VALUE"""),"No")</f>
        <v>No</v>
      </c>
      <c r="AA51" s="7" t="str">
        <f>IFERROR(__xludf.DUMMYFUNCTION("""COMPUTED_VALUE"""),"Acepto")</f>
        <v>Acepto</v>
      </c>
      <c r="AB51" s="7" t="str">
        <f>IFERROR(__xludf.DUMMYFUNCTION("""COMPUTED_VALUE"""),"Terminado")</f>
        <v>Terminado</v>
      </c>
      <c r="AC51" s="7">
        <f>IFERROR(__xludf.DUMMYFUNCTION("""COMPUTED_VALUE"""),50000.0)</f>
        <v>50000</v>
      </c>
      <c r="AD51" s="7">
        <f>IFERROR(__xludf.DUMMYFUNCTION("""COMPUTED_VALUE"""),205621.0)</f>
        <v>205621</v>
      </c>
      <c r="AE51" s="45" t="str">
        <f>IFERROR(__xludf.DUMMYFUNCTION("""COMPUTED_VALUE"""),"Tarj 11-09")</f>
        <v>Tarj 11-09</v>
      </c>
      <c r="AF51" s="7" t="str">
        <f>IFERROR(__xludf.DUMMYFUNCTION("""COMPUTED_VALUE"""),"OK")</f>
        <v>OK</v>
      </c>
      <c r="AG51" s="7"/>
      <c r="AH51" s="7"/>
      <c r="AI51" s="7"/>
    </row>
    <row r="52">
      <c r="B52" s="83">
        <f>IFERROR(__xludf.DUMMYFUNCTION("""COMPUTED_VALUE"""),45538.46337054398)</f>
        <v>45538.46337</v>
      </c>
      <c r="C52" s="43" t="str">
        <f>IFERROR(__xludf.DUMMYFUNCTION("""COMPUTED_VALUE"""),"Fermin")</f>
        <v>Fermin</v>
      </c>
      <c r="D52" s="43" t="str">
        <f>IFERROR(__xludf.DUMMYFUNCTION("""COMPUTED_VALUE"""),"Gibert")</f>
        <v>Gibert</v>
      </c>
      <c r="E52" s="43" t="str">
        <f>IFERROR(__xludf.DUMMYFUNCTION("""COMPUTED_VALUE"""),"CABA")</f>
        <v>CABA</v>
      </c>
      <c r="F52" s="7" t="str">
        <f>IFERROR(__xludf.DUMMYFUNCTION("""COMPUTED_VALUE"""),"ARG")</f>
        <v>ARG</v>
      </c>
      <c r="G52" s="7">
        <f>IFERROR(__xludf.DUMMYFUNCTION("""COMPUTED_VALUE"""),5.2861772E7)</f>
        <v>52861772</v>
      </c>
      <c r="H52" s="44">
        <f>IFERROR(__xludf.DUMMYFUNCTION("""COMPUTED_VALUE"""),41269.0)</f>
        <v>41269</v>
      </c>
      <c r="I52" s="45">
        <f>IFERROR(__xludf.DUMMYFUNCTION("""COMPUTED_VALUE"""),1.164117291E9)</f>
        <v>1164117291</v>
      </c>
      <c r="J52" s="45" t="str">
        <f>IFERROR(__xludf.DUMMYFUNCTION("""COMPUTED_VALUE"""),"idem")</f>
        <v>idem</v>
      </c>
      <c r="K52" s="45" t="str">
        <f>IFERROR(__xludf.DUMMYFUNCTION("""COMPUTED_VALUE"""),"marianogibert3@gmail.com")</f>
        <v>marianogibert3@gmail.com</v>
      </c>
      <c r="L52" s="45" t="str">
        <f>IFERROR(__xludf.DUMMYFUNCTION("""COMPUTED_VALUE"""),"Masculino")</f>
        <v>Masculino</v>
      </c>
      <c r="M52" s="54" t="str">
        <f>IFERROR(__xludf.DUMMYFUNCTION("""COMPUTED_VALUE"""),"CUBA")</f>
        <v>CUBA</v>
      </c>
      <c r="N52" s="45"/>
      <c r="O52" s="45" t="str">
        <f>IFERROR(__xludf.DUMMYFUNCTION("""COMPUTED_VALUE"""),"OPTIMIST TIMONELES")</f>
        <v>OPTIMIST TIMONELES</v>
      </c>
      <c r="P52" s="45"/>
      <c r="Q52" s="7">
        <f>IFERROR(__xludf.DUMMYFUNCTION("""COMPUTED_VALUE"""),3645.0)</f>
        <v>3645</v>
      </c>
      <c r="R52" s="45"/>
      <c r="S52" s="45"/>
      <c r="T52" s="45"/>
      <c r="U52" s="45"/>
      <c r="V52" s="45"/>
      <c r="W52" s="45"/>
      <c r="X52" s="45"/>
      <c r="Y52" s="45" t="str">
        <f>IFERROR(__xludf.DUMMYFUNCTION("""COMPUTED_VALUE"""),"Swiss Medical 800006 7256809 04 1015")</f>
        <v>Swiss Medical 800006 7256809 04 1015</v>
      </c>
      <c r="Z52" s="7" t="str">
        <f>IFERROR(__xludf.DUMMYFUNCTION("""COMPUTED_VALUE"""),"No")</f>
        <v>No</v>
      </c>
      <c r="AA52" s="7" t="str">
        <f>IFERROR(__xludf.DUMMYFUNCTION("""COMPUTED_VALUE"""),"Acepto")</f>
        <v>Acepto</v>
      </c>
      <c r="AB52" s="7" t="str">
        <f>IFERROR(__xludf.DUMMYFUNCTION("""COMPUTED_VALUE"""),"Terminado")</f>
        <v>Terminado</v>
      </c>
      <c r="AC52" s="7">
        <f>IFERROR(__xludf.DUMMYFUNCTION("""COMPUTED_VALUE"""),50000.0)</f>
        <v>50000</v>
      </c>
      <c r="AD52" s="7">
        <f>IFERROR(__xludf.DUMMYFUNCTION("""COMPUTED_VALUE"""),205621.0)</f>
        <v>205621</v>
      </c>
      <c r="AE52" s="45" t="str">
        <f>IFERROR(__xludf.DUMMYFUNCTION("""COMPUTED_VALUE"""),"Tarj 11-09")</f>
        <v>Tarj 11-09</v>
      </c>
      <c r="AF52" s="7" t="str">
        <f>IFERROR(__xludf.DUMMYFUNCTION("""COMPUTED_VALUE"""),"OK")</f>
        <v>OK</v>
      </c>
      <c r="AG52" s="7"/>
      <c r="AH52" s="7"/>
      <c r="AI52" s="7"/>
    </row>
    <row r="53">
      <c r="B53" s="83">
        <f>IFERROR(__xludf.DUMMYFUNCTION("""COMPUTED_VALUE"""),45530.45633755787)</f>
        <v>45530.45634</v>
      </c>
      <c r="C53" s="43" t="str">
        <f>IFERROR(__xludf.DUMMYFUNCTION("""COMPUTED_VALUE"""),"Salvador")</f>
        <v>Salvador</v>
      </c>
      <c r="D53" s="43" t="str">
        <f>IFERROR(__xludf.DUMMYFUNCTION("""COMPUTED_VALUE"""),"Goldenberg")</f>
        <v>Goldenberg</v>
      </c>
      <c r="E53" s="43" t="str">
        <f>IFERROR(__xludf.DUMMYFUNCTION("""COMPUTED_VALUE"""),"La Plata")</f>
        <v>La Plata</v>
      </c>
      <c r="F53" s="7" t="str">
        <f>IFERROR(__xludf.DUMMYFUNCTION("""COMPUTED_VALUE"""),"ARG")</f>
        <v>ARG</v>
      </c>
      <c r="G53" s="7">
        <f>IFERROR(__xludf.DUMMYFUNCTION("""COMPUTED_VALUE"""),4.9435224E7)</f>
        <v>49435224</v>
      </c>
      <c r="H53" s="44">
        <f>IFERROR(__xludf.DUMMYFUNCTION("""COMPUTED_VALUE"""),39910.0)</f>
        <v>39910</v>
      </c>
      <c r="I53" s="45" t="str">
        <f>IFERROR(__xludf.DUMMYFUNCTION("""COMPUTED_VALUE"""),"+54 911 49353140")</f>
        <v>+54 911 49353140</v>
      </c>
      <c r="J53" s="45" t="str">
        <f>IFERROR(__xludf.DUMMYFUNCTION("""COMPUTED_VALUE"""),"+54 911 68279679")</f>
        <v>+54 911 68279679</v>
      </c>
      <c r="K53" s="45" t="str">
        <f>IFERROR(__xludf.DUMMYFUNCTION("""COMPUTED_VALUE"""),"demiangoldenberg@gmail.com")</f>
        <v>demiangoldenberg@gmail.com</v>
      </c>
      <c r="L53" s="45" t="str">
        <f>IFERROR(__xludf.DUMMYFUNCTION("""COMPUTED_VALUE"""),"Masculino")</f>
        <v>Masculino</v>
      </c>
      <c r="M53" s="54" t="str">
        <f>IFERROR(__xludf.DUMMYFUNCTION("""COMPUTED_VALUE"""),"CRLP")</f>
        <v>CRLP</v>
      </c>
      <c r="N53" s="45"/>
      <c r="O53" s="45" t="str">
        <f>IFERROR(__xludf.DUMMYFUNCTION("""COMPUTED_VALUE"""),"OPTIMIST TIMONELES")</f>
        <v>OPTIMIST TIMONELES</v>
      </c>
      <c r="P53" s="45"/>
      <c r="Q53" s="7">
        <f>IFERROR(__xludf.DUMMYFUNCTION("""COMPUTED_VALUE"""),3753.0)</f>
        <v>3753</v>
      </c>
      <c r="R53" s="45"/>
      <c r="S53" s="45"/>
      <c r="T53" s="45"/>
      <c r="U53" s="45"/>
      <c r="V53" s="45"/>
      <c r="W53" s="45"/>
      <c r="X53" s="45"/>
      <c r="Y53" s="45" t="str">
        <f>IFERROR(__xludf.DUMMYFUNCTION("""COMPUTED_VALUE"""),"14543002 DOSUBA")</f>
        <v>14543002 DOSUBA</v>
      </c>
      <c r="Z53" s="7" t="str">
        <f>IFERROR(__xludf.DUMMYFUNCTION("""COMPUTED_VALUE"""),"Si")</f>
        <v>Si</v>
      </c>
      <c r="AA53" s="7" t="str">
        <f>IFERROR(__xludf.DUMMYFUNCTION("""COMPUTED_VALUE"""),"Acepto")</f>
        <v>Acepto</v>
      </c>
      <c r="AB53" s="7" t="str">
        <f>IFERROR(__xludf.DUMMYFUNCTION("""COMPUTED_VALUE"""),"Terminado")</f>
        <v>Terminado</v>
      </c>
      <c r="AC53" s="7">
        <f>IFERROR(__xludf.DUMMYFUNCTION("""COMPUTED_VALUE"""),60000.0)</f>
        <v>60000</v>
      </c>
      <c r="AD53" s="7">
        <f>IFERROR(__xludf.DUMMYFUNCTION("""COMPUTED_VALUE"""),205052.0)</f>
        <v>205052</v>
      </c>
      <c r="AE53" s="45" t="str">
        <f>IFERROR(__xludf.DUMMYFUNCTION("""COMPUTED_VALUE"""),"TRF 23-08")</f>
        <v>TRF 23-08</v>
      </c>
      <c r="AF53" s="7" t="str">
        <f>IFERROR(__xludf.DUMMYFUNCTION("""COMPUTED_VALUE"""),"OK")</f>
        <v>OK</v>
      </c>
      <c r="AG53" s="7"/>
      <c r="AH53" s="7"/>
      <c r="AI53" s="7"/>
    </row>
    <row r="54">
      <c r="B54" s="83">
        <f>IFERROR(__xludf.DUMMYFUNCTION("""COMPUTED_VALUE"""),45537.74866442129)</f>
        <v>45537.74866</v>
      </c>
      <c r="C54" s="43" t="str">
        <f>IFERROR(__xludf.DUMMYFUNCTION("""COMPUTED_VALUE"""),"Miranda")</f>
        <v>Miranda</v>
      </c>
      <c r="D54" s="43" t="str">
        <f>IFERROR(__xludf.DUMMYFUNCTION("""COMPUTED_VALUE"""),"Goncalves borrega")</f>
        <v>Goncalves borrega</v>
      </c>
      <c r="E54" s="43" t="str">
        <f>IFERROR(__xludf.DUMMYFUNCTION("""COMPUTED_VALUE"""),"Montevideo")</f>
        <v>Montevideo</v>
      </c>
      <c r="F54" s="7" t="str">
        <f>IFERROR(__xludf.DUMMYFUNCTION("""COMPUTED_VALUE"""),"URU")</f>
        <v>URU</v>
      </c>
      <c r="G54" s="7">
        <f>IFERROR(__xludf.DUMMYFUNCTION("""COMPUTED_VALUE"""),5.7934674E7)</f>
        <v>57934674</v>
      </c>
      <c r="H54" s="44">
        <f>IFERROR(__xludf.DUMMYFUNCTION("""COMPUTED_VALUE"""),39927.0)</f>
        <v>39927</v>
      </c>
      <c r="I54" s="45" t="str">
        <f>IFERROR(__xludf.DUMMYFUNCTION("""COMPUTED_VALUE"""),"099659292")</f>
        <v>099659292</v>
      </c>
      <c r="J54" s="45" t="str">
        <f>IFERROR(__xludf.DUMMYFUNCTION("""COMPUTED_VALUE"""),"099659292")</f>
        <v>099659292</v>
      </c>
      <c r="K54" s="45" t="str">
        <f>IFERROR(__xludf.DUMMYFUNCTION("""COMPUTED_VALUE"""),"lauracotelo@gmail.com")</f>
        <v>lauracotelo@gmail.com</v>
      </c>
      <c r="L54" s="45" t="str">
        <f>IFERROR(__xludf.DUMMYFUNCTION("""COMPUTED_VALUE"""),"Femenino")</f>
        <v>Femenino</v>
      </c>
      <c r="M54" s="45" t="str">
        <f>IFERROR(__xludf.DUMMYFUNCTION("""COMPUTED_VALUE"""),"Nyc")</f>
        <v>Nyc</v>
      </c>
      <c r="N54" s="45" t="str">
        <f>IFERROR(__xludf.DUMMYFUNCTION("""COMPUTED_VALUE"""),"Femenino, Interior (Optimist)")</f>
        <v>Femenino, Interior (Optimist)</v>
      </c>
      <c r="O54" s="45" t="str">
        <f>IFERROR(__xludf.DUMMYFUNCTION("""COMPUTED_VALUE"""),"OPTIMIST TIMONELES")</f>
        <v>OPTIMIST TIMONELES</v>
      </c>
      <c r="P54" s="45"/>
      <c r="Q54" s="7">
        <f>IFERROR(__xludf.DUMMYFUNCTION("""COMPUTED_VALUE"""),347.0)</f>
        <v>347</v>
      </c>
      <c r="R54" s="45" t="str">
        <f>IFERROR(__xludf.DUMMYFUNCTION("""COMPUTED_VALUE"""),"Boyante")</f>
        <v>Boyante</v>
      </c>
      <c r="S54" s="45" t="str">
        <f>IFERROR(__xludf.DUMMYFUNCTION("""COMPUTED_VALUE"""),"Miranda Goncalves")</f>
        <v>Miranda Goncalves</v>
      </c>
      <c r="T54" s="45"/>
      <c r="U54" s="45"/>
      <c r="V54" s="45"/>
      <c r="W54" s="45"/>
      <c r="X54" s="45"/>
      <c r="Y54" s="45"/>
      <c r="Z54" s="7" t="str">
        <f>IFERROR(__xludf.DUMMYFUNCTION("""COMPUTED_VALUE"""),"Si")</f>
        <v>Si</v>
      </c>
      <c r="AA54" s="7" t="str">
        <f>IFERROR(__xludf.DUMMYFUNCTION("""COMPUTED_VALUE"""),"Acepto")</f>
        <v>Acepto</v>
      </c>
      <c r="AB54" s="7" t="str">
        <f>IFERROR(__xludf.DUMMYFUNCTION("""COMPUTED_VALUE"""),"Terminado")</f>
        <v>Terminado</v>
      </c>
      <c r="AC54" s="7">
        <f>IFERROR(__xludf.DUMMYFUNCTION("""COMPUTED_VALUE"""),42500.0)</f>
        <v>42500</v>
      </c>
      <c r="AD54" s="7">
        <f>IFERROR(__xludf.DUMMYFUNCTION("""COMPUTED_VALUE"""),205391.0)</f>
        <v>205391</v>
      </c>
      <c r="AE54" s="45" t="str">
        <f>IFERROR(__xludf.DUMMYFUNCTION("""COMPUTED_VALUE"""),"TRF 02-09")</f>
        <v>TRF 02-09</v>
      </c>
      <c r="AF54" s="7" t="str">
        <f>IFERROR(__xludf.DUMMYFUNCTION("""COMPUTED_VALUE"""),"OK")</f>
        <v>OK</v>
      </c>
      <c r="AG54" s="7" t="str">
        <f>IFERROR(__xludf.DUMMYFUNCTION("""COMPUTED_VALUE"""),"SI")</f>
        <v>SI</v>
      </c>
      <c r="AH54" s="7"/>
      <c r="AI54" s="7"/>
    </row>
    <row r="55">
      <c r="B55" s="83">
        <f>IFERROR(__xludf.DUMMYFUNCTION("""COMPUTED_VALUE"""),45537.75078037037)</f>
        <v>45537.75078</v>
      </c>
      <c r="C55" s="43" t="str">
        <f>IFERROR(__xludf.DUMMYFUNCTION("""COMPUTED_VALUE"""),"Matilda")</f>
        <v>Matilda</v>
      </c>
      <c r="D55" s="43" t="str">
        <f>IFERROR(__xludf.DUMMYFUNCTION("""COMPUTED_VALUE"""),"Goncalves Borrega")</f>
        <v>Goncalves Borrega</v>
      </c>
      <c r="E55" s="43" t="str">
        <f>IFERROR(__xludf.DUMMYFUNCTION("""COMPUTED_VALUE"""),"Montevideo")</f>
        <v>Montevideo</v>
      </c>
      <c r="F55" s="7" t="str">
        <f>IFERROR(__xludf.DUMMYFUNCTION("""COMPUTED_VALUE"""),"URU")</f>
        <v>URU</v>
      </c>
      <c r="G55" s="7">
        <f>IFERROR(__xludf.DUMMYFUNCTION("""COMPUTED_VALUE"""),5.9259286E7)</f>
        <v>59259286</v>
      </c>
      <c r="H55" s="44">
        <f>IFERROR(__xludf.DUMMYFUNCTION("""COMPUTED_VALUE"""),40771.0)</f>
        <v>40771</v>
      </c>
      <c r="I55" s="45" t="str">
        <f>IFERROR(__xludf.DUMMYFUNCTION("""COMPUTED_VALUE"""),"099659292")</f>
        <v>099659292</v>
      </c>
      <c r="J55" s="45" t="str">
        <f>IFERROR(__xludf.DUMMYFUNCTION("""COMPUTED_VALUE"""),"099659292")</f>
        <v>099659292</v>
      </c>
      <c r="K55" s="45" t="str">
        <f>IFERROR(__xludf.DUMMYFUNCTION("""COMPUTED_VALUE"""),"lauracotelo@gmail.com")</f>
        <v>lauracotelo@gmail.com</v>
      </c>
      <c r="L55" s="45" t="str">
        <f>IFERROR(__xludf.DUMMYFUNCTION("""COMPUTED_VALUE"""),"Femenino")</f>
        <v>Femenino</v>
      </c>
      <c r="M55" s="45" t="str">
        <f>IFERROR(__xludf.DUMMYFUNCTION("""COMPUTED_VALUE"""),"Nyc")</f>
        <v>Nyc</v>
      </c>
      <c r="N55" s="45" t="str">
        <f>IFERROR(__xludf.DUMMYFUNCTION("""COMPUTED_VALUE"""),"Femenino, Interior (Optimist)")</f>
        <v>Femenino, Interior (Optimist)</v>
      </c>
      <c r="O55" s="45" t="str">
        <f>IFERROR(__xludf.DUMMYFUNCTION("""COMPUTED_VALUE"""),"OPTIMIST TIMONELES")</f>
        <v>OPTIMIST TIMONELES</v>
      </c>
      <c r="P55" s="45"/>
      <c r="Q55" s="7">
        <f>IFERROR(__xludf.DUMMYFUNCTION("""COMPUTED_VALUE"""),46.0)</f>
        <v>46</v>
      </c>
      <c r="R55" s="45"/>
      <c r="S55" s="45" t="str">
        <f>IFERROR(__xludf.DUMMYFUNCTION("""COMPUTED_VALUE"""),"Matilda goncalves")</f>
        <v>Matilda goncalves</v>
      </c>
      <c r="T55" s="45"/>
      <c r="U55" s="45"/>
      <c r="V55" s="45"/>
      <c r="W55" s="45"/>
      <c r="X55" s="45"/>
      <c r="Y55" s="45"/>
      <c r="Z55" s="7" t="str">
        <f>IFERROR(__xludf.DUMMYFUNCTION("""COMPUTED_VALUE"""),"Si")</f>
        <v>Si</v>
      </c>
      <c r="AA55" s="7" t="str">
        <f>IFERROR(__xludf.DUMMYFUNCTION("""COMPUTED_VALUE"""),"Acepto")</f>
        <v>Acepto</v>
      </c>
      <c r="AB55" s="7" t="str">
        <f>IFERROR(__xludf.DUMMYFUNCTION("""COMPUTED_VALUE"""),"Terminado")</f>
        <v>Terminado</v>
      </c>
      <c r="AC55" s="7">
        <f>IFERROR(__xludf.DUMMYFUNCTION("""COMPUTED_VALUE"""),42500.0)</f>
        <v>42500</v>
      </c>
      <c r="AD55" s="7">
        <f>IFERROR(__xludf.DUMMYFUNCTION("""COMPUTED_VALUE"""),205391.0)</f>
        <v>205391</v>
      </c>
      <c r="AE55" s="45" t="str">
        <f>IFERROR(__xludf.DUMMYFUNCTION("""COMPUTED_VALUE"""),"TRF 02-09")</f>
        <v>TRF 02-09</v>
      </c>
      <c r="AF55" s="7" t="str">
        <f>IFERROR(__xludf.DUMMYFUNCTION("""COMPUTED_VALUE"""),"Pendiente")</f>
        <v>Pendiente</v>
      </c>
      <c r="AG55" s="7" t="str">
        <f>IFERROR(__xludf.DUMMYFUNCTION("""COMPUTED_VALUE"""),"SI")</f>
        <v>SI</v>
      </c>
      <c r="AH55" s="7"/>
      <c r="AI55" s="7"/>
    </row>
    <row r="56">
      <c r="B56" s="83">
        <f>IFERROR(__xludf.DUMMYFUNCTION("""COMPUTED_VALUE"""),45535.591154236114)</f>
        <v>45535.59115</v>
      </c>
      <c r="C56" s="43" t="str">
        <f>IFERROR(__xludf.DUMMYFUNCTION("""COMPUTED_VALUE"""),"Mateo")</f>
        <v>Mateo</v>
      </c>
      <c r="D56" s="43" t="str">
        <f>IFERROR(__xludf.DUMMYFUNCTION("""COMPUTED_VALUE"""),"Guille")</f>
        <v>Guille</v>
      </c>
      <c r="E56" s="43" t="str">
        <f>IFERROR(__xludf.DUMMYFUNCTION("""COMPUTED_VALUE"""),"Zárate")</f>
        <v>Zárate</v>
      </c>
      <c r="F56" s="7" t="str">
        <f>IFERROR(__xludf.DUMMYFUNCTION("""COMPUTED_VALUE"""),"ARG")</f>
        <v>ARG</v>
      </c>
      <c r="G56" s="7">
        <f>IFERROR(__xludf.DUMMYFUNCTION("""COMPUTED_VALUE"""),5.2136031E7)</f>
        <v>52136031</v>
      </c>
      <c r="H56" s="44">
        <f>IFERROR(__xludf.DUMMYFUNCTION("""COMPUTED_VALUE"""),40917.0)</f>
        <v>40917</v>
      </c>
      <c r="I56" s="45">
        <f>IFERROR(__xludf.DUMMYFUNCTION("""COMPUTED_VALUE"""),3.487536965E9)</f>
        <v>3487536965</v>
      </c>
      <c r="J56" s="45">
        <f>IFERROR(__xludf.DUMMYFUNCTION("""COMPUTED_VALUE"""),3.487471784E9)</f>
        <v>3487471784</v>
      </c>
      <c r="K56" s="45" t="str">
        <f>IFERROR(__xludf.DUMMYFUNCTION("""COMPUTED_VALUE"""),"mcecih@hotmail.com")</f>
        <v>mcecih@hotmail.com</v>
      </c>
      <c r="L56" s="45" t="str">
        <f>IFERROR(__xludf.DUMMYFUNCTION("""COMPUTED_VALUE"""),"Masculino")</f>
        <v>Masculino</v>
      </c>
      <c r="M56" s="45" t="str">
        <f>IFERROR(__xludf.DUMMYFUNCTION("""COMPUTED_VALUE"""),"CNZ")</f>
        <v>CNZ</v>
      </c>
      <c r="N56" s="45" t="str">
        <f>IFERROR(__xludf.DUMMYFUNCTION("""COMPUTED_VALUE"""),"Interior (Optimist)")</f>
        <v>Interior (Optimist)</v>
      </c>
      <c r="O56" s="45" t="str">
        <f>IFERROR(__xludf.DUMMYFUNCTION("""COMPUTED_VALUE"""),"OPTIMIST TIMONELES")</f>
        <v>OPTIMIST TIMONELES</v>
      </c>
      <c r="P56" s="45"/>
      <c r="Q56" s="7">
        <f>IFERROR(__xludf.DUMMYFUNCTION("""COMPUTED_VALUE"""),4093.0)</f>
        <v>4093</v>
      </c>
      <c r="R56" s="45" t="str">
        <f>IFERROR(__xludf.DUMMYFUNCTION("""COMPUTED_VALUE"""),"Capitán Chino")</f>
        <v>Capitán Chino</v>
      </c>
      <c r="S56" s="45"/>
      <c r="T56" s="45"/>
      <c r="U56" s="45"/>
      <c r="V56" s="45"/>
      <c r="W56" s="45"/>
      <c r="X56" s="45"/>
      <c r="Y56" s="45" t="str">
        <f>IFERROR(__xludf.DUMMYFUNCTION("""COMPUTED_VALUE"""),"IOMA ")</f>
        <v>IOMA </v>
      </c>
      <c r="Z56" s="7" t="str">
        <f>IFERROR(__xludf.DUMMYFUNCTION("""COMPUTED_VALUE"""),"Si")</f>
        <v>Si</v>
      </c>
      <c r="AA56" s="7" t="str">
        <f>IFERROR(__xludf.DUMMYFUNCTION("""COMPUTED_VALUE"""),"Acepto")</f>
        <v>Acepto</v>
      </c>
      <c r="AB56" s="7" t="str">
        <f>IFERROR(__xludf.DUMMYFUNCTION("""COMPUTED_VALUE"""),"Terminado")</f>
        <v>Terminado</v>
      </c>
      <c r="AC56" s="7">
        <f>IFERROR(__xludf.DUMMYFUNCTION("""COMPUTED_VALUE"""),50000.0)</f>
        <v>50000</v>
      </c>
      <c r="AD56" s="7">
        <f>IFERROR(__xludf.DUMMYFUNCTION("""COMPUTED_VALUE"""),205336.0)</f>
        <v>205336</v>
      </c>
      <c r="AE56" s="45" t="str">
        <f>IFERROR(__xludf.DUMMYFUNCTION("""COMPUTED_VALUE"""),"TRF01-09")</f>
        <v>TRF01-09</v>
      </c>
      <c r="AF56" s="7" t="str">
        <f>IFERROR(__xludf.DUMMYFUNCTION("""COMPUTED_VALUE"""),"OK")</f>
        <v>OK</v>
      </c>
      <c r="AG56" s="7"/>
      <c r="AH56" s="7"/>
      <c r="AI56" s="7"/>
    </row>
    <row r="57">
      <c r="B57" s="83">
        <f>IFERROR(__xludf.DUMMYFUNCTION("""COMPUTED_VALUE"""),45535.879819131944)</f>
        <v>45535.87982</v>
      </c>
      <c r="C57" s="43" t="str">
        <f>IFERROR(__xludf.DUMMYFUNCTION("""COMPUTED_VALUE"""),"Emilia")</f>
        <v>Emilia</v>
      </c>
      <c r="D57" s="43" t="str">
        <f>IFERROR(__xludf.DUMMYFUNCTION("""COMPUTED_VALUE"""),"Gullo")</f>
        <v>Gullo</v>
      </c>
      <c r="E57" s="43" t="str">
        <f>IFERROR(__xludf.DUMMYFUNCTION("""COMPUTED_VALUE"""),"La Plata")</f>
        <v>La Plata</v>
      </c>
      <c r="F57" s="7" t="str">
        <f>IFERROR(__xludf.DUMMYFUNCTION("""COMPUTED_VALUE"""),"ARG")</f>
        <v>ARG</v>
      </c>
      <c r="G57" s="7">
        <f>IFERROR(__xludf.DUMMYFUNCTION("""COMPUTED_VALUE"""),5.144073E7)</f>
        <v>51440730</v>
      </c>
      <c r="H57" s="44">
        <f>IFERROR(__xludf.DUMMYFUNCTION("""COMPUTED_VALUE"""),40834.0)</f>
        <v>40834</v>
      </c>
      <c r="I57" s="45">
        <f>IFERROR(__xludf.DUMMYFUNCTION("""COMPUTED_VALUE"""),2.215659991E9)</f>
        <v>2215659991</v>
      </c>
      <c r="J57" s="45">
        <f>IFERROR(__xludf.DUMMYFUNCTION("""COMPUTED_VALUE"""),2.215659991E9)</f>
        <v>2215659991</v>
      </c>
      <c r="K57" s="45" t="str">
        <f>IFERROR(__xludf.DUMMYFUNCTION("""COMPUTED_VALUE"""),"maxigullo@gmail.com")</f>
        <v>maxigullo@gmail.com</v>
      </c>
      <c r="L57" s="45" t="str">
        <f>IFERROR(__xludf.DUMMYFUNCTION("""COMPUTED_VALUE"""),"Femenino")</f>
        <v>Femenino</v>
      </c>
      <c r="M57" s="45" t="str">
        <f>IFERROR(__xludf.DUMMYFUNCTION("""COMPUTED_VALUE"""),"CRLP")</f>
        <v>CRLP</v>
      </c>
      <c r="N57" s="45" t="str">
        <f>IFERROR(__xludf.DUMMYFUNCTION("""COMPUTED_VALUE"""),"Femenino")</f>
        <v>Femenino</v>
      </c>
      <c r="O57" s="45" t="str">
        <f>IFERROR(__xludf.DUMMYFUNCTION("""COMPUTED_VALUE"""),"OPTIMIST TIMONELES")</f>
        <v>OPTIMIST TIMONELES</v>
      </c>
      <c r="P57" s="45"/>
      <c r="Q57" s="7">
        <f>IFERROR(__xludf.DUMMYFUNCTION("""COMPUTED_VALUE"""),3590.0)</f>
        <v>3590</v>
      </c>
      <c r="R57" s="45" t="str">
        <f>IFERROR(__xludf.DUMMYFUNCTION("""COMPUTED_VALUE"""),"Perseo")</f>
        <v>Perseo</v>
      </c>
      <c r="S57" s="45"/>
      <c r="T57" s="45"/>
      <c r="U57" s="45"/>
      <c r="V57" s="45"/>
      <c r="W57" s="45"/>
      <c r="X57" s="45"/>
      <c r="Y57" s="45" t="str">
        <f>IFERROR(__xludf.DUMMYFUNCTION("""COMPUTED_VALUE"""),"IOMA")</f>
        <v>IOMA</v>
      </c>
      <c r="Z57" s="7" t="str">
        <f>IFERROR(__xludf.DUMMYFUNCTION("""COMPUTED_VALUE"""),"Si")</f>
        <v>Si</v>
      </c>
      <c r="AA57" s="7" t="str">
        <f>IFERROR(__xludf.DUMMYFUNCTION("""COMPUTED_VALUE"""),"Acepto")</f>
        <v>Acepto</v>
      </c>
      <c r="AB57" s="7" t="str">
        <f>IFERROR(__xludf.DUMMYFUNCTION("""COMPUTED_VALUE"""),"Terminado")</f>
        <v>Terminado</v>
      </c>
      <c r="AC57" s="7">
        <f>IFERROR(__xludf.DUMMYFUNCTION("""COMPUTED_VALUE"""),50000.0)</f>
        <v>50000</v>
      </c>
      <c r="AD57" s="7">
        <f>IFERROR(__xludf.DUMMYFUNCTION("""COMPUTED_VALUE"""),205341.0)</f>
        <v>205341</v>
      </c>
      <c r="AE57" s="45" t="str">
        <f>IFERROR(__xludf.DUMMYFUNCTION("""COMPUTED_VALUE"""),"TRF 31-08")</f>
        <v>TRF 31-08</v>
      </c>
      <c r="AF57" s="7" t="str">
        <f>IFERROR(__xludf.DUMMYFUNCTION("""COMPUTED_VALUE"""),"OK")</f>
        <v>OK</v>
      </c>
      <c r="AG57" s="7"/>
      <c r="AH57" s="7"/>
      <c r="AI57" s="7"/>
    </row>
    <row r="58">
      <c r="B58" s="83">
        <f>IFERROR(__xludf.DUMMYFUNCTION("""COMPUTED_VALUE"""),45534.59747461806)</f>
        <v>45534.59747</v>
      </c>
      <c r="C58" s="43" t="str">
        <f>IFERROR(__xludf.DUMMYFUNCTION("""COMPUTED_VALUE"""),"Inés ")</f>
        <v>Inés </v>
      </c>
      <c r="D58" s="43" t="str">
        <f>IFERROR(__xludf.DUMMYFUNCTION("""COMPUTED_VALUE"""),"Hernández ")</f>
        <v>Hernández </v>
      </c>
      <c r="E58" s="43" t="str">
        <f>IFERROR(__xludf.DUMMYFUNCTION("""COMPUTED_VALUE"""),"San Pedro")</f>
        <v>San Pedro</v>
      </c>
      <c r="F58" s="7" t="str">
        <f>IFERROR(__xludf.DUMMYFUNCTION("""COMPUTED_VALUE"""),"ARG")</f>
        <v>ARG</v>
      </c>
      <c r="G58" s="7">
        <f>IFERROR(__xludf.DUMMYFUNCTION("""COMPUTED_VALUE"""),5.3442924E7)</f>
        <v>53442924</v>
      </c>
      <c r="H58" s="44">
        <f>IFERROR(__xludf.DUMMYFUNCTION("""COMPUTED_VALUE"""),41557.0)</f>
        <v>41557</v>
      </c>
      <c r="I58" s="45">
        <f>IFERROR(__xludf.DUMMYFUNCTION("""COMPUTED_VALUE"""),3.329515502E9)</f>
        <v>3329515502</v>
      </c>
      <c r="J58" s="45">
        <f>IFERROR(__xludf.DUMMYFUNCTION("""COMPUTED_VALUE"""),3.329522546E9)</f>
        <v>3329522546</v>
      </c>
      <c r="K58" s="45" t="str">
        <f>IFERROR(__xludf.DUMMYFUNCTION("""COMPUTED_VALUE"""),"rotundosofia@hotmail.com")</f>
        <v>rotundosofia@hotmail.com</v>
      </c>
      <c r="L58" s="45" t="str">
        <f>IFERROR(__xludf.DUMMYFUNCTION("""COMPUTED_VALUE"""),"Femenino")</f>
        <v>Femenino</v>
      </c>
      <c r="M58" s="45" t="str">
        <f>IFERROR(__xludf.DUMMYFUNCTION("""COMPUTED_VALUE"""),"CNSP")</f>
        <v>CNSP</v>
      </c>
      <c r="N58" s="45"/>
      <c r="O58" s="45" t="str">
        <f>IFERROR(__xludf.DUMMYFUNCTION("""COMPUTED_VALUE"""),"OPTIMIST TIMONELES")</f>
        <v>OPTIMIST TIMONELES</v>
      </c>
      <c r="P58" s="45"/>
      <c r="Q58" s="7">
        <f>IFERROR(__xludf.DUMMYFUNCTION("""COMPUTED_VALUE"""),4141.0)</f>
        <v>4141</v>
      </c>
      <c r="R58" s="45"/>
      <c r="S58" s="45"/>
      <c r="T58" s="45"/>
      <c r="U58" s="45"/>
      <c r="V58" s="45"/>
      <c r="W58" s="45"/>
      <c r="X58" s="45"/>
      <c r="Y58" s="45" t="str">
        <f>IFERROR(__xludf.DUMMYFUNCTION("""COMPUTED_VALUE"""),"Accord Dorado ")</f>
        <v>Accord Dorado </v>
      </c>
      <c r="Z58" s="7" t="str">
        <f>IFERROR(__xludf.DUMMYFUNCTION("""COMPUTED_VALUE"""),"Si")</f>
        <v>Si</v>
      </c>
      <c r="AA58" s="7" t="str">
        <f>IFERROR(__xludf.DUMMYFUNCTION("""COMPUTED_VALUE"""),"Acepto")</f>
        <v>Acepto</v>
      </c>
      <c r="AB58" s="7" t="str">
        <f>IFERROR(__xludf.DUMMYFUNCTION("""COMPUTED_VALUE"""),"Terminado")</f>
        <v>Terminado</v>
      </c>
      <c r="AC58" s="7">
        <f>IFERROR(__xludf.DUMMYFUNCTION("""COMPUTED_VALUE"""),50000.0)</f>
        <v>50000</v>
      </c>
      <c r="AD58" s="7">
        <f>IFERROR(__xludf.DUMMYFUNCTION("""COMPUTED_VALUE"""),205106.0)</f>
        <v>205106</v>
      </c>
      <c r="AE58" s="45" t="str">
        <f>IFERROR(__xludf.DUMMYFUNCTION("""COMPUTED_VALUE"""),"TRF 30-08")</f>
        <v>TRF 30-08</v>
      </c>
      <c r="AF58" s="7" t="str">
        <f>IFERROR(__xludf.DUMMYFUNCTION("""COMPUTED_VALUE"""),"OK")</f>
        <v>OK</v>
      </c>
      <c r="AG58" s="7"/>
      <c r="AH58" s="7"/>
      <c r="AI58" s="7"/>
    </row>
    <row r="59">
      <c r="B59" s="83">
        <f>IFERROR(__xludf.DUMMYFUNCTION("""COMPUTED_VALUE"""),45538.47685523148)</f>
        <v>45538.47686</v>
      </c>
      <c r="C59" s="43" t="str">
        <f>IFERROR(__xludf.DUMMYFUNCTION("""COMPUTED_VALUE"""),"Brandon")</f>
        <v>Brandon</v>
      </c>
      <c r="D59" s="43" t="str">
        <f>IFERROR(__xludf.DUMMYFUNCTION("""COMPUTED_VALUE"""),"Herrera Barrera")</f>
        <v>Herrera Barrera</v>
      </c>
      <c r="E59" s="43" t="str">
        <f>IFERROR(__xludf.DUMMYFUNCTION("""COMPUTED_VALUE"""),"San Isidro")</f>
        <v>San Isidro</v>
      </c>
      <c r="F59" s="7" t="str">
        <f>IFERROR(__xludf.DUMMYFUNCTION("""COMPUTED_VALUE"""),"ARG")</f>
        <v>ARG</v>
      </c>
      <c r="G59" s="7">
        <f>IFERROR(__xludf.DUMMYFUNCTION("""COMPUTED_VALUE"""),4.9264184E7)</f>
        <v>49264184</v>
      </c>
      <c r="H59" s="44">
        <f>IFERROR(__xludf.DUMMYFUNCTION("""COMPUTED_VALUE"""),39876.0)</f>
        <v>39876</v>
      </c>
      <c r="I59" s="45" t="str">
        <f>IFERROR(__xludf.DUMMYFUNCTION("""COMPUTED_VALUE"""),"+54 9 11 3394-3846")</f>
        <v>+54 9 11 3394-3846</v>
      </c>
      <c r="J59" s="45"/>
      <c r="K59" s="45" t="str">
        <f>IFERROR(__xludf.DUMMYFUNCTION("""COMPUTED_VALUE"""),"ignacio.varisco@gmail.com")</f>
        <v>ignacio.varisco@gmail.com</v>
      </c>
      <c r="L59" s="45" t="str">
        <f>IFERROR(__xludf.DUMMYFUNCTION("""COMPUTED_VALUE"""),"Masculino")</f>
        <v>Masculino</v>
      </c>
      <c r="M59" s="45" t="str">
        <f>IFERROR(__xludf.DUMMYFUNCTION("""COMPUTED_VALUE"""),"CPNLB- CBRIO")</f>
        <v>CPNLB- CBRIO</v>
      </c>
      <c r="N59" s="45"/>
      <c r="O59" s="45" t="str">
        <f>IFERROR(__xludf.DUMMYFUNCTION("""COMPUTED_VALUE"""),"OPTIMIST TIMONELES")</f>
        <v>OPTIMIST TIMONELES</v>
      </c>
      <c r="P59" s="45"/>
      <c r="Q59" s="7" t="str">
        <f>IFERROR(__xludf.DUMMYFUNCTION("""COMPUTED_VALUE"""),"ARG 3513")</f>
        <v>ARG 3513</v>
      </c>
      <c r="R59" s="45" t="str">
        <f>IFERROR(__xludf.DUMMYFUNCTION("""COMPUTED_VALUE"""),"Tronador")</f>
        <v>Tronador</v>
      </c>
      <c r="S59" s="45"/>
      <c r="T59" s="45"/>
      <c r="U59" s="45"/>
      <c r="V59" s="45"/>
      <c r="W59" s="45"/>
      <c r="X59" s="45"/>
      <c r="Y59" s="45"/>
      <c r="Z59" s="7" t="str">
        <f>IFERROR(__xludf.DUMMYFUNCTION("""COMPUTED_VALUE"""),"Si")</f>
        <v>Si</v>
      </c>
      <c r="AA59" s="7" t="str">
        <f>IFERROR(__xludf.DUMMYFUNCTION("""COMPUTED_VALUE"""),"Acepto")</f>
        <v>Acepto</v>
      </c>
      <c r="AB59" s="7" t="str">
        <f>IFERROR(__xludf.DUMMYFUNCTION("""COMPUTED_VALUE"""),"Terminado")</f>
        <v>Terminado</v>
      </c>
      <c r="AC59" s="7"/>
      <c r="AD59" s="7"/>
      <c r="AE59" s="45" t="str">
        <f>IFERROR(__xludf.DUMMYFUNCTION("""COMPUTED_VALUE"""),"Beca CBrrio")</f>
        <v>Beca CBrrio</v>
      </c>
      <c r="AF59" s="7" t="str">
        <f>IFERROR(__xludf.DUMMYFUNCTION("""COMPUTED_VALUE"""),"OK")</f>
        <v>OK</v>
      </c>
      <c r="AG59" s="7" t="str">
        <f>IFERROR(__xludf.DUMMYFUNCTION("""COMPUTED_VALUE"""),"SI")</f>
        <v>SI</v>
      </c>
      <c r="AH59" s="7"/>
      <c r="AI59" s="7"/>
    </row>
    <row r="60">
      <c r="B60" s="83">
        <f>IFERROR(__xludf.DUMMYFUNCTION("""COMPUTED_VALUE"""),45525.60530859954)</f>
        <v>45525.60531</v>
      </c>
      <c r="C60" s="43" t="str">
        <f>IFERROR(__xludf.DUMMYFUNCTION("""COMPUTED_VALUE"""),"Francisco")</f>
        <v>Francisco</v>
      </c>
      <c r="D60" s="43" t="str">
        <f>IFERROR(__xludf.DUMMYFUNCTION("""COMPUTED_VALUE"""),"Krenek")</f>
        <v>Krenek</v>
      </c>
      <c r="E60" s="43" t="str">
        <f>IFERROR(__xludf.DUMMYFUNCTION("""COMPUTED_VALUE"""),"VICENTE LOPEZ")</f>
        <v>VICENTE LOPEZ</v>
      </c>
      <c r="F60" s="7" t="str">
        <f>IFERROR(__xludf.DUMMYFUNCTION("""COMPUTED_VALUE"""),"ARG")</f>
        <v>ARG</v>
      </c>
      <c r="G60" s="7">
        <f>IFERROR(__xludf.DUMMYFUNCTION("""COMPUTED_VALUE"""),5.2856304E7)</f>
        <v>52856304</v>
      </c>
      <c r="H60" s="44">
        <f>IFERROR(__xludf.DUMMYFUNCTION("""COMPUTED_VALUE"""),41238.0)</f>
        <v>41238</v>
      </c>
      <c r="I60" s="45">
        <f>IFERROR(__xludf.DUMMYFUNCTION("""COMPUTED_VALUE"""),1.165688066E9)</f>
        <v>1165688066</v>
      </c>
      <c r="J60" s="45">
        <f>IFERROR(__xludf.DUMMYFUNCTION("""COMPUTED_VALUE"""),1.162859402E9)</f>
        <v>1162859402</v>
      </c>
      <c r="K60" s="45" t="str">
        <f>IFERROR(__xludf.DUMMYFUNCTION("""COMPUTED_VALUE"""),"carloskrenek@yahoo.com.ar")</f>
        <v>carloskrenek@yahoo.com.ar</v>
      </c>
      <c r="L60" s="45" t="str">
        <f>IFERROR(__xludf.DUMMYFUNCTION("""COMPUTED_VALUE"""),"Masculino")</f>
        <v>Masculino</v>
      </c>
      <c r="M60" s="45" t="str">
        <f>IFERROR(__xludf.DUMMYFUNCTION("""COMPUTED_VALUE"""),"YCO")</f>
        <v>YCO</v>
      </c>
      <c r="N60" s="45"/>
      <c r="O60" s="45" t="str">
        <f>IFERROR(__xludf.DUMMYFUNCTION("""COMPUTED_VALUE"""),"OPTIMIST TIMONELES")</f>
        <v>OPTIMIST TIMONELES</v>
      </c>
      <c r="P60" s="45"/>
      <c r="Q60" s="7" t="str">
        <f>IFERROR(__xludf.DUMMYFUNCTION("""COMPUTED_VALUE"""),"ARG 3817")</f>
        <v>ARG 3817</v>
      </c>
      <c r="R60" s="45"/>
      <c r="S60" s="45"/>
      <c r="T60" s="45"/>
      <c r="U60" s="45"/>
      <c r="V60" s="45"/>
      <c r="W60" s="45"/>
      <c r="X60" s="45"/>
      <c r="Y60" s="45" t="str">
        <f>IFERROR(__xludf.DUMMYFUNCTION("""COMPUTED_VALUE"""),"OSDE")</f>
        <v>OSDE</v>
      </c>
      <c r="Z60" s="7" t="str">
        <f>IFERROR(__xludf.DUMMYFUNCTION("""COMPUTED_VALUE"""),"Si")</f>
        <v>Si</v>
      </c>
      <c r="AA60" s="7" t="str">
        <f>IFERROR(__xludf.DUMMYFUNCTION("""COMPUTED_VALUE"""),"Acepto")</f>
        <v>Acepto</v>
      </c>
      <c r="AB60" s="7" t="str">
        <f>IFERROR(__xludf.DUMMYFUNCTION("""COMPUTED_VALUE"""),"Terminado")</f>
        <v>Terminado</v>
      </c>
      <c r="AC60" s="7">
        <f>IFERROR(__xludf.DUMMYFUNCTION("""COMPUTED_VALUE"""),60000.0)</f>
        <v>60000</v>
      </c>
      <c r="AD60" s="7">
        <f>IFERROR(__xludf.DUMMYFUNCTION("""COMPUTED_VALUE"""),205016.0)</f>
        <v>205016</v>
      </c>
      <c r="AE60" s="45" t="str">
        <f>IFERROR(__xludf.DUMMYFUNCTION("""COMPUTED_VALUE"""),"TRF 21-08")</f>
        <v>TRF 21-08</v>
      </c>
      <c r="AF60" s="7" t="str">
        <f>IFERROR(__xludf.DUMMYFUNCTION("""COMPUTED_VALUE"""),"OK")</f>
        <v>OK</v>
      </c>
      <c r="AG60" s="7"/>
      <c r="AH60" s="7"/>
      <c r="AI60" s="7"/>
    </row>
    <row r="61">
      <c r="B61" s="83">
        <f>IFERROR(__xludf.DUMMYFUNCTION("""COMPUTED_VALUE"""),45534.659200775466)</f>
        <v>45534.6592</v>
      </c>
      <c r="C61" s="43" t="str">
        <f>IFERROR(__xludf.DUMMYFUNCTION("""COMPUTED_VALUE"""),"Fausto")</f>
        <v>Fausto</v>
      </c>
      <c r="D61" s="43" t="str">
        <f>IFERROR(__xludf.DUMMYFUNCTION("""COMPUTED_VALUE"""),"Lacchini")</f>
        <v>Lacchini</v>
      </c>
      <c r="E61" s="43" t="str">
        <f>IFERROR(__xludf.DUMMYFUNCTION("""COMPUTED_VALUE"""),"La Plata")</f>
        <v>La Plata</v>
      </c>
      <c r="F61" s="7" t="str">
        <f>IFERROR(__xludf.DUMMYFUNCTION("""COMPUTED_VALUE"""),"ARG")</f>
        <v>ARG</v>
      </c>
      <c r="G61" s="7">
        <f>IFERROR(__xludf.DUMMYFUNCTION("""COMPUTED_VALUE"""),5.345604E7)</f>
        <v>53456040</v>
      </c>
      <c r="H61" s="44">
        <f>IFERROR(__xludf.DUMMYFUNCTION("""COMPUTED_VALUE"""),41535.0)</f>
        <v>41535</v>
      </c>
      <c r="I61" s="45">
        <f>IFERROR(__xludf.DUMMYFUNCTION("""COMPUTED_VALUE"""),2.214188871E9)</f>
        <v>2214188871</v>
      </c>
      <c r="J61" s="45">
        <f>IFERROR(__xludf.DUMMYFUNCTION("""COMPUTED_VALUE"""),2.216371227E9)</f>
        <v>2216371227</v>
      </c>
      <c r="K61" s="45" t="str">
        <f>IFERROR(__xludf.DUMMYFUNCTION("""COMPUTED_VALUE"""),"carloslacchini@gmail.com")</f>
        <v>carloslacchini@gmail.com</v>
      </c>
      <c r="L61" s="45" t="str">
        <f>IFERROR(__xludf.DUMMYFUNCTION("""COMPUTED_VALUE"""),"Masculino")</f>
        <v>Masculino</v>
      </c>
      <c r="M61" s="45" t="str">
        <f>IFERROR(__xludf.DUMMYFUNCTION("""COMPUTED_VALUE"""),"CRLP")</f>
        <v>CRLP</v>
      </c>
      <c r="N61" s="45"/>
      <c r="O61" s="45" t="str">
        <f>IFERROR(__xludf.DUMMYFUNCTION("""COMPUTED_VALUE"""),"OPTIMIST TIMONELES")</f>
        <v>OPTIMIST TIMONELES</v>
      </c>
      <c r="P61" s="45"/>
      <c r="Q61" s="7">
        <f>IFERROR(__xludf.DUMMYFUNCTION("""COMPUTED_VALUE"""),3781.0)</f>
        <v>3781</v>
      </c>
      <c r="R61" s="45" t="str">
        <f>IFERROR(__xludf.DUMMYFUNCTION("""COMPUTED_VALUE"""),"Biondina 2.0")</f>
        <v>Biondina 2.0</v>
      </c>
      <c r="S61" s="45"/>
      <c r="T61" s="45"/>
      <c r="U61" s="45"/>
      <c r="V61" s="45"/>
      <c r="W61" s="45"/>
      <c r="X61" s="45"/>
      <c r="Y61" s="45" t="str">
        <f>IFERROR(__xludf.DUMMYFUNCTION("""COMPUTED_VALUE"""),"Galeno 023399760201")</f>
        <v>Galeno 023399760201</v>
      </c>
      <c r="Z61" s="7" t="str">
        <f>IFERROR(__xludf.DUMMYFUNCTION("""COMPUTED_VALUE"""),"Si")</f>
        <v>Si</v>
      </c>
      <c r="AA61" s="7" t="str">
        <f>IFERROR(__xludf.DUMMYFUNCTION("""COMPUTED_VALUE"""),"Acepto")</f>
        <v>Acepto</v>
      </c>
      <c r="AB61" s="7" t="str">
        <f>IFERROR(__xludf.DUMMYFUNCTION("""COMPUTED_VALUE"""),"Terminado")</f>
        <v>Terminado</v>
      </c>
      <c r="AC61" s="7">
        <f>IFERROR(__xludf.DUMMYFUNCTION("""COMPUTED_VALUE"""),50000.0)</f>
        <v>50000</v>
      </c>
      <c r="AD61" s="7">
        <f>IFERROR(__xludf.DUMMYFUNCTION("""COMPUTED_VALUE"""),205101.0)</f>
        <v>205101</v>
      </c>
      <c r="AE61" s="45" t="str">
        <f>IFERROR(__xludf.DUMMYFUNCTION("""COMPUTED_VALUE"""),"TRF 30-08")</f>
        <v>TRF 30-08</v>
      </c>
      <c r="AF61" s="7" t="str">
        <f>IFERROR(__xludf.DUMMYFUNCTION("""COMPUTED_VALUE"""),"OK")</f>
        <v>OK</v>
      </c>
      <c r="AG61" s="7"/>
      <c r="AH61" s="7"/>
      <c r="AI61" s="7"/>
    </row>
    <row r="62">
      <c r="B62" s="83">
        <f>IFERROR(__xludf.DUMMYFUNCTION("""COMPUTED_VALUE"""),45534.68862523148)</f>
        <v>45534.68863</v>
      </c>
      <c r="C62" s="43" t="str">
        <f>IFERROR(__xludf.DUMMYFUNCTION("""COMPUTED_VALUE"""),"Enzo ")</f>
        <v>Enzo </v>
      </c>
      <c r="D62" s="43" t="str">
        <f>IFERROR(__xludf.DUMMYFUNCTION("""COMPUTED_VALUE"""),"Lannia ")</f>
        <v>Lannia </v>
      </c>
      <c r="E62" s="43" t="str">
        <f>IFERROR(__xludf.DUMMYFUNCTION("""COMPUTED_VALUE"""),"Buenos aires")</f>
        <v>Buenos aires</v>
      </c>
      <c r="F62" s="7" t="str">
        <f>IFERROR(__xludf.DUMMYFUNCTION("""COMPUTED_VALUE"""),"ARG")</f>
        <v>ARG</v>
      </c>
      <c r="G62" s="7">
        <f>IFERROR(__xludf.DUMMYFUNCTION("""COMPUTED_VALUE"""),5.0306735E7)</f>
        <v>50306735</v>
      </c>
      <c r="H62" s="44">
        <f>IFERROR(__xludf.DUMMYFUNCTION("""COMPUTED_VALUE"""),40316.0)</f>
        <v>40316</v>
      </c>
      <c r="I62" s="45">
        <f>IFERROR(__xludf.DUMMYFUNCTION("""COMPUTED_VALUE"""),1.132763991E9)</f>
        <v>1132763991</v>
      </c>
      <c r="J62" s="45">
        <f>IFERROR(__xludf.DUMMYFUNCTION("""COMPUTED_VALUE"""),1.132763953E9)</f>
        <v>1132763953</v>
      </c>
      <c r="K62" s="45" t="str">
        <f>IFERROR(__xludf.DUMMYFUNCTION("""COMPUTED_VALUE"""),"andreval05@homail.com")</f>
        <v>andreval05@homail.com</v>
      </c>
      <c r="L62" s="45" t="str">
        <f>IFERROR(__xludf.DUMMYFUNCTION("""COMPUTED_VALUE"""),"Masculino")</f>
        <v>Masculino</v>
      </c>
      <c r="M62" s="45" t="str">
        <f>IFERROR(__xludf.DUMMYFUNCTION("""COMPUTED_VALUE"""),"Cvb")</f>
        <v>Cvb</v>
      </c>
      <c r="N62" s="45" t="str">
        <f>IFERROR(__xludf.DUMMYFUNCTION("""COMPUTED_VALUE"""),"Interior (Optimist)")</f>
        <v>Interior (Optimist)</v>
      </c>
      <c r="O62" s="45" t="str">
        <f>IFERROR(__xludf.DUMMYFUNCTION("""COMPUTED_VALUE"""),"OPTIMIST TIMONELES")</f>
        <v>OPTIMIST TIMONELES</v>
      </c>
      <c r="P62" s="45"/>
      <c r="Q62" s="7">
        <f>IFERROR(__xludf.DUMMYFUNCTION("""COMPUTED_VALUE"""),3114.0)</f>
        <v>3114</v>
      </c>
      <c r="R62" s="45"/>
      <c r="S62" s="45"/>
      <c r="T62" s="45"/>
      <c r="U62" s="45"/>
      <c r="V62" s="45"/>
      <c r="W62" s="45"/>
      <c r="X62" s="45"/>
      <c r="Y62" s="45" t="str">
        <f>IFERROR(__xludf.DUMMYFUNCTION("""COMPUTED_VALUE"""),"Swiss medical")</f>
        <v>Swiss medical</v>
      </c>
      <c r="Z62" s="7" t="str">
        <f>IFERROR(__xludf.DUMMYFUNCTION("""COMPUTED_VALUE"""),"Si")</f>
        <v>Si</v>
      </c>
      <c r="AA62" s="7" t="str">
        <f>IFERROR(__xludf.DUMMYFUNCTION("""COMPUTED_VALUE"""),"Acepto")</f>
        <v>Acepto</v>
      </c>
      <c r="AB62" s="7" t="str">
        <f>IFERROR(__xludf.DUMMYFUNCTION("""COMPUTED_VALUE"""),"Terminado")</f>
        <v>Terminado</v>
      </c>
      <c r="AC62" s="7">
        <f>IFERROR(__xludf.DUMMYFUNCTION("""COMPUTED_VALUE"""),50000.0)</f>
        <v>50000</v>
      </c>
      <c r="AD62" s="7">
        <f>IFERROR(__xludf.DUMMYFUNCTION("""COMPUTED_VALUE"""),205136.0)</f>
        <v>205136</v>
      </c>
      <c r="AE62" s="45" t="str">
        <f>IFERROR(__xludf.DUMMYFUNCTION("""COMPUTED_VALUE"""),"TRF 30-08")</f>
        <v>TRF 30-08</v>
      </c>
      <c r="AF62" s="7" t="str">
        <f>IFERROR(__xludf.DUMMYFUNCTION("""COMPUTED_VALUE"""),"OK")</f>
        <v>OK</v>
      </c>
      <c r="AG62" s="7" t="str">
        <f>IFERROR(__xludf.DUMMYFUNCTION("""COMPUTED_VALUE"""),"SI")</f>
        <v>SI</v>
      </c>
      <c r="AH62" s="7"/>
      <c r="AI62" s="7"/>
    </row>
    <row r="63">
      <c r="B63" s="83">
        <f>IFERROR(__xludf.DUMMYFUNCTION("""COMPUTED_VALUE"""),45537.745579814815)</f>
        <v>45537.74558</v>
      </c>
      <c r="C63" s="43" t="str">
        <f>IFERROR(__xludf.DUMMYFUNCTION("""COMPUTED_VALUE"""),"Agustin")</f>
        <v>Agustin</v>
      </c>
      <c r="D63" s="43" t="str">
        <f>IFERROR(__xludf.DUMMYFUNCTION("""COMPUTED_VALUE"""),"Layafa")</f>
        <v>Layafa</v>
      </c>
      <c r="E63" s="43" t="str">
        <f>IFERROR(__xludf.DUMMYFUNCTION("""COMPUTED_VALUE"""),"Parque del plata ")</f>
        <v>Parque del plata </v>
      </c>
      <c r="F63" s="7" t="str">
        <f>IFERROR(__xludf.DUMMYFUNCTION("""COMPUTED_VALUE"""),"URU")</f>
        <v>URU</v>
      </c>
      <c r="G63" s="7">
        <f>IFERROR(__xludf.DUMMYFUNCTION("""COMPUTED_VALUE"""),5.9244211E7)</f>
        <v>59244211</v>
      </c>
      <c r="H63" s="44">
        <f>IFERROR(__xludf.DUMMYFUNCTION("""COMPUTED_VALUE"""),40770.0)</f>
        <v>40770</v>
      </c>
      <c r="I63" s="45" t="str">
        <f>IFERROR(__xludf.DUMMYFUNCTION("""COMPUTED_VALUE"""),"+59899728846")</f>
        <v>+59899728846</v>
      </c>
      <c r="J63" s="45" t="str">
        <f>IFERROR(__xludf.DUMMYFUNCTION("""COMPUTED_VALUE"""),"+59899976289")</f>
        <v>+59899976289</v>
      </c>
      <c r="K63" s="45" t="str">
        <f>IFERROR(__xludf.DUMMYFUNCTION("""COMPUTED_VALUE"""),"Mlayafa@hotmail.com")</f>
        <v>Mlayafa@hotmail.com</v>
      </c>
      <c r="L63" s="45" t="str">
        <f>IFERROR(__xludf.DUMMYFUNCTION("""COMPUTED_VALUE"""),"Masculino")</f>
        <v>Masculino</v>
      </c>
      <c r="M63" s="45" t="str">
        <f>IFERROR(__xludf.DUMMYFUNCTION("""COMPUTED_VALUE"""),"NYC")</f>
        <v>NYC</v>
      </c>
      <c r="N63" s="45" t="str">
        <f>IFERROR(__xludf.DUMMYFUNCTION("""COMPUTED_VALUE"""),"Interior (Optimist)")</f>
        <v>Interior (Optimist)</v>
      </c>
      <c r="O63" s="45" t="str">
        <f>IFERROR(__xludf.DUMMYFUNCTION("""COMPUTED_VALUE"""),"OPTIMIST TIMONELES")</f>
        <v>OPTIMIST TIMONELES</v>
      </c>
      <c r="P63" s="45"/>
      <c r="Q63" s="7">
        <f>IFERROR(__xludf.DUMMYFUNCTION("""COMPUTED_VALUE"""),409.0)</f>
        <v>409</v>
      </c>
      <c r="R63" s="45" t="str">
        <f>IFERROR(__xludf.DUMMYFUNCTION("""COMPUTED_VALUE"""),"“ el tata “")</f>
        <v>“ el tata “</v>
      </c>
      <c r="S63" s="45"/>
      <c r="T63" s="45"/>
      <c r="U63" s="45"/>
      <c r="V63" s="45"/>
      <c r="W63" s="45"/>
      <c r="X63" s="45"/>
      <c r="Y63" s="45" t="str">
        <f>IFERROR(__xludf.DUMMYFUNCTION("""COMPUTED_VALUE"""),"Assep")</f>
        <v>Assep</v>
      </c>
      <c r="Z63" s="7" t="str">
        <f>IFERROR(__xludf.DUMMYFUNCTION("""COMPUTED_VALUE"""),"Si")</f>
        <v>Si</v>
      </c>
      <c r="AA63" s="7" t="str">
        <f>IFERROR(__xludf.DUMMYFUNCTION("""COMPUTED_VALUE"""),"Acepto")</f>
        <v>Acepto</v>
      </c>
      <c r="AB63" s="7" t="str">
        <f>IFERROR(__xludf.DUMMYFUNCTION("""COMPUTED_VALUE"""),"Terminado")</f>
        <v>Terminado</v>
      </c>
      <c r="AC63" s="7">
        <f>IFERROR(__xludf.DUMMYFUNCTION("""COMPUTED_VALUE"""),42500.0)</f>
        <v>42500</v>
      </c>
      <c r="AD63" s="7">
        <f>IFERROR(__xludf.DUMMYFUNCTION("""COMPUTED_VALUE"""),205391.0)</f>
        <v>205391</v>
      </c>
      <c r="AE63" s="45" t="str">
        <f>IFERROR(__xludf.DUMMYFUNCTION("""COMPUTED_VALUE"""),"TRF 02-09")</f>
        <v>TRF 02-09</v>
      </c>
      <c r="AF63" s="7" t="str">
        <f>IFERROR(__xludf.DUMMYFUNCTION("""COMPUTED_VALUE"""),"Pendiente")</f>
        <v>Pendiente</v>
      </c>
      <c r="AG63" s="7" t="str">
        <f>IFERROR(__xludf.DUMMYFUNCTION("""COMPUTED_VALUE"""),"SI")</f>
        <v>SI</v>
      </c>
      <c r="AH63" s="7"/>
      <c r="AI63" s="7"/>
    </row>
    <row r="64">
      <c r="B64" s="83">
        <f>IFERROR(__xludf.DUMMYFUNCTION("""COMPUTED_VALUE"""),45532.529716377314)</f>
        <v>45532.52972</v>
      </c>
      <c r="C64" s="43" t="str">
        <f>IFERROR(__xludf.DUMMYFUNCTION("""COMPUTED_VALUE"""),"Emma")</f>
        <v>Emma</v>
      </c>
      <c r="D64" s="43" t="str">
        <f>IFERROR(__xludf.DUMMYFUNCTION("""COMPUTED_VALUE"""),"Lenzetti Colin ")</f>
        <v>Lenzetti Colin </v>
      </c>
      <c r="E64" s="43" t="str">
        <f>IFERROR(__xludf.DUMMYFUNCTION("""COMPUTED_VALUE"""),"La Plata ")</f>
        <v>La Plata </v>
      </c>
      <c r="F64" s="7" t="str">
        <f>IFERROR(__xludf.DUMMYFUNCTION("""COMPUTED_VALUE"""),"ARG")</f>
        <v>ARG</v>
      </c>
      <c r="G64" s="7">
        <f>IFERROR(__xludf.DUMMYFUNCTION("""COMPUTED_VALUE"""),5.126117E7)</f>
        <v>51261170</v>
      </c>
      <c r="H64" s="44">
        <f>IFERROR(__xludf.DUMMYFUNCTION("""COMPUTED_VALUE"""),40755.0)</f>
        <v>40755</v>
      </c>
      <c r="I64" s="45">
        <f>IFERROR(__xludf.DUMMYFUNCTION("""COMPUTED_VALUE"""),2.216112066E9)</f>
        <v>2216112066</v>
      </c>
      <c r="J64" s="45">
        <f>IFERROR(__xludf.DUMMYFUNCTION("""COMPUTED_VALUE"""),2.213573333E9)</f>
        <v>2213573333</v>
      </c>
      <c r="K64" s="45" t="str">
        <f>IFERROR(__xludf.DUMMYFUNCTION("""COMPUTED_VALUE"""),"emmalenzetticolin@gmail.com")</f>
        <v>emmalenzetticolin@gmail.com</v>
      </c>
      <c r="L64" s="45" t="str">
        <f>IFERROR(__xludf.DUMMYFUNCTION("""COMPUTED_VALUE"""),"Femenino")</f>
        <v>Femenino</v>
      </c>
      <c r="M64" s="45" t="str">
        <f>IFERROR(__xludf.DUMMYFUNCTION("""COMPUTED_VALUE"""),"CRLP")</f>
        <v>CRLP</v>
      </c>
      <c r="N64" s="45" t="str">
        <f>IFERROR(__xludf.DUMMYFUNCTION("""COMPUTED_VALUE"""),"Femenino")</f>
        <v>Femenino</v>
      </c>
      <c r="O64" s="45" t="str">
        <f>IFERROR(__xludf.DUMMYFUNCTION("""COMPUTED_VALUE"""),"OPTIMIST TIMONELES")</f>
        <v>OPTIMIST TIMONELES</v>
      </c>
      <c r="P64" s="45"/>
      <c r="Q64" s="7">
        <f>IFERROR(__xludf.DUMMYFUNCTION("""COMPUTED_VALUE"""),3754.0)</f>
        <v>3754</v>
      </c>
      <c r="R64" s="45"/>
      <c r="S64" s="45"/>
      <c r="T64" s="45"/>
      <c r="U64" s="45"/>
      <c r="V64" s="45"/>
      <c r="W64" s="45"/>
      <c r="X64" s="45"/>
      <c r="Y64" s="45" t="str">
        <f>IFERROR(__xludf.DUMMYFUNCTION("""COMPUTED_VALUE"""),"swiss medical 800006 3965174 04 0014")</f>
        <v>swiss medical 800006 3965174 04 0014</v>
      </c>
      <c r="Z64" s="7" t="str">
        <f>IFERROR(__xludf.DUMMYFUNCTION("""COMPUTED_VALUE"""),"Si")</f>
        <v>Si</v>
      </c>
      <c r="AA64" s="7" t="str">
        <f>IFERROR(__xludf.DUMMYFUNCTION("""COMPUTED_VALUE"""),"Acepto")</f>
        <v>Acepto</v>
      </c>
      <c r="AB64" s="7" t="str">
        <f>IFERROR(__xludf.DUMMYFUNCTION("""COMPUTED_VALUE"""),"Terminado")</f>
        <v>Terminado</v>
      </c>
      <c r="AC64" s="7">
        <f>IFERROR(__xludf.DUMMYFUNCTION("""COMPUTED_VALUE"""),50000.0)</f>
        <v>50000</v>
      </c>
      <c r="AD64" s="7">
        <f>IFERROR(__xludf.DUMMYFUNCTION("""COMPUTED_VALUE"""),205067.0)</f>
        <v>205067</v>
      </c>
      <c r="AE64" s="45" t="str">
        <f>IFERROR(__xludf.DUMMYFUNCTION("""COMPUTED_VALUE"""),"TRF 28-08")</f>
        <v>TRF 28-08</v>
      </c>
      <c r="AF64" s="7" t="str">
        <f>IFERROR(__xludf.DUMMYFUNCTION("""COMPUTED_VALUE"""),"OK")</f>
        <v>OK</v>
      </c>
      <c r="AG64" s="7"/>
      <c r="AH64" s="7"/>
      <c r="AI64" s="7"/>
    </row>
    <row r="65">
      <c r="B65" s="83">
        <f>IFERROR(__xludf.DUMMYFUNCTION("""COMPUTED_VALUE"""),45538.779014722226)</f>
        <v>45538.77901</v>
      </c>
      <c r="C65" s="43" t="str">
        <f>IFERROR(__xludf.DUMMYFUNCTION("""COMPUTED_VALUE"""),"María Trinidad ")</f>
        <v>María Trinidad </v>
      </c>
      <c r="D65" s="43" t="str">
        <f>IFERROR(__xludf.DUMMYFUNCTION("""COMPUTED_VALUE"""),"León Herrán")</f>
        <v>León Herrán</v>
      </c>
      <c r="E65" s="43" t="str">
        <f>IFERROR(__xludf.DUMMYFUNCTION("""COMPUTED_VALUE"""),"CABA")</f>
        <v>CABA</v>
      </c>
      <c r="F65" s="7" t="str">
        <f>IFERROR(__xludf.DUMMYFUNCTION("""COMPUTED_VALUE"""),"ARG")</f>
        <v>ARG</v>
      </c>
      <c r="G65" s="7">
        <f>IFERROR(__xludf.DUMMYFUNCTION("""COMPUTED_VALUE"""),4.9701997E7)</f>
        <v>49701997</v>
      </c>
      <c r="H65" s="44">
        <f>IFERROR(__xludf.DUMMYFUNCTION("""COMPUTED_VALUE"""),40052.0)</f>
        <v>40052</v>
      </c>
      <c r="I65" s="45">
        <f>IFERROR(__xludf.DUMMYFUNCTION("""COMPUTED_VALUE"""),1.155842334E9)</f>
        <v>1155842334</v>
      </c>
      <c r="J65" s="45">
        <f>IFERROR(__xludf.DUMMYFUNCTION("""COMPUTED_VALUE"""),1.155842334E9)</f>
        <v>1155842334</v>
      </c>
      <c r="K65" s="45" t="str">
        <f>IFERROR(__xludf.DUMMYFUNCTION("""COMPUTED_VALUE"""),"l.a.leon80@gmail.com")</f>
        <v>l.a.leon80@gmail.com</v>
      </c>
      <c r="L65" s="45" t="str">
        <f>IFERROR(__xludf.DUMMYFUNCTION("""COMPUTED_VALUE"""),"Femenino")</f>
        <v>Femenino</v>
      </c>
      <c r="M65" s="45" t="str">
        <f>IFERROR(__xludf.DUMMYFUNCTION("""COMPUTED_VALUE"""),"CUBA")</f>
        <v>CUBA</v>
      </c>
      <c r="N65" s="45" t="str">
        <f>IFERROR(__xludf.DUMMYFUNCTION("""COMPUTED_VALUE"""),"Femenino")</f>
        <v>Femenino</v>
      </c>
      <c r="O65" s="45" t="str">
        <f>IFERROR(__xludf.DUMMYFUNCTION("""COMPUTED_VALUE"""),"OPTIMIST TIMONELES")</f>
        <v>OPTIMIST TIMONELES</v>
      </c>
      <c r="P65" s="45"/>
      <c r="Q65" s="7">
        <f>IFERROR(__xludf.DUMMYFUNCTION("""COMPUTED_VALUE"""),3721.0)</f>
        <v>3721</v>
      </c>
      <c r="R65" s="45"/>
      <c r="S65" s="45"/>
      <c r="T65" s="45"/>
      <c r="U65" s="45"/>
      <c r="V65" s="45"/>
      <c r="W65" s="45"/>
      <c r="X65" s="45"/>
      <c r="Y65" s="45">
        <f>IFERROR(__xludf.DUMMYFUNCTION("""COMPUTED_VALUE"""),6.1628272803E10)</f>
        <v>61628272803</v>
      </c>
      <c r="Z65" s="7" t="str">
        <f>IFERROR(__xludf.DUMMYFUNCTION("""COMPUTED_VALUE"""),"No")</f>
        <v>No</v>
      </c>
      <c r="AA65" s="7" t="str">
        <f>IFERROR(__xludf.DUMMYFUNCTION("""COMPUTED_VALUE"""),"Acepto")</f>
        <v>Acepto</v>
      </c>
      <c r="AB65" s="7" t="str">
        <f>IFERROR(__xludf.DUMMYFUNCTION("""COMPUTED_VALUE"""),"Terminado")</f>
        <v>Terminado</v>
      </c>
      <c r="AC65" s="7">
        <f>IFERROR(__xludf.DUMMYFUNCTION("""COMPUTED_VALUE"""),50000.0)</f>
        <v>50000</v>
      </c>
      <c r="AD65" s="7">
        <f>IFERROR(__xludf.DUMMYFUNCTION("""COMPUTED_VALUE"""),205471.0)</f>
        <v>205471</v>
      </c>
      <c r="AE65" s="45" t="str">
        <f>IFERROR(__xludf.DUMMYFUNCTION("""COMPUTED_VALUE"""),"TRF 03-09")</f>
        <v>TRF 03-09</v>
      </c>
      <c r="AF65" s="7" t="str">
        <f>IFERROR(__xludf.DUMMYFUNCTION("""COMPUTED_VALUE"""),"OK")</f>
        <v>OK</v>
      </c>
      <c r="AG65" s="7"/>
      <c r="AH65" s="7"/>
      <c r="AI65" s="7"/>
    </row>
    <row r="66">
      <c r="B66" s="83">
        <f>IFERROR(__xludf.DUMMYFUNCTION("""COMPUTED_VALUE"""),45535.60622998842)</f>
        <v>45535.60623</v>
      </c>
      <c r="C66" s="43" t="str">
        <f>IFERROR(__xludf.DUMMYFUNCTION("""COMPUTED_VALUE"""),"Helena")</f>
        <v>Helena</v>
      </c>
      <c r="D66" s="43" t="str">
        <f>IFERROR(__xludf.DUMMYFUNCTION("""COMPUTED_VALUE"""),"Lezana")</f>
        <v>Lezana</v>
      </c>
      <c r="E66" s="43" t="str">
        <f>IFERROR(__xludf.DUMMYFUNCTION("""COMPUTED_VALUE"""),"Zárate ")</f>
        <v>Zárate </v>
      </c>
      <c r="F66" s="7" t="str">
        <f>IFERROR(__xludf.DUMMYFUNCTION("""COMPUTED_VALUE"""),"ARG")</f>
        <v>ARG</v>
      </c>
      <c r="G66" s="7">
        <f>IFERROR(__xludf.DUMMYFUNCTION("""COMPUTED_VALUE"""),5.297709E7)</f>
        <v>52977090</v>
      </c>
      <c r="H66" s="44">
        <f>IFERROR(__xludf.DUMMYFUNCTION("""COMPUTED_VALUE"""),41311.0)</f>
        <v>41311</v>
      </c>
      <c r="I66" s="45">
        <f>IFERROR(__xludf.DUMMYFUNCTION("""COMPUTED_VALUE"""),3.48729198E9)</f>
        <v>3487291980</v>
      </c>
      <c r="J66" s="45">
        <f>IFERROR(__xludf.DUMMYFUNCTION("""COMPUTED_VALUE"""),3.48729198E9)</f>
        <v>3487291980</v>
      </c>
      <c r="K66" s="45" t="str">
        <f>IFERROR(__xludf.DUMMYFUNCTION("""COMPUTED_VALUE"""),"carinaveronicatizi@gmail.com")</f>
        <v>carinaveronicatizi@gmail.com</v>
      </c>
      <c r="L66" s="45" t="str">
        <f>IFERROR(__xludf.DUMMYFUNCTION("""COMPUTED_VALUE"""),"Femenino")</f>
        <v>Femenino</v>
      </c>
      <c r="M66" s="45" t="str">
        <f>IFERROR(__xludf.DUMMYFUNCTION("""COMPUTED_VALUE"""),"CNZ")</f>
        <v>CNZ</v>
      </c>
      <c r="N66" s="45" t="str">
        <f>IFERROR(__xludf.DUMMYFUNCTION("""COMPUTED_VALUE"""),"Interior (Optimist)")</f>
        <v>Interior (Optimist)</v>
      </c>
      <c r="O66" s="45" t="str">
        <f>IFERROR(__xludf.DUMMYFUNCTION("""COMPUTED_VALUE"""),"OPTIMIST TIMONELES")</f>
        <v>OPTIMIST TIMONELES</v>
      </c>
      <c r="P66" s="45"/>
      <c r="Q66" s="7">
        <f>IFERROR(__xludf.DUMMYFUNCTION("""COMPUTED_VALUE"""),3457.0)</f>
        <v>3457</v>
      </c>
      <c r="R66" s="45" t="str">
        <f>IFERROR(__xludf.DUMMYFUNCTION("""COMPUTED_VALUE"""),"Rulos Traviesos")</f>
        <v>Rulos Traviesos</v>
      </c>
      <c r="S66" s="45"/>
      <c r="T66" s="45"/>
      <c r="U66" s="45"/>
      <c r="V66" s="45"/>
      <c r="W66" s="45"/>
      <c r="X66" s="45"/>
      <c r="Y66" s="45" t="str">
        <f>IFERROR(__xludf.DUMMYFUNCTION("""COMPUTED_VALUE"""),"OSDE")</f>
        <v>OSDE</v>
      </c>
      <c r="Z66" s="7" t="str">
        <f>IFERROR(__xludf.DUMMYFUNCTION("""COMPUTED_VALUE"""),"No")</f>
        <v>No</v>
      </c>
      <c r="AA66" s="7" t="str">
        <f>IFERROR(__xludf.DUMMYFUNCTION("""COMPUTED_VALUE"""),"Acepto")</f>
        <v>Acepto</v>
      </c>
      <c r="AB66" s="7" t="str">
        <f>IFERROR(__xludf.DUMMYFUNCTION("""COMPUTED_VALUE"""),"Terminado")</f>
        <v>Terminado</v>
      </c>
      <c r="AC66" s="7">
        <f>IFERROR(__xludf.DUMMYFUNCTION("""COMPUTED_VALUE"""),50000.0)</f>
        <v>50000</v>
      </c>
      <c r="AD66" s="7">
        <f>IFERROR(__xludf.DUMMYFUNCTION("""COMPUTED_VALUE"""),205345.0)</f>
        <v>205345</v>
      </c>
      <c r="AE66" s="45" t="str">
        <f>IFERROR(__xludf.DUMMYFUNCTION("""COMPUTED_VALUE"""),"TRF 31-08")</f>
        <v>TRF 31-08</v>
      </c>
      <c r="AF66" s="7" t="str">
        <f>IFERROR(__xludf.DUMMYFUNCTION("""COMPUTED_VALUE"""),"OK")</f>
        <v>OK</v>
      </c>
      <c r="AG66" s="7"/>
      <c r="AH66" s="7"/>
      <c r="AI66" s="7"/>
    </row>
    <row r="67">
      <c r="B67" s="83">
        <f>IFERROR(__xludf.DUMMYFUNCTION("""COMPUTED_VALUE"""),45533.779573611115)</f>
        <v>45533.77957</v>
      </c>
      <c r="C67" s="43" t="str">
        <f>IFERROR(__xludf.DUMMYFUNCTION("""COMPUTED_VALUE"""),"Valentín ")</f>
        <v>Valentín </v>
      </c>
      <c r="D67" s="43" t="str">
        <f>IFERROR(__xludf.DUMMYFUNCTION("""COMPUTED_VALUE"""),"López Morgan ")</f>
        <v>López Morgan </v>
      </c>
      <c r="E67" s="43" t="str">
        <f>IFERROR(__xludf.DUMMYFUNCTION("""COMPUTED_VALUE"""),"Puerto Madryn")</f>
        <v>Puerto Madryn</v>
      </c>
      <c r="F67" s="7" t="str">
        <f>IFERROR(__xludf.DUMMYFUNCTION("""COMPUTED_VALUE"""),"ARG")</f>
        <v>ARG</v>
      </c>
      <c r="G67" s="7">
        <f>IFERROR(__xludf.DUMMYFUNCTION("""COMPUTED_VALUE"""),5.0217149E7)</f>
        <v>50217149</v>
      </c>
      <c r="H67" s="44">
        <f>IFERROR(__xludf.DUMMYFUNCTION("""COMPUTED_VALUE"""),40484.0)</f>
        <v>40484</v>
      </c>
      <c r="I67" s="45">
        <f>IFERROR(__xludf.DUMMYFUNCTION("""COMPUTED_VALUE"""),2.804977351E9)</f>
        <v>2804977351</v>
      </c>
      <c r="J67" s="45">
        <f>IFERROR(__xludf.DUMMYFUNCTION("""COMPUTED_VALUE"""),2.80465737E9)</f>
        <v>2804657370</v>
      </c>
      <c r="K67" s="45" t="str">
        <f>IFERROR(__xludf.DUMMYFUNCTION("""COMPUTED_VALUE"""),"vmacsen@gmail.com")</f>
        <v>vmacsen@gmail.com</v>
      </c>
      <c r="L67" s="45" t="str">
        <f>IFERROR(__xludf.DUMMYFUNCTION("""COMPUTED_VALUE"""),"Masculino")</f>
        <v>Masculino</v>
      </c>
      <c r="M67" s="45" t="str">
        <f>IFERROR(__xludf.DUMMYFUNCTION("""COMPUTED_VALUE"""),"CNAS")</f>
        <v>CNAS</v>
      </c>
      <c r="N67" s="45" t="str">
        <f>IFERROR(__xludf.DUMMYFUNCTION("""COMPUTED_VALUE"""),"Interior (Optimist)")</f>
        <v>Interior (Optimist)</v>
      </c>
      <c r="O67" s="45" t="str">
        <f>IFERROR(__xludf.DUMMYFUNCTION("""COMPUTED_VALUE"""),"OPTIMIST TIMONELES")</f>
        <v>OPTIMIST TIMONELES</v>
      </c>
      <c r="P67" s="45"/>
      <c r="Q67" s="7">
        <f>IFERROR(__xludf.DUMMYFUNCTION("""COMPUTED_VALUE"""),2339.0)</f>
        <v>2339</v>
      </c>
      <c r="R67" s="45" t="str">
        <f>IFERROR(__xludf.DUMMYFUNCTION("""COMPUTED_VALUE"""),"Black Dragon")</f>
        <v>Black Dragon</v>
      </c>
      <c r="S67" s="45"/>
      <c r="T67" s="45"/>
      <c r="U67" s="45"/>
      <c r="V67" s="45"/>
      <c r="W67" s="45"/>
      <c r="X67" s="45"/>
      <c r="Y67" s="45"/>
      <c r="Z67" s="7" t="str">
        <f>IFERROR(__xludf.DUMMYFUNCTION("""COMPUTED_VALUE"""),"Si")</f>
        <v>Si</v>
      </c>
      <c r="AA67" s="7" t="str">
        <f>IFERROR(__xludf.DUMMYFUNCTION("""COMPUTED_VALUE"""),"Acepto")</f>
        <v>Acepto</v>
      </c>
      <c r="AB67" s="7" t="str">
        <f>IFERROR(__xludf.DUMMYFUNCTION("""COMPUTED_VALUE"""),"Terminado")</f>
        <v>Terminado</v>
      </c>
      <c r="AC67" s="7">
        <f>IFERROR(__xludf.DUMMYFUNCTION("""COMPUTED_VALUE"""),42500.0)</f>
        <v>42500</v>
      </c>
      <c r="AD67" s="7">
        <f>IFERROR(__xludf.DUMMYFUNCTION("""COMPUTED_VALUE"""),205083.0)</f>
        <v>205083</v>
      </c>
      <c r="AE67" s="45" t="str">
        <f>IFERROR(__xludf.DUMMYFUNCTION("""COMPUTED_VALUE"""),"TRF 29-08")</f>
        <v>TRF 29-08</v>
      </c>
      <c r="AF67" s="7" t="str">
        <f>IFERROR(__xludf.DUMMYFUNCTION("""COMPUTED_VALUE"""),"OK")</f>
        <v>OK</v>
      </c>
      <c r="AG67" s="7"/>
      <c r="AH67" s="7"/>
      <c r="AI67" s="7"/>
    </row>
    <row r="68">
      <c r="B68" s="83">
        <f>IFERROR(__xludf.DUMMYFUNCTION("""COMPUTED_VALUE"""),45533.58737491898)</f>
        <v>45533.58737</v>
      </c>
      <c r="C68" s="43" t="str">
        <f>IFERROR(__xludf.DUMMYFUNCTION("""COMPUTED_VALUE"""),"Tania")</f>
        <v>Tania</v>
      </c>
      <c r="D68" s="43" t="str">
        <f>IFERROR(__xludf.DUMMYFUNCTION("""COMPUTED_VALUE"""),"Lopez Obejero")</f>
        <v>Lopez Obejero</v>
      </c>
      <c r="E68" s="43" t="str">
        <f>IFERROR(__xludf.DUMMYFUNCTION("""COMPUTED_VALUE"""),"Buenos Aires")</f>
        <v>Buenos Aires</v>
      </c>
      <c r="F68" s="7" t="str">
        <f>IFERROR(__xludf.DUMMYFUNCTION("""COMPUTED_VALUE"""),"ARG")</f>
        <v>ARG</v>
      </c>
      <c r="G68" s="7">
        <f>IFERROR(__xludf.DUMMYFUNCTION("""COMPUTED_VALUE"""),5.0320758E7)</f>
        <v>50320758</v>
      </c>
      <c r="H68" s="44">
        <f>IFERROR(__xludf.DUMMYFUNCTION("""COMPUTED_VALUE"""),40344.0)</f>
        <v>40344</v>
      </c>
      <c r="I68" s="45" t="str">
        <f>IFERROR(__xludf.DUMMYFUNCTION("""COMPUTED_VALUE"""),"5578-7005")</f>
        <v>5578-7005</v>
      </c>
      <c r="J68" s="45" t="str">
        <f>IFERROR(__xludf.DUMMYFUNCTION("""COMPUTED_VALUE"""),"5307-7201")</f>
        <v>5307-7201</v>
      </c>
      <c r="K68" s="45" t="str">
        <f>IFERROR(__xludf.DUMMYFUNCTION("""COMPUTED_VALUE"""),"victoria.obejero@startechnology.com.ar")</f>
        <v>victoria.obejero@startechnology.com.ar</v>
      </c>
      <c r="L68" s="45" t="str">
        <f>IFERROR(__xludf.DUMMYFUNCTION("""COMPUTED_VALUE"""),"Femenino")</f>
        <v>Femenino</v>
      </c>
      <c r="M68" s="45" t="str">
        <f>IFERROR(__xludf.DUMMYFUNCTION("""COMPUTED_VALUE"""),"CPNLB")</f>
        <v>CPNLB</v>
      </c>
      <c r="N68" s="45" t="str">
        <f>IFERROR(__xludf.DUMMYFUNCTION("""COMPUTED_VALUE"""),"Femenino")</f>
        <v>Femenino</v>
      </c>
      <c r="O68" s="45" t="str">
        <f>IFERROR(__xludf.DUMMYFUNCTION("""COMPUTED_VALUE"""),"OPTIMIST TIMONELES")</f>
        <v>OPTIMIST TIMONELES</v>
      </c>
      <c r="P68" s="45"/>
      <c r="Q68" s="7">
        <f>IFERROR(__xludf.DUMMYFUNCTION("""COMPUTED_VALUE"""),3775.0)</f>
        <v>3775</v>
      </c>
      <c r="R68" s="45"/>
      <c r="S68" s="45"/>
      <c r="T68" s="45"/>
      <c r="U68" s="45"/>
      <c r="V68" s="45"/>
      <c r="W68" s="45"/>
      <c r="X68" s="45"/>
      <c r="Y68" s="45" t="str">
        <f>IFERROR(__xludf.DUMMYFUNCTION("""COMPUTED_VALUE"""),"GALENO ORO")</f>
        <v>GALENO ORO</v>
      </c>
      <c r="Z68" s="7" t="str">
        <f>IFERROR(__xludf.DUMMYFUNCTION("""COMPUTED_VALUE"""),"Si")</f>
        <v>Si</v>
      </c>
      <c r="AA68" s="7" t="str">
        <f>IFERROR(__xludf.DUMMYFUNCTION("""COMPUTED_VALUE"""),"Acepto")</f>
        <v>Acepto</v>
      </c>
      <c r="AB68" s="7" t="str">
        <f>IFERROR(__xludf.DUMMYFUNCTION("""COMPUTED_VALUE"""),"Terminado")</f>
        <v>Terminado</v>
      </c>
      <c r="AC68" s="7">
        <f>IFERROR(__xludf.DUMMYFUNCTION("""COMPUTED_VALUE"""),50000.0)</f>
        <v>50000</v>
      </c>
      <c r="AD68" s="7">
        <f>IFERROR(__xludf.DUMMYFUNCTION("""COMPUTED_VALUE"""),205079.0)</f>
        <v>205079</v>
      </c>
      <c r="AE68" s="45" t="str">
        <f>IFERROR(__xludf.DUMMYFUNCTION("""COMPUTED_VALUE"""),"TRF 29-08")</f>
        <v>TRF 29-08</v>
      </c>
      <c r="AF68" s="7" t="str">
        <f>IFERROR(__xludf.DUMMYFUNCTION("""COMPUTED_VALUE"""),"OK")</f>
        <v>OK</v>
      </c>
      <c r="AG68" s="7" t="str">
        <f>IFERROR(__xludf.DUMMYFUNCTION("""COMPUTED_VALUE"""),"SI")</f>
        <v>SI</v>
      </c>
      <c r="AH68" s="7"/>
      <c r="AI68" s="7"/>
    </row>
    <row r="69">
      <c r="B69" s="83">
        <f>IFERROR(__xludf.DUMMYFUNCTION("""COMPUTED_VALUE"""),45530.63710908565)</f>
        <v>45530.63711</v>
      </c>
      <c r="C69" s="43" t="str">
        <f>IFERROR(__xludf.DUMMYFUNCTION("""COMPUTED_VALUE"""),"LISANDRO")</f>
        <v>LISANDRO</v>
      </c>
      <c r="D69" s="43" t="str">
        <f>IFERROR(__xludf.DUMMYFUNCTION("""COMPUTED_VALUE"""),"LOUREYRO MORGENSTERN")</f>
        <v>LOUREYRO MORGENSTERN</v>
      </c>
      <c r="E69" s="43" t="str">
        <f>IFERROR(__xludf.DUMMYFUNCTION("""COMPUTED_VALUE"""),"NUÑEZ")</f>
        <v>NUÑEZ</v>
      </c>
      <c r="F69" s="7" t="str">
        <f>IFERROR(__xludf.DUMMYFUNCTION("""COMPUTED_VALUE"""),"ARG")</f>
        <v>ARG</v>
      </c>
      <c r="G69" s="7">
        <f>IFERROR(__xludf.DUMMYFUNCTION("""COMPUTED_VALUE"""),5.1125616E7)</f>
        <v>51125616</v>
      </c>
      <c r="H69" s="44">
        <f>IFERROR(__xludf.DUMMYFUNCTION("""COMPUTED_VALUE"""),40658.0)</f>
        <v>40658</v>
      </c>
      <c r="I69" s="45">
        <f>IFERROR(__xludf.DUMMYFUNCTION("""COMPUTED_VALUE"""),1.552210801E9)</f>
        <v>1552210801</v>
      </c>
      <c r="J69" s="45">
        <f>IFERROR(__xludf.DUMMYFUNCTION("""COMPUTED_VALUE"""),1.552210801E9)</f>
        <v>1552210801</v>
      </c>
      <c r="K69" s="45" t="str">
        <f>IFERROR(__xludf.DUMMYFUNCTION("""COMPUTED_VALUE"""),"laspenelopes2011@gmail.com")</f>
        <v>laspenelopes2011@gmail.com</v>
      </c>
      <c r="L69" s="45" t="str">
        <f>IFERROR(__xludf.DUMMYFUNCTION("""COMPUTED_VALUE"""),"Masculino")</f>
        <v>Masculino</v>
      </c>
      <c r="M69" s="45" t="str">
        <f>IFERROR(__xludf.DUMMYFUNCTION("""COMPUTED_VALUE"""),"CVB")</f>
        <v>CVB</v>
      </c>
      <c r="N69" s="45" t="str">
        <f>IFERROR(__xludf.DUMMYFUNCTION("""COMPUTED_VALUE"""),"OPTIMIST TIMONEL")</f>
        <v>OPTIMIST TIMONEL</v>
      </c>
      <c r="O69" s="45" t="str">
        <f>IFERROR(__xludf.DUMMYFUNCTION("""COMPUTED_VALUE"""),"OPTIMIST TIMONELES")</f>
        <v>OPTIMIST TIMONELES</v>
      </c>
      <c r="P69" s="45"/>
      <c r="Q69" s="7">
        <f>IFERROR(__xludf.DUMMYFUNCTION("""COMPUTED_VALUE"""),4126.0)</f>
        <v>4126</v>
      </c>
      <c r="R69" s="45"/>
      <c r="S69" s="45"/>
      <c r="T69" s="45"/>
      <c r="U69" s="45"/>
      <c r="V69" s="45"/>
      <c r="W69" s="45"/>
      <c r="X69" s="45"/>
      <c r="Y69" s="45" t="str">
        <f>IFERROR(__xludf.DUMMYFUNCTION("""COMPUTED_VALUE"""),"OSDE CREDENCIAL 61758693303")</f>
        <v>OSDE CREDENCIAL 61758693303</v>
      </c>
      <c r="Z69" s="7" t="str">
        <f>IFERROR(__xludf.DUMMYFUNCTION("""COMPUTED_VALUE"""),"Si")</f>
        <v>Si</v>
      </c>
      <c r="AA69" s="7" t="str">
        <f>IFERROR(__xludf.DUMMYFUNCTION("""COMPUTED_VALUE"""),"Acepto")</f>
        <v>Acepto</v>
      </c>
      <c r="AB69" s="7" t="str">
        <f>IFERROR(__xludf.DUMMYFUNCTION("""COMPUTED_VALUE"""),"Terminado")</f>
        <v>Terminado</v>
      </c>
      <c r="AC69" s="7">
        <f>IFERROR(__xludf.DUMMYFUNCTION("""COMPUTED_VALUE"""),50000.0)</f>
        <v>50000</v>
      </c>
      <c r="AD69" s="7">
        <f>IFERROR(__xludf.DUMMYFUNCTION("""COMPUTED_VALUE"""),205071.0)</f>
        <v>205071</v>
      </c>
      <c r="AE69" s="45" t="str">
        <f>IFERROR(__xludf.DUMMYFUNCTION("""COMPUTED_VALUE"""),"TRF 28-08")</f>
        <v>TRF 28-08</v>
      </c>
      <c r="AF69" s="7" t="str">
        <f>IFERROR(__xludf.DUMMYFUNCTION("""COMPUTED_VALUE"""),"OK")</f>
        <v>OK</v>
      </c>
      <c r="AG69" s="7" t="str">
        <f>IFERROR(__xludf.DUMMYFUNCTION("""COMPUTED_VALUE"""),"SI")</f>
        <v>SI</v>
      </c>
      <c r="AH69" s="7"/>
      <c r="AI69" s="7"/>
    </row>
    <row r="70">
      <c r="B70" s="83">
        <f>IFERROR(__xludf.DUMMYFUNCTION("""COMPUTED_VALUE"""),45536.381456840274)</f>
        <v>45536.38146</v>
      </c>
      <c r="C70" s="43" t="str">
        <f>IFERROR(__xludf.DUMMYFUNCTION("""COMPUTED_VALUE"""),"Juan Felipe")</f>
        <v>Juan Felipe</v>
      </c>
      <c r="D70" s="43" t="str">
        <f>IFERROR(__xludf.DUMMYFUNCTION("""COMPUTED_VALUE"""),"Luis")</f>
        <v>Luis</v>
      </c>
      <c r="E70" s="43" t="str">
        <f>IFERROR(__xludf.DUMMYFUNCTION("""COMPUTED_VALUE"""),"La Plata ")</f>
        <v>La Plata </v>
      </c>
      <c r="F70" s="7" t="str">
        <f>IFERROR(__xludf.DUMMYFUNCTION("""COMPUTED_VALUE"""),"ARG")</f>
        <v>ARG</v>
      </c>
      <c r="G70" s="7">
        <f>IFERROR(__xludf.DUMMYFUNCTION("""COMPUTED_VALUE"""),5.2908766E7)</f>
        <v>52908766</v>
      </c>
      <c r="H70" s="44">
        <f>IFERROR(__xludf.DUMMYFUNCTION("""COMPUTED_VALUE"""),41234.0)</f>
        <v>41234</v>
      </c>
      <c r="I70" s="45">
        <f>IFERROR(__xludf.DUMMYFUNCTION("""COMPUTED_VALUE"""),2.21616239E9)</f>
        <v>2216162390</v>
      </c>
      <c r="J70" s="45">
        <f>IFERROR(__xludf.DUMMYFUNCTION("""COMPUTED_VALUE"""),2.21616239E9)</f>
        <v>2216162390</v>
      </c>
      <c r="K70" s="45" t="str">
        <f>IFERROR(__xludf.DUMMYFUNCTION("""COMPUTED_VALUE"""),"luciagaray1@gmail.com")</f>
        <v>luciagaray1@gmail.com</v>
      </c>
      <c r="L70" s="45" t="str">
        <f>IFERROR(__xludf.DUMMYFUNCTION("""COMPUTED_VALUE"""),"Masculino")</f>
        <v>Masculino</v>
      </c>
      <c r="M70" s="45" t="str">
        <f>IFERROR(__xludf.DUMMYFUNCTION("""COMPUTED_VALUE"""),"CRLP ")</f>
        <v>CRLP </v>
      </c>
      <c r="N70" s="45"/>
      <c r="O70" s="45" t="str">
        <f>IFERROR(__xludf.DUMMYFUNCTION("""COMPUTED_VALUE"""),"OPTIMIST TIMONELES")</f>
        <v>OPTIMIST TIMONELES</v>
      </c>
      <c r="P70" s="45"/>
      <c r="Q70" s="7">
        <f>IFERROR(__xludf.DUMMYFUNCTION("""COMPUTED_VALUE"""),3297.0)</f>
        <v>3297</v>
      </c>
      <c r="R70" s="45" t="str">
        <f>IFERROR(__xludf.DUMMYFUNCTION("""COMPUTED_VALUE"""),"Enigma")</f>
        <v>Enigma</v>
      </c>
      <c r="S70" s="45"/>
      <c r="T70" s="45"/>
      <c r="U70" s="45"/>
      <c r="V70" s="45"/>
      <c r="W70" s="45"/>
      <c r="X70" s="45"/>
      <c r="Y70" s="45" t="str">
        <f>IFERROR(__xludf.DUMMYFUNCTION("""COMPUTED_VALUE"""),"B25224153004")</f>
        <v>B25224153004</v>
      </c>
      <c r="Z70" s="7" t="str">
        <f>IFERROR(__xludf.DUMMYFUNCTION("""COMPUTED_VALUE"""),"Si")</f>
        <v>Si</v>
      </c>
      <c r="AA70" s="7" t="str">
        <f>IFERROR(__xludf.DUMMYFUNCTION("""COMPUTED_VALUE"""),"Acepto")</f>
        <v>Acepto</v>
      </c>
      <c r="AB70" s="7" t="str">
        <f>IFERROR(__xludf.DUMMYFUNCTION("""COMPUTED_VALUE"""),"Terminado")</f>
        <v>Terminado</v>
      </c>
      <c r="AC70" s="7">
        <f>IFERROR(__xludf.DUMMYFUNCTION("""COMPUTED_VALUE"""),70000.0)</f>
        <v>70000</v>
      </c>
      <c r="AD70" s="7">
        <f>IFERROR(__xludf.DUMMYFUNCTION("""COMPUTED_VALUE"""),205334.0)</f>
        <v>205334</v>
      </c>
      <c r="AE70" s="45" t="str">
        <f>IFERROR(__xludf.DUMMYFUNCTION("""COMPUTED_VALUE"""),"TRF 01-09")</f>
        <v>TRF 01-09</v>
      </c>
      <c r="AF70" s="7" t="str">
        <f>IFERROR(__xludf.DUMMYFUNCTION("""COMPUTED_VALUE"""),"OK")</f>
        <v>OK</v>
      </c>
      <c r="AG70" s="7"/>
      <c r="AH70" s="7"/>
      <c r="AI70" s="7"/>
    </row>
    <row r="71">
      <c r="B71" s="83">
        <f>IFERROR(__xludf.DUMMYFUNCTION("""COMPUTED_VALUE"""),45534.76059563657)</f>
        <v>45534.7606</v>
      </c>
      <c r="C71" s="43" t="str">
        <f>IFERROR(__xludf.DUMMYFUNCTION("""COMPUTED_VALUE"""),"Bautista ")</f>
        <v>Bautista </v>
      </c>
      <c r="D71" s="43" t="str">
        <f>IFERROR(__xludf.DUMMYFUNCTION("""COMPUTED_VALUE"""),"Luque ")</f>
        <v>Luque </v>
      </c>
      <c r="E71" s="43" t="str">
        <f>IFERROR(__xludf.DUMMYFUNCTION("""COMPUTED_VALUE"""),"Buenos Aires ")</f>
        <v>Buenos Aires </v>
      </c>
      <c r="F71" s="7" t="str">
        <f>IFERROR(__xludf.DUMMYFUNCTION("""COMPUTED_VALUE"""),"ARG")</f>
        <v>ARG</v>
      </c>
      <c r="G71" s="7">
        <f>IFERROR(__xludf.DUMMYFUNCTION("""COMPUTED_VALUE"""),5.0416772E7)</f>
        <v>50416772</v>
      </c>
      <c r="H71" s="44">
        <f>IFERROR(__xludf.DUMMYFUNCTION("""COMPUTED_VALUE"""),40364.0)</f>
        <v>40364</v>
      </c>
      <c r="I71" s="45">
        <f>IFERROR(__xludf.DUMMYFUNCTION("""COMPUTED_VALUE"""),9.1161879557E10)</f>
        <v>91161879557</v>
      </c>
      <c r="J71" s="45">
        <f>IFERROR(__xludf.DUMMYFUNCTION("""COMPUTED_VALUE"""),9.1161879557E10)</f>
        <v>91161879557</v>
      </c>
      <c r="K71" s="45" t="str">
        <f>IFERROR(__xludf.DUMMYFUNCTION("""COMPUTED_VALUE"""),"Lulipalau@hotmail.com")</f>
        <v>Lulipalau@hotmail.com</v>
      </c>
      <c r="L71" s="45" t="str">
        <f>IFERROR(__xludf.DUMMYFUNCTION("""COMPUTED_VALUE"""),"Masculino")</f>
        <v>Masculino</v>
      </c>
      <c r="M71" s="45" t="str">
        <f>IFERROR(__xludf.DUMMYFUNCTION("""COMPUTED_VALUE"""),"YCO")</f>
        <v>YCO</v>
      </c>
      <c r="N71" s="45"/>
      <c r="O71" s="45" t="str">
        <f>IFERROR(__xludf.DUMMYFUNCTION("""COMPUTED_VALUE"""),"OPTIMIST TIMONELES")</f>
        <v>OPTIMIST TIMONELES</v>
      </c>
      <c r="P71" s="45"/>
      <c r="Q71" s="7" t="str">
        <f>IFERROR(__xludf.DUMMYFUNCTION("""COMPUTED_VALUE"""),"ARG 4011")</f>
        <v>ARG 4011</v>
      </c>
      <c r="R71" s="45"/>
      <c r="S71" s="45"/>
      <c r="T71" s="45"/>
      <c r="U71" s="45"/>
      <c r="V71" s="45"/>
      <c r="W71" s="45"/>
      <c r="X71" s="45"/>
      <c r="Y71" s="45">
        <f>IFERROR(__xludf.DUMMYFUNCTION("""COMPUTED_VALUE"""),6.1108063902E10)</f>
        <v>61108063902</v>
      </c>
      <c r="Z71" s="7" t="str">
        <f>IFERROR(__xludf.DUMMYFUNCTION("""COMPUTED_VALUE"""),"Si")</f>
        <v>Si</v>
      </c>
      <c r="AA71" s="7" t="str">
        <f>IFERROR(__xludf.DUMMYFUNCTION("""COMPUTED_VALUE"""),"Acepto")</f>
        <v>Acepto</v>
      </c>
      <c r="AB71" s="7" t="str">
        <f>IFERROR(__xludf.DUMMYFUNCTION("""COMPUTED_VALUE"""),"Terminado")</f>
        <v>Terminado</v>
      </c>
      <c r="AC71" s="7">
        <f>IFERROR(__xludf.DUMMYFUNCTION("""COMPUTED_VALUE"""),50000.0)</f>
        <v>50000</v>
      </c>
      <c r="AD71" s="7"/>
      <c r="AE71" s="45" t="str">
        <f>IFERROR(__xludf.DUMMYFUNCTION("""COMPUTED_VALUE"""),"AF")</f>
        <v>AF</v>
      </c>
      <c r="AF71" s="7" t="str">
        <f>IFERROR(__xludf.DUMMYFUNCTION("""COMPUTED_VALUE"""),"OK")</f>
        <v>OK</v>
      </c>
      <c r="AG71" s="7"/>
      <c r="AH71" s="7"/>
      <c r="AI71" s="7"/>
    </row>
    <row r="72">
      <c r="B72" s="83">
        <f>IFERROR(__xludf.DUMMYFUNCTION("""COMPUTED_VALUE"""),45534.762057314816)</f>
        <v>45534.76206</v>
      </c>
      <c r="C72" s="43" t="str">
        <f>IFERROR(__xludf.DUMMYFUNCTION("""COMPUTED_VALUE"""),"Delfina ")</f>
        <v>Delfina </v>
      </c>
      <c r="D72" s="43" t="str">
        <f>IFERROR(__xludf.DUMMYFUNCTION("""COMPUTED_VALUE"""),"Luque ")</f>
        <v>Luque </v>
      </c>
      <c r="E72" s="43" t="str">
        <f>IFERROR(__xludf.DUMMYFUNCTION("""COMPUTED_VALUE"""),"Buenos Aires ")</f>
        <v>Buenos Aires </v>
      </c>
      <c r="F72" s="7" t="str">
        <f>IFERROR(__xludf.DUMMYFUNCTION("""COMPUTED_VALUE"""),"ARG")</f>
        <v>ARG</v>
      </c>
      <c r="G72" s="7">
        <f>IFERROR(__xludf.DUMMYFUNCTION("""COMPUTED_VALUE"""),5.2768606E7)</f>
        <v>52768606</v>
      </c>
      <c r="H72" s="44">
        <f>IFERROR(__xludf.DUMMYFUNCTION("""COMPUTED_VALUE"""),41178.0)</f>
        <v>41178</v>
      </c>
      <c r="I72" s="45">
        <f>IFERROR(__xludf.DUMMYFUNCTION("""COMPUTED_VALUE"""),9.1161879557E10)</f>
        <v>91161879557</v>
      </c>
      <c r="J72" s="45">
        <f>IFERROR(__xludf.DUMMYFUNCTION("""COMPUTED_VALUE"""),9.1161879557E10)</f>
        <v>91161879557</v>
      </c>
      <c r="K72" s="45" t="str">
        <f>IFERROR(__xludf.DUMMYFUNCTION("""COMPUTED_VALUE"""),"Lulipalau@hotmail.com")</f>
        <v>Lulipalau@hotmail.com</v>
      </c>
      <c r="L72" s="45" t="str">
        <f>IFERROR(__xludf.DUMMYFUNCTION("""COMPUTED_VALUE"""),"Femenino")</f>
        <v>Femenino</v>
      </c>
      <c r="M72" s="45" t="str">
        <f>IFERROR(__xludf.DUMMYFUNCTION("""COMPUTED_VALUE"""),"YCO")</f>
        <v>YCO</v>
      </c>
      <c r="N72" s="45" t="str">
        <f>IFERROR(__xludf.DUMMYFUNCTION("""COMPUTED_VALUE"""),"Femenino, Sub12")</f>
        <v>Femenino, Sub12</v>
      </c>
      <c r="O72" s="45" t="str">
        <f>IFERROR(__xludf.DUMMYFUNCTION("""COMPUTED_VALUE"""),"OPTIMIST TIMONELES")</f>
        <v>OPTIMIST TIMONELES</v>
      </c>
      <c r="P72" s="45"/>
      <c r="Q72" s="7" t="str">
        <f>IFERROR(__xludf.DUMMYFUNCTION("""COMPUTED_VALUE"""),"ARG4031")</f>
        <v>ARG4031</v>
      </c>
      <c r="R72" s="45"/>
      <c r="S72" s="45"/>
      <c r="T72" s="45"/>
      <c r="U72" s="45"/>
      <c r="V72" s="45"/>
      <c r="W72" s="45"/>
      <c r="X72" s="45"/>
      <c r="Y72" s="45">
        <f>IFERROR(__xludf.DUMMYFUNCTION("""COMPUTED_VALUE"""),6.1108063903E10)</f>
        <v>61108063903</v>
      </c>
      <c r="Z72" s="7" t="str">
        <f>IFERROR(__xludf.DUMMYFUNCTION("""COMPUTED_VALUE"""),"Si")</f>
        <v>Si</v>
      </c>
      <c r="AA72" s="7" t="str">
        <f>IFERROR(__xludf.DUMMYFUNCTION("""COMPUTED_VALUE"""),"Acepto")</f>
        <v>Acepto</v>
      </c>
      <c r="AB72" s="7" t="str">
        <f>IFERROR(__xludf.DUMMYFUNCTION("""COMPUTED_VALUE"""),"Terminado")</f>
        <v>Terminado</v>
      </c>
      <c r="AC72" s="7">
        <f>IFERROR(__xludf.DUMMYFUNCTION("""COMPUTED_VALUE"""),50000.0)</f>
        <v>50000</v>
      </c>
      <c r="AD72" s="7"/>
      <c r="AE72" s="45" t="str">
        <f>IFERROR(__xludf.DUMMYFUNCTION("""COMPUTED_VALUE"""),"AF")</f>
        <v>AF</v>
      </c>
      <c r="AF72" s="7" t="str">
        <f>IFERROR(__xludf.DUMMYFUNCTION("""COMPUTED_VALUE"""),"OK")</f>
        <v>OK</v>
      </c>
      <c r="AG72" s="7"/>
      <c r="AH72" s="7"/>
      <c r="AI72" s="7"/>
    </row>
    <row r="73">
      <c r="B73" s="83">
        <f>IFERROR(__xludf.DUMMYFUNCTION("""COMPUTED_VALUE"""),45535.9718328125)</f>
        <v>45535.97183</v>
      </c>
      <c r="C73" s="43" t="str">
        <f>IFERROR(__xludf.DUMMYFUNCTION("""COMPUTED_VALUE"""),"Valentina")</f>
        <v>Valentina</v>
      </c>
      <c r="D73" s="43" t="str">
        <f>IFERROR(__xludf.DUMMYFUNCTION("""COMPUTED_VALUE"""),"Maffei")</f>
        <v>Maffei</v>
      </c>
      <c r="E73" s="43" t="str">
        <f>IFERROR(__xludf.DUMMYFUNCTION("""COMPUTED_VALUE"""),"CABA")</f>
        <v>CABA</v>
      </c>
      <c r="F73" s="7" t="str">
        <f>IFERROR(__xludf.DUMMYFUNCTION("""COMPUTED_VALUE"""),"ARG")</f>
        <v>ARG</v>
      </c>
      <c r="G73" s="7">
        <f>IFERROR(__xludf.DUMMYFUNCTION("""COMPUTED_VALUE"""),5.090323E7)</f>
        <v>50903230</v>
      </c>
      <c r="H73" s="44">
        <f>IFERROR(__xludf.DUMMYFUNCTION("""COMPUTED_VALUE"""),40545.0)</f>
        <v>40545</v>
      </c>
      <c r="I73" s="45">
        <f>IFERROR(__xludf.DUMMYFUNCTION("""COMPUTED_VALUE"""),1.156368464E9)</f>
        <v>1156368464</v>
      </c>
      <c r="J73" s="45">
        <f>IFERROR(__xludf.DUMMYFUNCTION("""COMPUTED_VALUE"""),1.121894757E9)</f>
        <v>1121894757</v>
      </c>
      <c r="K73" s="45" t="str">
        <f>IFERROR(__xludf.DUMMYFUNCTION("""COMPUTED_VALUE"""),"dmemergencias@gmail.com")</f>
        <v>dmemergencias@gmail.com</v>
      </c>
      <c r="L73" s="45" t="str">
        <f>IFERROR(__xludf.DUMMYFUNCTION("""COMPUTED_VALUE"""),"Femenino")</f>
        <v>Femenino</v>
      </c>
      <c r="M73" s="45" t="str">
        <f>IFERROR(__xludf.DUMMYFUNCTION("""COMPUTED_VALUE"""),"CVB")</f>
        <v>CVB</v>
      </c>
      <c r="N73" s="45" t="str">
        <f>IFERROR(__xludf.DUMMYFUNCTION("""COMPUTED_VALUE"""),"Femenino")</f>
        <v>Femenino</v>
      </c>
      <c r="O73" s="45" t="str">
        <f>IFERROR(__xludf.DUMMYFUNCTION("""COMPUTED_VALUE"""),"OPTIMIST TIMONELES")</f>
        <v>OPTIMIST TIMONELES</v>
      </c>
      <c r="P73" s="45"/>
      <c r="Q73" s="7">
        <f>IFERROR(__xludf.DUMMYFUNCTION("""COMPUTED_VALUE"""),3643.0)</f>
        <v>3643</v>
      </c>
      <c r="R73" s="45"/>
      <c r="S73" s="45"/>
      <c r="T73" s="45"/>
      <c r="U73" s="45"/>
      <c r="V73" s="45"/>
      <c r="W73" s="45"/>
      <c r="X73" s="45"/>
      <c r="Y73" s="45" t="str">
        <f>IFERROR(__xludf.DUMMYFUNCTION("""COMPUTED_VALUE"""),"MEDICUS")</f>
        <v>MEDICUS</v>
      </c>
      <c r="Z73" s="7" t="str">
        <f>IFERROR(__xludf.DUMMYFUNCTION("""COMPUTED_VALUE"""),"No")</f>
        <v>No</v>
      </c>
      <c r="AA73" s="7" t="str">
        <f>IFERROR(__xludf.DUMMYFUNCTION("""COMPUTED_VALUE"""),"Acepto")</f>
        <v>Acepto</v>
      </c>
      <c r="AB73" s="7" t="str">
        <f>IFERROR(__xludf.DUMMYFUNCTION("""COMPUTED_VALUE"""),"Terminado")</f>
        <v>Terminado</v>
      </c>
      <c r="AC73" s="7">
        <f>IFERROR(__xludf.DUMMYFUNCTION("""COMPUTED_VALUE"""),50000.0)</f>
        <v>50000</v>
      </c>
      <c r="AD73" s="7">
        <f>IFERROR(__xludf.DUMMYFUNCTION("""COMPUTED_VALUE"""),205338.0)</f>
        <v>205338</v>
      </c>
      <c r="AE73" s="45" t="str">
        <f>IFERROR(__xludf.DUMMYFUNCTION("""COMPUTED_VALUE"""),"TRF 31-08")</f>
        <v>TRF 31-08</v>
      </c>
      <c r="AF73" s="7" t="str">
        <f>IFERROR(__xludf.DUMMYFUNCTION("""COMPUTED_VALUE"""),"OK")</f>
        <v>OK</v>
      </c>
      <c r="AG73" s="7" t="str">
        <f>IFERROR(__xludf.DUMMYFUNCTION("""COMPUTED_VALUE"""),"SI")</f>
        <v>SI</v>
      </c>
      <c r="AH73" s="7"/>
      <c r="AI73" s="7"/>
    </row>
    <row r="74">
      <c r="B74" s="83">
        <f>IFERROR(__xludf.DUMMYFUNCTION("""COMPUTED_VALUE"""),45538.80878018518)</f>
        <v>45538.80878</v>
      </c>
      <c r="C74" s="43" t="str">
        <f>IFERROR(__xludf.DUMMYFUNCTION("""COMPUTED_VALUE"""),"Constantino")</f>
        <v>Constantino</v>
      </c>
      <c r="D74" s="43" t="str">
        <f>IFERROR(__xludf.DUMMYFUNCTION("""COMPUTED_VALUE"""),"Maffei")</f>
        <v>Maffei</v>
      </c>
      <c r="E74" s="43" t="str">
        <f>IFERROR(__xludf.DUMMYFUNCTION("""COMPUTED_VALUE"""),"Buenos Aires")</f>
        <v>Buenos Aires</v>
      </c>
      <c r="F74" s="7" t="str">
        <f>IFERROR(__xludf.DUMMYFUNCTION("""COMPUTED_VALUE"""),"ARG")</f>
        <v>ARG</v>
      </c>
      <c r="G74" s="7">
        <f>IFERROR(__xludf.DUMMYFUNCTION("""COMPUTED_VALUE"""),5.1157369E7)</f>
        <v>51157369</v>
      </c>
      <c r="H74" s="44">
        <f>IFERROR(__xludf.DUMMYFUNCTION("""COMPUTED_VALUE"""),40725.0)</f>
        <v>40725</v>
      </c>
      <c r="I74" s="45">
        <f>IFERROR(__xludf.DUMMYFUNCTION("""COMPUTED_VALUE"""),1.159763843E9)</f>
        <v>1159763843</v>
      </c>
      <c r="J74" s="45">
        <f>IFERROR(__xludf.DUMMYFUNCTION("""COMPUTED_VALUE"""),1.1512611E9)</f>
        <v>1151261100</v>
      </c>
      <c r="K74" s="45" t="str">
        <f>IFERROR(__xludf.DUMMYFUNCTION("""COMPUTED_VALUE"""),"carinafarinelli@hotmail.com")</f>
        <v>carinafarinelli@hotmail.com</v>
      </c>
      <c r="L74" s="45" t="str">
        <f>IFERROR(__xludf.DUMMYFUNCTION("""COMPUTED_VALUE"""),"Masculino")</f>
        <v>Masculino</v>
      </c>
      <c r="M74" s="45" t="str">
        <f>IFERROR(__xludf.DUMMYFUNCTION("""COMPUTED_VALUE"""),"CPNLB")</f>
        <v>CPNLB</v>
      </c>
      <c r="N74" s="45"/>
      <c r="O74" s="45" t="str">
        <f>IFERROR(__xludf.DUMMYFUNCTION("""COMPUTED_VALUE"""),"OPTIMIST TIMONELES")</f>
        <v>OPTIMIST TIMONELES</v>
      </c>
      <c r="P74" s="45"/>
      <c r="Q74" s="7">
        <f>IFERROR(__xludf.DUMMYFUNCTION("""COMPUTED_VALUE"""),4047.0)</f>
        <v>4047</v>
      </c>
      <c r="R74" s="45" t="str">
        <f>IFERROR(__xludf.DUMMYFUNCTION("""COMPUTED_VALUE"""),"Demoledor ")</f>
        <v>Demoledor </v>
      </c>
      <c r="S74" s="45"/>
      <c r="T74" s="45"/>
      <c r="U74" s="45"/>
      <c r="V74" s="45"/>
      <c r="W74" s="45"/>
      <c r="X74" s="45"/>
      <c r="Y74" s="45" t="str">
        <f>IFERROR(__xludf.DUMMYFUNCTION("""COMPUTED_VALUE"""),"OSDE 310")</f>
        <v>OSDE 310</v>
      </c>
      <c r="Z74" s="7" t="str">
        <f>IFERROR(__xludf.DUMMYFUNCTION("""COMPUTED_VALUE"""),"Si")</f>
        <v>Si</v>
      </c>
      <c r="AA74" s="7" t="str">
        <f>IFERROR(__xludf.DUMMYFUNCTION("""COMPUTED_VALUE"""),"Acepto")</f>
        <v>Acepto</v>
      </c>
      <c r="AB74" s="7" t="str">
        <f>IFERROR(__xludf.DUMMYFUNCTION("""COMPUTED_VALUE"""),"Terminado")</f>
        <v>Terminado</v>
      </c>
      <c r="AC74" s="7">
        <f>IFERROR(__xludf.DUMMYFUNCTION("""COMPUTED_VALUE"""),50000.0)</f>
        <v>50000</v>
      </c>
      <c r="AD74" s="7">
        <f>IFERROR(__xludf.DUMMYFUNCTION("""COMPUTED_VALUE"""),205569.0)</f>
        <v>205569</v>
      </c>
      <c r="AE74" s="45" t="str">
        <f>IFERROR(__xludf.DUMMYFUNCTION("""COMPUTED_VALUE"""),"TRF 07-09")</f>
        <v>TRF 07-09</v>
      </c>
      <c r="AF74" s="7" t="str">
        <f>IFERROR(__xludf.DUMMYFUNCTION("""COMPUTED_VALUE"""),"OK")</f>
        <v>OK</v>
      </c>
      <c r="AG74" s="7" t="str">
        <f>IFERROR(__xludf.DUMMYFUNCTION("""COMPUTED_VALUE"""),"SI")</f>
        <v>SI</v>
      </c>
      <c r="AH74" s="7"/>
      <c r="AI74" s="7"/>
    </row>
    <row r="75">
      <c r="B75" s="83">
        <f>IFERROR(__xludf.DUMMYFUNCTION("""COMPUTED_VALUE"""),45538.74099226852)</f>
        <v>45538.74099</v>
      </c>
      <c r="C75" s="43" t="str">
        <f>IFERROR(__xludf.DUMMYFUNCTION("""COMPUTED_VALUE"""),"FEDERICO EDUARDO")</f>
        <v>FEDERICO EDUARDO</v>
      </c>
      <c r="D75" s="43" t="str">
        <f>IFERROR(__xludf.DUMMYFUNCTION("""COMPUTED_VALUE"""),"MAINERO")</f>
        <v>MAINERO</v>
      </c>
      <c r="E75" s="43" t="str">
        <f>IFERROR(__xludf.DUMMYFUNCTION("""COMPUTED_VALUE"""),"BUENOS AIRES")</f>
        <v>BUENOS AIRES</v>
      </c>
      <c r="F75" s="7" t="str">
        <f>IFERROR(__xludf.DUMMYFUNCTION("""COMPUTED_VALUE"""),"ARG")</f>
        <v>ARG</v>
      </c>
      <c r="G75" s="7">
        <f>IFERROR(__xludf.DUMMYFUNCTION("""COMPUTED_VALUE"""),5.244863E7)</f>
        <v>52448630</v>
      </c>
      <c r="H75" s="44">
        <f>IFERROR(__xludf.DUMMYFUNCTION("""COMPUTED_VALUE"""),41049.0)</f>
        <v>41049</v>
      </c>
      <c r="I75" s="45">
        <f>IFERROR(__xludf.DUMMYFUNCTION("""COMPUTED_VALUE"""),1.149924264E9)</f>
        <v>1149924264</v>
      </c>
      <c r="J75" s="45">
        <f>IFERROR(__xludf.DUMMYFUNCTION("""COMPUTED_VALUE"""),1.16192989E9)</f>
        <v>1161929890</v>
      </c>
      <c r="K75" s="45" t="str">
        <f>IFERROR(__xludf.DUMMYFUNCTION("""COMPUTED_VALUE"""),"info@mainerowicht.com.ar")</f>
        <v>info@mainerowicht.com.ar</v>
      </c>
      <c r="L75" s="45" t="str">
        <f>IFERROR(__xludf.DUMMYFUNCTION("""COMPUTED_VALUE"""),"Masculino")</f>
        <v>Masculino</v>
      </c>
      <c r="M75" s="45" t="str">
        <f>IFERROR(__xludf.DUMMYFUNCTION("""COMPUTED_VALUE"""),"YCCN")</f>
        <v>YCCN</v>
      </c>
      <c r="N75" s="45"/>
      <c r="O75" s="45" t="str">
        <f>IFERROR(__xludf.DUMMYFUNCTION("""COMPUTED_VALUE"""),"OPTIMIST TIMONELES")</f>
        <v>OPTIMIST TIMONELES</v>
      </c>
      <c r="P75" s="45"/>
      <c r="Q75" s="7">
        <f>IFERROR(__xludf.DUMMYFUNCTION("""COMPUTED_VALUE"""),3968.0)</f>
        <v>3968</v>
      </c>
      <c r="R75" s="45"/>
      <c r="S75" s="45"/>
      <c r="T75" s="45"/>
      <c r="U75" s="45"/>
      <c r="V75" s="45"/>
      <c r="W75" s="45"/>
      <c r="X75" s="45"/>
      <c r="Y75" s="45" t="str">
        <f>IFERROR(__xludf.DUMMYFUNCTION("""COMPUTED_VALUE"""),"OMINT")</f>
        <v>OMINT</v>
      </c>
      <c r="Z75" s="7" t="str">
        <f>IFERROR(__xludf.DUMMYFUNCTION("""COMPUTED_VALUE"""),"No")</f>
        <v>No</v>
      </c>
      <c r="AA75" s="7" t="str">
        <f>IFERROR(__xludf.DUMMYFUNCTION("""COMPUTED_VALUE"""),"Acepto")</f>
        <v>Acepto</v>
      </c>
      <c r="AB75" s="7" t="str">
        <f>IFERROR(__xludf.DUMMYFUNCTION("""COMPUTED_VALUE"""),"Terminado")</f>
        <v>Terminado</v>
      </c>
      <c r="AC75" s="7">
        <f>IFERROR(__xludf.DUMMYFUNCTION("""COMPUTED_VALUE"""),50000.0)</f>
        <v>50000</v>
      </c>
      <c r="AD75" s="7">
        <f>IFERROR(__xludf.DUMMYFUNCTION("""COMPUTED_VALUE"""),205418.0)</f>
        <v>205418</v>
      </c>
      <c r="AE75" s="45" t="str">
        <f>IFERROR(__xludf.DUMMYFUNCTION("""COMPUTED_VALUE"""),"TRF 03-09")</f>
        <v>TRF 03-09</v>
      </c>
      <c r="AF75" s="7" t="str">
        <f>IFERROR(__xludf.DUMMYFUNCTION("""COMPUTED_VALUE"""),"OK")</f>
        <v>OK</v>
      </c>
      <c r="AG75" s="7"/>
      <c r="AH75" s="7"/>
      <c r="AI75" s="7"/>
    </row>
    <row r="76">
      <c r="B76" s="83">
        <f>IFERROR(__xludf.DUMMYFUNCTION("""COMPUTED_VALUE"""),45533.464630937495)</f>
        <v>45533.46463</v>
      </c>
      <c r="C76" s="43" t="str">
        <f>IFERROR(__xludf.DUMMYFUNCTION("""COMPUTED_VALUE"""),"MILO")</f>
        <v>MILO</v>
      </c>
      <c r="D76" s="43" t="str">
        <f>IFERROR(__xludf.DUMMYFUNCTION("""COMPUTED_VALUE"""),"MESSINA")</f>
        <v>MESSINA</v>
      </c>
      <c r="E76" s="43" t="str">
        <f>IFERROR(__xludf.DUMMYFUNCTION("""COMPUTED_VALUE"""),"BUENOS AIRES")</f>
        <v>BUENOS AIRES</v>
      </c>
      <c r="F76" s="7" t="str">
        <f>IFERROR(__xludf.DUMMYFUNCTION("""COMPUTED_VALUE"""),"ARG")</f>
        <v>ARG</v>
      </c>
      <c r="G76" s="7">
        <f>IFERROR(__xludf.DUMMYFUNCTION("""COMPUTED_VALUE"""),5.2122807E7)</f>
        <v>52122807</v>
      </c>
      <c r="H76" s="44">
        <f>IFERROR(__xludf.DUMMYFUNCTION("""COMPUTED_VALUE"""),-689531.0)</f>
        <v>-689531</v>
      </c>
      <c r="I76" s="45">
        <f>IFERROR(__xludf.DUMMYFUNCTION("""COMPUTED_VALUE"""),1.162588124E9)</f>
        <v>1162588124</v>
      </c>
      <c r="J76" s="45">
        <f>IFERROR(__xludf.DUMMYFUNCTION("""COMPUTED_VALUE"""),1.145587913E9)</f>
        <v>1145587913</v>
      </c>
      <c r="K76" s="45" t="str">
        <f>IFERROR(__xludf.DUMMYFUNCTION("""COMPUTED_VALUE"""),"CARO_MORE@YAHOO.COM")</f>
        <v>CARO_MORE@YAHOO.COM</v>
      </c>
      <c r="L76" s="45" t="str">
        <f>IFERROR(__xludf.DUMMYFUNCTION("""COMPUTED_VALUE"""),"Masculino")</f>
        <v>Masculino</v>
      </c>
      <c r="M76" s="45" t="str">
        <f>IFERROR(__xludf.DUMMYFUNCTION("""COMPUTED_VALUE"""),"CVB")</f>
        <v>CVB</v>
      </c>
      <c r="N76" s="45"/>
      <c r="O76" s="45" t="str">
        <f>IFERROR(__xludf.DUMMYFUNCTION("""COMPUTED_VALUE"""),"OPTIMIST TIMONELES")</f>
        <v>OPTIMIST TIMONELES</v>
      </c>
      <c r="P76" s="45"/>
      <c r="Q76" s="7">
        <f>IFERROR(__xludf.DUMMYFUNCTION("""COMPUTED_VALUE"""),3565.0)</f>
        <v>3565</v>
      </c>
      <c r="R76" s="45" t="str">
        <f>IFERROR(__xludf.DUMMYFUNCTION("""COMPUTED_VALUE"""),"TITAN")</f>
        <v>TITAN</v>
      </c>
      <c r="S76" s="45"/>
      <c r="T76" s="45"/>
      <c r="U76" s="45"/>
      <c r="V76" s="45"/>
      <c r="W76" s="45"/>
      <c r="X76" s="45"/>
      <c r="Y76" s="45" t="str">
        <f>IFERROR(__xludf.DUMMYFUNCTION("""COMPUTED_VALUE"""),"DOSUBA")</f>
        <v>DOSUBA</v>
      </c>
      <c r="Z76" s="7" t="str">
        <f>IFERROR(__xludf.DUMMYFUNCTION("""COMPUTED_VALUE"""),"Si")</f>
        <v>Si</v>
      </c>
      <c r="AA76" s="7" t="str">
        <f>IFERROR(__xludf.DUMMYFUNCTION("""COMPUTED_VALUE"""),"Acepto")</f>
        <v>Acepto</v>
      </c>
      <c r="AB76" s="7" t="str">
        <f>IFERROR(__xludf.DUMMYFUNCTION("""COMPUTED_VALUE"""),"Terminado")</f>
        <v>Terminado</v>
      </c>
      <c r="AC76" s="7">
        <f>IFERROR(__xludf.DUMMYFUNCTION("""COMPUTED_VALUE"""),50000.0)</f>
        <v>50000</v>
      </c>
      <c r="AD76" s="7">
        <f>IFERROR(__xludf.DUMMYFUNCTION("""COMPUTED_VALUE"""),205073.0)</f>
        <v>205073</v>
      </c>
      <c r="AE76" s="45" t="str">
        <f>IFERROR(__xludf.DUMMYFUNCTION("""COMPUTED_VALUE"""),"TRF 29-08")</f>
        <v>TRF 29-08</v>
      </c>
      <c r="AF76" s="7" t="str">
        <f>IFERROR(__xludf.DUMMYFUNCTION("""COMPUTED_VALUE"""),"OK")</f>
        <v>OK</v>
      </c>
      <c r="AG76" s="7" t="str">
        <f>IFERROR(__xludf.DUMMYFUNCTION("""COMPUTED_VALUE"""),"SI")</f>
        <v>SI</v>
      </c>
      <c r="AH76" s="7"/>
      <c r="AI76" s="7"/>
    </row>
    <row r="77">
      <c r="B77" s="83">
        <f>IFERROR(__xludf.DUMMYFUNCTION("""COMPUTED_VALUE"""),45535.59241896991)</f>
        <v>45535.59242</v>
      </c>
      <c r="C77" s="43" t="str">
        <f>IFERROR(__xludf.DUMMYFUNCTION("""COMPUTED_VALUE"""),"Josefina")</f>
        <v>Josefina</v>
      </c>
      <c r="D77" s="43" t="str">
        <f>IFERROR(__xludf.DUMMYFUNCTION("""COMPUTED_VALUE"""),"Mirey")</f>
        <v>Mirey</v>
      </c>
      <c r="E77" s="43" t="str">
        <f>IFERROR(__xludf.DUMMYFUNCTION("""COMPUTED_VALUE"""),"Zarate")</f>
        <v>Zarate</v>
      </c>
      <c r="F77" s="7" t="str">
        <f>IFERROR(__xludf.DUMMYFUNCTION("""COMPUTED_VALUE"""),"ARG")</f>
        <v>ARG</v>
      </c>
      <c r="G77" s="7">
        <f>IFERROR(__xludf.DUMMYFUNCTION("""COMPUTED_VALUE"""),5.116744E7)</f>
        <v>51167440</v>
      </c>
      <c r="H77" s="44">
        <f>IFERROR(__xludf.DUMMYFUNCTION("""COMPUTED_VALUE"""),40773.0)</f>
        <v>40773</v>
      </c>
      <c r="I77" s="45" t="str">
        <f>IFERROR(__xludf.DUMMYFUNCTION("""COMPUTED_VALUE"""),"3487-308488")</f>
        <v>3487-308488</v>
      </c>
      <c r="J77" s="45" t="str">
        <f>IFERROR(__xludf.DUMMYFUNCTION("""COMPUTED_VALUE"""),"3487-308487")</f>
        <v>3487-308487</v>
      </c>
      <c r="K77" s="45" t="str">
        <f>IFERROR(__xludf.DUMMYFUNCTION("""COMPUTED_VALUE"""),"marcelomirey@hotmail.com")</f>
        <v>marcelomirey@hotmail.com</v>
      </c>
      <c r="L77" s="45" t="str">
        <f>IFERROR(__xludf.DUMMYFUNCTION("""COMPUTED_VALUE"""),"Femenino")</f>
        <v>Femenino</v>
      </c>
      <c r="M77" s="45" t="str">
        <f>IFERROR(__xludf.DUMMYFUNCTION("""COMPUTED_VALUE"""),"CNZ")</f>
        <v>CNZ</v>
      </c>
      <c r="N77" s="45" t="str">
        <f>IFERROR(__xludf.DUMMYFUNCTION("""COMPUTED_VALUE"""),"Femenino")</f>
        <v>Femenino</v>
      </c>
      <c r="O77" s="45" t="str">
        <f>IFERROR(__xludf.DUMMYFUNCTION("""COMPUTED_VALUE"""),"OPTIMIST TIMONELES")</f>
        <v>OPTIMIST TIMONELES</v>
      </c>
      <c r="P77" s="45"/>
      <c r="Q77" s="7">
        <f>IFERROR(__xludf.DUMMYFUNCTION("""COMPUTED_VALUE"""),3538.0)</f>
        <v>3538</v>
      </c>
      <c r="R77" s="45"/>
      <c r="S77" s="45"/>
      <c r="T77" s="45"/>
      <c r="U77" s="45"/>
      <c r="V77" s="45"/>
      <c r="W77" s="45"/>
      <c r="X77" s="45"/>
      <c r="Y77" s="45" t="str">
        <f>IFERROR(__xludf.DUMMYFUNCTION("""COMPUTED_VALUE"""),"COMEI 050863-02-0 ")</f>
        <v>COMEI 050863-02-0 </v>
      </c>
      <c r="Z77" s="7" t="str">
        <f>IFERROR(__xludf.DUMMYFUNCTION("""COMPUTED_VALUE"""),"Si")</f>
        <v>Si</v>
      </c>
      <c r="AA77" s="7" t="str">
        <f>IFERROR(__xludf.DUMMYFUNCTION("""COMPUTED_VALUE"""),"Acepto")</f>
        <v>Acepto</v>
      </c>
      <c r="AB77" s="7" t="str">
        <f>IFERROR(__xludf.DUMMYFUNCTION("""COMPUTED_VALUE"""),"Terminado")</f>
        <v>Terminado</v>
      </c>
      <c r="AC77" s="7">
        <f>IFERROR(__xludf.DUMMYFUNCTION("""COMPUTED_VALUE"""),50000.0)</f>
        <v>50000</v>
      </c>
      <c r="AD77" s="7">
        <f>IFERROR(__xludf.DUMMYFUNCTION("""COMPUTED_VALUE"""),205152.0)</f>
        <v>205152</v>
      </c>
      <c r="AE77" s="45" t="str">
        <f>IFERROR(__xludf.DUMMYFUNCTION("""COMPUTED_VALUE"""),"TRF 31-08")</f>
        <v>TRF 31-08</v>
      </c>
      <c r="AF77" s="7" t="str">
        <f>IFERROR(__xludf.DUMMYFUNCTION("""COMPUTED_VALUE"""),"OK")</f>
        <v>OK</v>
      </c>
      <c r="AG77" s="7"/>
      <c r="AH77" s="7"/>
      <c r="AI77" s="7"/>
    </row>
    <row r="78">
      <c r="B78" s="83">
        <f>IFERROR(__xludf.DUMMYFUNCTION("""COMPUTED_VALUE"""),45531.27942752315)</f>
        <v>45531.27943</v>
      </c>
      <c r="C78" s="43" t="str">
        <f>IFERROR(__xludf.DUMMYFUNCTION("""COMPUTED_VALUE"""),"Josefina")</f>
        <v>Josefina</v>
      </c>
      <c r="D78" s="43" t="str">
        <f>IFERROR(__xludf.DUMMYFUNCTION("""COMPUTED_VALUE"""),"Molinari")</f>
        <v>Molinari</v>
      </c>
      <c r="E78" s="43" t="str">
        <f>IFERROR(__xludf.DUMMYFUNCTION("""COMPUTED_VALUE"""),"CABA")</f>
        <v>CABA</v>
      </c>
      <c r="F78" s="7" t="str">
        <f>IFERROR(__xludf.DUMMYFUNCTION("""COMPUTED_VALUE"""),"ARG")</f>
        <v>ARG</v>
      </c>
      <c r="G78" s="7">
        <f>IFERROR(__xludf.DUMMYFUNCTION("""COMPUTED_VALUE"""),5.0156147E7)</f>
        <v>50156147</v>
      </c>
      <c r="H78" s="44">
        <f>IFERROR(__xludf.DUMMYFUNCTION("""COMPUTED_VALUE"""),40227.0)</f>
        <v>40227</v>
      </c>
      <c r="I78" s="45" t="str">
        <f>IFERROR(__xludf.DUMMYFUNCTION("""COMPUTED_VALUE"""),"15-6852-6245")</f>
        <v>15-6852-6245</v>
      </c>
      <c r="J78" s="45" t="str">
        <f>IFERROR(__xludf.DUMMYFUNCTION("""COMPUTED_VALUE"""),"15-6852-6235")</f>
        <v>15-6852-6235</v>
      </c>
      <c r="K78" s="45" t="str">
        <f>IFERROR(__xludf.DUMMYFUNCTION("""COMPUTED_VALUE"""),"molinaricv@gmail.com")</f>
        <v>molinaricv@gmail.com</v>
      </c>
      <c r="L78" s="45" t="str">
        <f>IFERROR(__xludf.DUMMYFUNCTION("""COMPUTED_VALUE"""),"Femenino")</f>
        <v>Femenino</v>
      </c>
      <c r="M78" s="45" t="str">
        <f>IFERROR(__xludf.DUMMYFUNCTION("""COMPUTED_VALUE"""),"CVB")</f>
        <v>CVB</v>
      </c>
      <c r="N78" s="45" t="str">
        <f>IFERROR(__xludf.DUMMYFUNCTION("""COMPUTED_VALUE"""),"Femenino")</f>
        <v>Femenino</v>
      </c>
      <c r="O78" s="45" t="str">
        <f>IFERROR(__xludf.DUMMYFUNCTION("""COMPUTED_VALUE"""),"OPTIMIST TIMONELES")</f>
        <v>OPTIMIST TIMONELES</v>
      </c>
      <c r="P78" s="45"/>
      <c r="Q78" s="7">
        <f>IFERROR(__xludf.DUMMYFUNCTION("""COMPUTED_VALUE"""),3991.0)</f>
        <v>3991</v>
      </c>
      <c r="R78" s="45"/>
      <c r="S78" s="45"/>
      <c r="T78" s="45"/>
      <c r="U78" s="45"/>
      <c r="V78" s="45"/>
      <c r="W78" s="45"/>
      <c r="X78" s="45"/>
      <c r="Y78" s="45"/>
      <c r="Z78" s="7" t="str">
        <f>IFERROR(__xludf.DUMMYFUNCTION("""COMPUTED_VALUE"""),"Si")</f>
        <v>Si</v>
      </c>
      <c r="AA78" s="7" t="str">
        <f>IFERROR(__xludf.DUMMYFUNCTION("""COMPUTED_VALUE"""),"Acepto")</f>
        <v>Acepto</v>
      </c>
      <c r="AB78" s="7" t="str">
        <f>IFERROR(__xludf.DUMMYFUNCTION("""COMPUTED_VALUE"""),"Terminado")</f>
        <v>Terminado</v>
      </c>
      <c r="AC78" s="7">
        <f>IFERROR(__xludf.DUMMYFUNCTION("""COMPUTED_VALUE"""),50000.0)</f>
        <v>50000</v>
      </c>
      <c r="AD78" s="7">
        <f>IFERROR(__xludf.DUMMYFUNCTION("""COMPUTED_VALUE"""),205107.0)</f>
        <v>205107</v>
      </c>
      <c r="AE78" s="45" t="str">
        <f>IFERROR(__xludf.DUMMYFUNCTION("""COMPUTED_VALUE"""),"TRF 30-08")</f>
        <v>TRF 30-08</v>
      </c>
      <c r="AF78" s="7" t="str">
        <f>IFERROR(__xludf.DUMMYFUNCTION("""COMPUTED_VALUE"""),"OK")</f>
        <v>OK</v>
      </c>
      <c r="AG78" s="7" t="str">
        <f>IFERROR(__xludf.DUMMYFUNCTION("""COMPUTED_VALUE"""),"SI")</f>
        <v>SI</v>
      </c>
      <c r="AH78" s="7"/>
      <c r="AI78" s="7"/>
    </row>
    <row r="79">
      <c r="B79" s="83">
        <f>IFERROR(__xludf.DUMMYFUNCTION("""COMPUTED_VALUE"""),45531.280336400465)</f>
        <v>45531.28034</v>
      </c>
      <c r="C79" s="43" t="str">
        <f>IFERROR(__xludf.DUMMYFUNCTION("""COMPUTED_VALUE"""),"Tomas")</f>
        <v>Tomas</v>
      </c>
      <c r="D79" s="43" t="str">
        <f>IFERROR(__xludf.DUMMYFUNCTION("""COMPUTED_VALUE"""),"Molinari")</f>
        <v>Molinari</v>
      </c>
      <c r="E79" s="43" t="str">
        <f>IFERROR(__xludf.DUMMYFUNCTION("""COMPUTED_VALUE"""),"CABA")</f>
        <v>CABA</v>
      </c>
      <c r="F79" s="7" t="str">
        <f>IFERROR(__xludf.DUMMYFUNCTION("""COMPUTED_VALUE"""),"ARG")</f>
        <v>ARG</v>
      </c>
      <c r="G79" s="7">
        <f>IFERROR(__xludf.DUMMYFUNCTION("""COMPUTED_VALUE"""),5.2440028E7)</f>
        <v>52440028</v>
      </c>
      <c r="H79" s="44">
        <f>IFERROR(__xludf.DUMMYFUNCTION("""COMPUTED_VALUE"""),41010.0)</f>
        <v>41010</v>
      </c>
      <c r="I79" s="45" t="str">
        <f>IFERROR(__xludf.DUMMYFUNCTION("""COMPUTED_VALUE"""),"15-6852-6245")</f>
        <v>15-6852-6245</v>
      </c>
      <c r="J79" s="45" t="str">
        <f>IFERROR(__xludf.DUMMYFUNCTION("""COMPUTED_VALUE"""),"15-6852-6235")</f>
        <v>15-6852-6235</v>
      </c>
      <c r="K79" s="45" t="str">
        <f>IFERROR(__xludf.DUMMYFUNCTION("""COMPUTED_VALUE"""),"molinaricv@gmail.com")</f>
        <v>molinaricv@gmail.com</v>
      </c>
      <c r="L79" s="45" t="str">
        <f>IFERROR(__xludf.DUMMYFUNCTION("""COMPUTED_VALUE"""),"Masculino")</f>
        <v>Masculino</v>
      </c>
      <c r="M79" s="45" t="str">
        <f>IFERROR(__xludf.DUMMYFUNCTION("""COMPUTED_VALUE"""),"CVB")</f>
        <v>CVB</v>
      </c>
      <c r="N79" s="45"/>
      <c r="O79" s="45" t="str">
        <f>IFERROR(__xludf.DUMMYFUNCTION("""COMPUTED_VALUE"""),"OPTIMIST TIMONELES")</f>
        <v>OPTIMIST TIMONELES</v>
      </c>
      <c r="P79" s="45"/>
      <c r="Q79" s="7">
        <f>IFERROR(__xludf.DUMMYFUNCTION("""COMPUTED_VALUE"""),4165.0)</f>
        <v>4165</v>
      </c>
      <c r="R79" s="45"/>
      <c r="S79" s="45"/>
      <c r="T79" s="45"/>
      <c r="U79" s="45"/>
      <c r="V79" s="45"/>
      <c r="W79" s="45"/>
      <c r="X79" s="45"/>
      <c r="Y79" s="45"/>
      <c r="Z79" s="7" t="str">
        <f>IFERROR(__xludf.DUMMYFUNCTION("""COMPUTED_VALUE"""),"Si")</f>
        <v>Si</v>
      </c>
      <c r="AA79" s="7" t="str">
        <f>IFERROR(__xludf.DUMMYFUNCTION("""COMPUTED_VALUE"""),"Acepto")</f>
        <v>Acepto</v>
      </c>
      <c r="AB79" s="7" t="str">
        <f>IFERROR(__xludf.DUMMYFUNCTION("""COMPUTED_VALUE"""),"Terminado")</f>
        <v>Terminado</v>
      </c>
      <c r="AC79" s="7">
        <f>IFERROR(__xludf.DUMMYFUNCTION("""COMPUTED_VALUE"""),50000.0)</f>
        <v>50000</v>
      </c>
      <c r="AD79" s="7">
        <f>IFERROR(__xludf.DUMMYFUNCTION("""COMPUTED_VALUE"""),205107.0)</f>
        <v>205107</v>
      </c>
      <c r="AE79" s="45" t="str">
        <f>IFERROR(__xludf.DUMMYFUNCTION("""COMPUTED_VALUE"""),"TRF 30-08")</f>
        <v>TRF 30-08</v>
      </c>
      <c r="AF79" s="7" t="str">
        <f>IFERROR(__xludf.DUMMYFUNCTION("""COMPUTED_VALUE"""),"OK")</f>
        <v>OK</v>
      </c>
      <c r="AG79" s="7" t="str">
        <f>IFERROR(__xludf.DUMMYFUNCTION("""COMPUTED_VALUE"""),"SI")</f>
        <v>SI</v>
      </c>
      <c r="AH79" s="7"/>
      <c r="AI79" s="7"/>
    </row>
    <row r="80">
      <c r="B80" s="83">
        <f>IFERROR(__xludf.DUMMYFUNCTION("""COMPUTED_VALUE"""),45536.54026725695)</f>
        <v>45536.54027</v>
      </c>
      <c r="C80" s="43" t="str">
        <f>IFERROR(__xludf.DUMMYFUNCTION("""COMPUTED_VALUE"""),"Enzo ")</f>
        <v>Enzo </v>
      </c>
      <c r="D80" s="43" t="str">
        <f>IFERROR(__xludf.DUMMYFUNCTION("""COMPUTED_VALUE"""),"Musumeci ")</f>
        <v>Musumeci </v>
      </c>
      <c r="E80" s="43" t="str">
        <f>IFERROR(__xludf.DUMMYFUNCTION("""COMPUTED_VALUE"""),"Soldini")</f>
        <v>Soldini</v>
      </c>
      <c r="F80" s="7" t="str">
        <f>IFERROR(__xludf.DUMMYFUNCTION("""COMPUTED_VALUE"""),"ARG")</f>
        <v>ARG</v>
      </c>
      <c r="G80" s="7">
        <f>IFERROR(__xludf.DUMMYFUNCTION("""COMPUTED_VALUE"""),5.1012774E7)</f>
        <v>51012774</v>
      </c>
      <c r="H80" s="44">
        <f>IFERROR(__xludf.DUMMYFUNCTION("""COMPUTED_VALUE"""),40586.0)</f>
        <v>40586</v>
      </c>
      <c r="I80" s="45">
        <f>IFERROR(__xludf.DUMMYFUNCTION("""COMPUTED_VALUE"""),3.416198E9)</f>
        <v>3416198000</v>
      </c>
      <c r="J80" s="45"/>
      <c r="K80" s="45" t="str">
        <f>IFERROR(__xludf.DUMMYFUNCTION("""COMPUTED_VALUE"""),"Melisaalvarez1979@gmail.com")</f>
        <v>Melisaalvarez1979@gmail.com</v>
      </c>
      <c r="L80" s="45" t="str">
        <f>IFERROR(__xludf.DUMMYFUNCTION("""COMPUTED_VALUE"""),"Masculino")</f>
        <v>Masculino</v>
      </c>
      <c r="M80" s="45" t="str">
        <f>IFERROR(__xludf.DUMMYFUNCTION("""COMPUTED_VALUE"""),"Crr")</f>
        <v>Crr</v>
      </c>
      <c r="N80" s="45" t="str">
        <f>IFERROR(__xludf.DUMMYFUNCTION("""COMPUTED_VALUE"""),"Interior (Optimist)")</f>
        <v>Interior (Optimist)</v>
      </c>
      <c r="O80" s="45" t="str">
        <f>IFERROR(__xludf.DUMMYFUNCTION("""COMPUTED_VALUE"""),"OPTIMIST TIMONELES")</f>
        <v>OPTIMIST TIMONELES</v>
      </c>
      <c r="P80" s="45"/>
      <c r="Q80" s="7">
        <f>IFERROR(__xludf.DUMMYFUNCTION("""COMPUTED_VALUE"""),4018.0)</f>
        <v>4018</v>
      </c>
      <c r="R80" s="45"/>
      <c r="S80" s="45"/>
      <c r="T80" s="45"/>
      <c r="U80" s="45"/>
      <c r="V80" s="45"/>
      <c r="W80" s="45"/>
      <c r="X80" s="45"/>
      <c r="Y80" s="45"/>
      <c r="Z80" s="7" t="str">
        <f>IFERROR(__xludf.DUMMYFUNCTION("""COMPUTED_VALUE"""),"No")</f>
        <v>No</v>
      </c>
      <c r="AA80" s="7" t="str">
        <f>IFERROR(__xludf.DUMMYFUNCTION("""COMPUTED_VALUE"""),"Acepto")</f>
        <v>Acepto</v>
      </c>
      <c r="AB80" s="7" t="str">
        <f>IFERROR(__xludf.DUMMYFUNCTION("""COMPUTED_VALUE"""),"Terminado")</f>
        <v>Terminado</v>
      </c>
      <c r="AC80" s="7">
        <f>IFERROR(__xludf.DUMMYFUNCTION("""COMPUTED_VALUE"""),42500.0)</f>
        <v>42500</v>
      </c>
      <c r="AD80" s="7">
        <f>IFERROR(__xludf.DUMMYFUNCTION("""COMPUTED_VALUE"""),205386.0)</f>
        <v>205386</v>
      </c>
      <c r="AE80" s="45" t="str">
        <f>IFERROR(__xludf.DUMMYFUNCTION("""COMPUTED_VALUE"""),"TRF 02-09")</f>
        <v>TRF 02-09</v>
      </c>
      <c r="AF80" s="7" t="str">
        <f>IFERROR(__xludf.DUMMYFUNCTION("""COMPUTED_VALUE"""),"OK")</f>
        <v>OK</v>
      </c>
      <c r="AG80" s="7"/>
      <c r="AH80" s="7"/>
      <c r="AI80" s="7"/>
    </row>
    <row r="81">
      <c r="B81" s="83">
        <f>IFERROR(__xludf.DUMMYFUNCTION("""COMPUTED_VALUE"""),45538.87240600694)</f>
        <v>45538.87241</v>
      </c>
      <c r="C81" s="43" t="str">
        <f>IFERROR(__xludf.DUMMYFUNCTION("""COMPUTED_VALUE"""),"Ambar")</f>
        <v>Ambar</v>
      </c>
      <c r="D81" s="43" t="str">
        <f>IFERROR(__xludf.DUMMYFUNCTION("""COMPUTED_VALUE"""),"Muzzio")</f>
        <v>Muzzio</v>
      </c>
      <c r="E81" s="43" t="str">
        <f>IFERROR(__xludf.DUMMYFUNCTION("""COMPUTED_VALUE"""),"Beccar")</f>
        <v>Beccar</v>
      </c>
      <c r="F81" s="7" t="str">
        <f>IFERROR(__xludf.DUMMYFUNCTION("""COMPUTED_VALUE"""),"ARG")</f>
        <v>ARG</v>
      </c>
      <c r="G81" s="7">
        <f>IFERROR(__xludf.DUMMYFUNCTION("""COMPUTED_VALUE"""),5.2159528E7)</f>
        <v>52159528</v>
      </c>
      <c r="H81" s="44">
        <f>IFERROR(__xludf.DUMMYFUNCTION("""COMPUTED_VALUE"""),40948.0)</f>
        <v>40948</v>
      </c>
      <c r="I81" s="45">
        <f>IFERROR(__xludf.DUMMYFUNCTION("""COMPUTED_VALUE"""),1.133240918E9)</f>
        <v>1133240918</v>
      </c>
      <c r="J81" s="45">
        <f>IFERROR(__xludf.DUMMYFUNCTION("""COMPUTED_VALUE"""),1.13324093E8)</f>
        <v>113324093</v>
      </c>
      <c r="K81" s="45" t="str">
        <f>IFERROR(__xludf.DUMMYFUNCTION("""COMPUTED_VALUE"""),"gustavo.muzzio@gmail.com")</f>
        <v>gustavo.muzzio@gmail.com</v>
      </c>
      <c r="L81" s="45" t="str">
        <f>IFERROR(__xludf.DUMMYFUNCTION("""COMPUTED_VALUE"""),"Femenino")</f>
        <v>Femenino</v>
      </c>
      <c r="M81" s="45" t="str">
        <f>IFERROR(__xludf.DUMMYFUNCTION("""COMPUTED_VALUE"""),"CPNLB")</f>
        <v>CPNLB</v>
      </c>
      <c r="N81" s="45" t="str">
        <f>IFERROR(__xludf.DUMMYFUNCTION("""COMPUTED_VALUE"""),"Femenino")</f>
        <v>Femenino</v>
      </c>
      <c r="O81" s="45" t="str">
        <f>IFERROR(__xludf.DUMMYFUNCTION("""COMPUTED_VALUE"""),"OPTIMIST TIMONELES")</f>
        <v>OPTIMIST TIMONELES</v>
      </c>
      <c r="P81" s="45"/>
      <c r="Q81" s="7" t="str">
        <f>IFERROR(__xludf.DUMMYFUNCTION("""COMPUTED_VALUE"""),"USA22851")</f>
        <v>USA22851</v>
      </c>
      <c r="R81" s="45"/>
      <c r="S81" s="45"/>
      <c r="T81" s="45"/>
      <c r="U81" s="45"/>
      <c r="V81" s="45"/>
      <c r="W81" s="45"/>
      <c r="X81" s="45"/>
      <c r="Y81" s="45" t="str">
        <f>IFERROR(__xludf.DUMMYFUNCTION("""COMPUTED_VALUE"""),"TV SALUD")</f>
        <v>TV SALUD</v>
      </c>
      <c r="Z81" s="7" t="str">
        <f>IFERROR(__xludf.DUMMYFUNCTION("""COMPUTED_VALUE"""),"Si")</f>
        <v>Si</v>
      </c>
      <c r="AA81" s="7" t="str">
        <f>IFERROR(__xludf.DUMMYFUNCTION("""COMPUTED_VALUE"""),"Acepto")</f>
        <v>Acepto</v>
      </c>
      <c r="AB81" s="7" t="str">
        <f>IFERROR(__xludf.DUMMYFUNCTION("""COMPUTED_VALUE"""),"Terminado")</f>
        <v>Terminado</v>
      </c>
      <c r="AC81" s="7">
        <f>IFERROR(__xludf.DUMMYFUNCTION("""COMPUTED_VALUE"""),50000.0)</f>
        <v>50000</v>
      </c>
      <c r="AD81" s="7">
        <f>IFERROR(__xludf.DUMMYFUNCTION("""COMPUTED_VALUE"""),205429.0)</f>
        <v>205429</v>
      </c>
      <c r="AE81" s="45" t="str">
        <f>IFERROR(__xludf.DUMMYFUNCTION("""COMPUTED_VALUE"""),"TRF 03-09")</f>
        <v>TRF 03-09</v>
      </c>
      <c r="AF81" s="7" t="str">
        <f>IFERROR(__xludf.DUMMYFUNCTION("""COMPUTED_VALUE"""),"OK")</f>
        <v>OK</v>
      </c>
      <c r="AG81" s="7" t="str">
        <f>IFERROR(__xludf.DUMMYFUNCTION("""COMPUTED_VALUE"""),"SI")</f>
        <v>SI</v>
      </c>
      <c r="AH81" s="7"/>
      <c r="AI81" s="7"/>
    </row>
    <row r="82">
      <c r="B82" s="42">
        <f>IFERROR(__xludf.DUMMYFUNCTION("""COMPUTED_VALUE"""),45537.738134224535)</f>
        <v>45537.73813</v>
      </c>
      <c r="C82" s="43" t="str">
        <f>IFERROR(__xludf.DUMMYFUNCTION("""COMPUTED_VALUE"""),"Francisco ")</f>
        <v>Francisco </v>
      </c>
      <c r="D82" s="43" t="str">
        <f>IFERROR(__xludf.DUMMYFUNCTION("""COMPUTED_VALUE"""),"Neira")</f>
        <v>Neira</v>
      </c>
      <c r="E82" s="43" t="str">
        <f>IFERROR(__xludf.DUMMYFUNCTION("""COMPUTED_VALUE"""),"Montevideo")</f>
        <v>Montevideo</v>
      </c>
      <c r="F82" s="7" t="str">
        <f>IFERROR(__xludf.DUMMYFUNCTION("""COMPUTED_VALUE"""),"URU")</f>
        <v>URU</v>
      </c>
      <c r="G82" s="7">
        <f>IFERROR(__xludf.DUMMYFUNCTION("""COMPUTED_VALUE"""),5.9600158E7)</f>
        <v>59600158</v>
      </c>
      <c r="H82" s="44">
        <f>IFERROR(__xludf.DUMMYFUNCTION("""COMPUTED_VALUE"""),41033.0)</f>
        <v>41033</v>
      </c>
      <c r="I82" s="45">
        <f>IFERROR(__xludf.DUMMYFUNCTION("""COMPUTED_VALUE"""),5.9899546638E10)</f>
        <v>59899546638</v>
      </c>
      <c r="J82" s="45">
        <f>IFERROR(__xludf.DUMMYFUNCTION("""COMPUTED_VALUE"""),5.9899546638E10)</f>
        <v>59899546638</v>
      </c>
      <c r="K82" s="45" t="str">
        <f>IFERROR(__xludf.DUMMYFUNCTION("""COMPUTED_VALUE"""),"carolina.meikle@gmail.com")</f>
        <v>carolina.meikle@gmail.com</v>
      </c>
      <c r="L82" s="45" t="str">
        <f>IFERROR(__xludf.DUMMYFUNCTION("""COMPUTED_VALUE"""),"Masculino")</f>
        <v>Masculino</v>
      </c>
      <c r="M82" s="45" t="str">
        <f>IFERROR(__xludf.DUMMYFUNCTION("""COMPUTED_VALUE"""),"NYC")</f>
        <v>NYC</v>
      </c>
      <c r="N82" s="45" t="str">
        <f>IFERROR(__xludf.DUMMYFUNCTION("""COMPUTED_VALUE"""),"Interior (Optimist)")</f>
        <v>Interior (Optimist)</v>
      </c>
      <c r="O82" s="45" t="str">
        <f>IFERROR(__xludf.DUMMYFUNCTION("""COMPUTED_VALUE"""),"OPTIMIST TIMONELES")</f>
        <v>OPTIMIST TIMONELES</v>
      </c>
      <c r="P82" s="45"/>
      <c r="Q82" s="7">
        <f>IFERROR(__xludf.DUMMYFUNCTION("""COMPUTED_VALUE"""),433.0)</f>
        <v>433</v>
      </c>
      <c r="R82" s="45"/>
      <c r="S82" s="45"/>
      <c r="T82" s="45"/>
      <c r="U82" s="45"/>
      <c r="V82" s="45"/>
      <c r="W82" s="45"/>
      <c r="X82" s="45"/>
      <c r="Y82" s="45"/>
      <c r="Z82" s="7" t="str">
        <f>IFERROR(__xludf.DUMMYFUNCTION("""COMPUTED_VALUE"""),"Si")</f>
        <v>Si</v>
      </c>
      <c r="AA82" s="7" t="str">
        <f>IFERROR(__xludf.DUMMYFUNCTION("""COMPUTED_VALUE"""),"Acepto")</f>
        <v>Acepto</v>
      </c>
      <c r="AB82" s="7" t="str">
        <f>IFERROR(__xludf.DUMMYFUNCTION("""COMPUTED_VALUE"""),"Terminado")</f>
        <v>Terminado</v>
      </c>
      <c r="AC82" s="7">
        <f>IFERROR(__xludf.DUMMYFUNCTION("""COMPUTED_VALUE"""),42500.0)</f>
        <v>42500</v>
      </c>
      <c r="AD82" s="7">
        <f>IFERROR(__xludf.DUMMYFUNCTION("""COMPUTED_VALUE"""),205391.0)</f>
        <v>205391</v>
      </c>
      <c r="AE82" s="45" t="str">
        <f>IFERROR(__xludf.DUMMYFUNCTION("""COMPUTED_VALUE"""),"TRF 02-09")</f>
        <v>TRF 02-09</v>
      </c>
      <c r="AF82" s="7" t="str">
        <f>IFERROR(__xludf.DUMMYFUNCTION("""COMPUTED_VALUE"""),"Pendiente")</f>
        <v>Pendiente</v>
      </c>
      <c r="AG82" s="7" t="str">
        <f>IFERROR(__xludf.DUMMYFUNCTION("""COMPUTED_VALUE"""),"SI")</f>
        <v>SI</v>
      </c>
      <c r="AH82" s="7"/>
      <c r="AI82" s="7"/>
    </row>
    <row r="83">
      <c r="B83" s="42">
        <f>IFERROR(__xludf.DUMMYFUNCTION("""COMPUTED_VALUE"""),45535.593804027776)</f>
        <v>45535.5938</v>
      </c>
      <c r="C83" s="43" t="str">
        <f>IFERROR(__xludf.DUMMYFUNCTION("""COMPUTED_VALUE"""),"Santiago ")</f>
        <v>Santiago </v>
      </c>
      <c r="D83" s="43" t="str">
        <f>IFERROR(__xludf.DUMMYFUNCTION("""COMPUTED_VALUE"""),"Nieva Quinteros")</f>
        <v>Nieva Quinteros</v>
      </c>
      <c r="E83" s="43" t="str">
        <f>IFERROR(__xludf.DUMMYFUNCTION("""COMPUTED_VALUE"""),"Zarate")</f>
        <v>Zarate</v>
      </c>
      <c r="F83" s="7" t="str">
        <f>IFERROR(__xludf.DUMMYFUNCTION("""COMPUTED_VALUE"""),"ARG")</f>
        <v>ARG</v>
      </c>
      <c r="G83" s="7">
        <f>IFERROR(__xludf.DUMMYFUNCTION("""COMPUTED_VALUE"""),5.2099166E7)</f>
        <v>52099166</v>
      </c>
      <c r="H83" s="44">
        <f>IFERROR(__xludf.DUMMYFUNCTION("""COMPUTED_VALUE"""),40939.0)</f>
        <v>40939</v>
      </c>
      <c r="I83" s="45">
        <f>IFERROR(__xludf.DUMMYFUNCTION("""COMPUTED_VALUE"""),3.515144974E9)</f>
        <v>3515144974</v>
      </c>
      <c r="J83" s="45">
        <f>IFERROR(__xludf.DUMMYFUNCTION("""COMPUTED_VALUE"""),3.487538295E9)</f>
        <v>3487538295</v>
      </c>
      <c r="K83" s="45" t="str">
        <f>IFERROR(__xludf.DUMMYFUNCTION("""COMPUTED_VALUE"""),"Gustavonieva26@gmail.com")</f>
        <v>Gustavonieva26@gmail.com</v>
      </c>
      <c r="L83" s="45" t="str">
        <f>IFERROR(__xludf.DUMMYFUNCTION("""COMPUTED_VALUE"""),"Masculino")</f>
        <v>Masculino</v>
      </c>
      <c r="M83" s="45" t="str">
        <f>IFERROR(__xludf.DUMMYFUNCTION("""COMPUTED_VALUE"""),"CNZ")</f>
        <v>CNZ</v>
      </c>
      <c r="N83" s="45"/>
      <c r="O83" s="45" t="str">
        <f>IFERROR(__xludf.DUMMYFUNCTION("""COMPUTED_VALUE"""),"OPTIMIST TIMONELES")</f>
        <v>OPTIMIST TIMONELES</v>
      </c>
      <c r="P83" s="45"/>
      <c r="Q83" s="7">
        <f>IFERROR(__xludf.DUMMYFUNCTION("""COMPUTED_VALUE"""),3951.0)</f>
        <v>3951</v>
      </c>
      <c r="R83" s="45"/>
      <c r="S83" s="45"/>
      <c r="T83" s="45"/>
      <c r="U83" s="45"/>
      <c r="V83" s="45"/>
      <c r="W83" s="45"/>
      <c r="X83" s="45"/>
      <c r="Y83" s="45" t="str">
        <f>IFERROR(__xludf.DUMMYFUNCTION("""COMPUTED_VALUE"""),"Swis Medical")</f>
        <v>Swis Medical</v>
      </c>
      <c r="Z83" s="7" t="str">
        <f>IFERROR(__xludf.DUMMYFUNCTION("""COMPUTED_VALUE"""),"Si")</f>
        <v>Si</v>
      </c>
      <c r="AA83" s="7" t="str">
        <f>IFERROR(__xludf.DUMMYFUNCTION("""COMPUTED_VALUE"""),"Acepto")</f>
        <v>Acepto</v>
      </c>
      <c r="AB83" s="7" t="str">
        <f>IFERROR(__xludf.DUMMYFUNCTION("""COMPUTED_VALUE"""),"Terminado")</f>
        <v>Terminado</v>
      </c>
      <c r="AC83" s="7">
        <f>IFERROR(__xludf.DUMMYFUNCTION("""COMPUTED_VALUE"""),50000.0)</f>
        <v>50000</v>
      </c>
      <c r="AD83" s="7">
        <f>IFERROR(__xludf.DUMMYFUNCTION("""COMPUTED_VALUE"""),205163.0)</f>
        <v>205163</v>
      </c>
      <c r="AE83" s="45" t="str">
        <f>IFERROR(__xludf.DUMMYFUNCTION("""COMPUTED_VALUE"""),"TRF 31-08")</f>
        <v>TRF 31-08</v>
      </c>
      <c r="AF83" s="7" t="str">
        <f>IFERROR(__xludf.DUMMYFUNCTION("""COMPUTED_VALUE"""),"OK")</f>
        <v>OK</v>
      </c>
      <c r="AG83" s="7"/>
      <c r="AH83" s="7"/>
      <c r="AI83" s="7"/>
    </row>
    <row r="84">
      <c r="B84" s="42">
        <f>IFERROR(__xludf.DUMMYFUNCTION("""COMPUTED_VALUE"""),45534.93260290509)</f>
        <v>45534.9326</v>
      </c>
      <c r="C84" s="43" t="str">
        <f>IFERROR(__xludf.DUMMYFUNCTION("""COMPUTED_VALUE"""),"Carola")</f>
        <v>Carola</v>
      </c>
      <c r="D84" s="43" t="str">
        <f>IFERROR(__xludf.DUMMYFUNCTION("""COMPUTED_VALUE"""),"Ojeda Lois")</f>
        <v>Ojeda Lois</v>
      </c>
      <c r="E84" s="43" t="str">
        <f>IFERROR(__xludf.DUMMYFUNCTION("""COMPUTED_VALUE"""),"San Isidro")</f>
        <v>San Isidro</v>
      </c>
      <c r="F84" s="7" t="str">
        <f>IFERROR(__xludf.DUMMYFUNCTION("""COMPUTED_VALUE"""),"ARG")</f>
        <v>ARG</v>
      </c>
      <c r="G84" s="7">
        <f>IFERROR(__xludf.DUMMYFUNCTION("""COMPUTED_VALUE"""),5.010359E7)</f>
        <v>50103590</v>
      </c>
      <c r="H84" s="44">
        <f>IFERROR(__xludf.DUMMYFUNCTION("""COMPUTED_VALUE"""),40247.0)</f>
        <v>40247</v>
      </c>
      <c r="I84" s="45">
        <f>IFERROR(__xludf.DUMMYFUNCTION("""COMPUTED_VALUE"""),1.140285075E9)</f>
        <v>1140285075</v>
      </c>
      <c r="J84" s="45">
        <f>IFERROR(__xludf.DUMMYFUNCTION("""COMPUTED_VALUE"""),1.140793918E9)</f>
        <v>1140793918</v>
      </c>
      <c r="K84" s="45" t="str">
        <f>IFERROR(__xludf.DUMMYFUNCTION("""COMPUTED_VALUE"""),"morellamail@gmail.com")</f>
        <v>morellamail@gmail.com</v>
      </c>
      <c r="L84" s="45" t="str">
        <f>IFERROR(__xludf.DUMMYFUNCTION("""COMPUTED_VALUE"""),"Femenino")</f>
        <v>Femenino</v>
      </c>
      <c r="M84" s="45" t="str">
        <f>IFERROR(__xludf.DUMMYFUNCTION("""COMPUTED_VALUE"""),"CNSI")</f>
        <v>CNSI</v>
      </c>
      <c r="N84" s="45" t="str">
        <f>IFERROR(__xludf.DUMMYFUNCTION("""COMPUTED_VALUE"""),"Femenino")</f>
        <v>Femenino</v>
      </c>
      <c r="O84" s="45" t="str">
        <f>IFERROR(__xludf.DUMMYFUNCTION("""COMPUTED_VALUE"""),"OPTIMIST TIMONELES")</f>
        <v>OPTIMIST TIMONELES</v>
      </c>
      <c r="P84" s="45"/>
      <c r="Q84" s="7">
        <f>IFERROR(__xludf.DUMMYFUNCTION("""COMPUTED_VALUE"""),3846.0)</f>
        <v>3846</v>
      </c>
      <c r="R84" s="45"/>
      <c r="S84" s="45"/>
      <c r="T84" s="45"/>
      <c r="U84" s="45"/>
      <c r="V84" s="45"/>
      <c r="W84" s="45"/>
      <c r="X84" s="45"/>
      <c r="Y84" s="45" t="str">
        <f>IFERROR(__xludf.DUMMYFUNCTION("""COMPUTED_VALUE"""),"OSDE 60-5956579-05")</f>
        <v>OSDE 60-5956579-05</v>
      </c>
      <c r="Z84" s="7" t="str">
        <f>IFERROR(__xludf.DUMMYFUNCTION("""COMPUTED_VALUE"""),"No")</f>
        <v>No</v>
      </c>
      <c r="AA84" s="7" t="str">
        <f>IFERROR(__xludf.DUMMYFUNCTION("""COMPUTED_VALUE"""),"Acepto")</f>
        <v>Acepto</v>
      </c>
      <c r="AB84" s="7" t="str">
        <f>IFERROR(__xludf.DUMMYFUNCTION("""COMPUTED_VALUE"""),"Terminado")</f>
        <v>Terminado</v>
      </c>
      <c r="AC84" s="7">
        <f>IFERROR(__xludf.DUMMYFUNCTION("""COMPUTED_VALUE"""),50000.0)</f>
        <v>50000</v>
      </c>
      <c r="AD84" s="7">
        <f>IFERROR(__xludf.DUMMYFUNCTION("""COMPUTED_VALUE"""),205118.0)</f>
        <v>205118</v>
      </c>
      <c r="AE84" s="45" t="str">
        <f>IFERROR(__xludf.DUMMYFUNCTION("""COMPUTED_VALUE"""),"Tarj.31-08")</f>
        <v>Tarj.31-08</v>
      </c>
      <c r="AF84" s="7" t="str">
        <f>IFERROR(__xludf.DUMMYFUNCTION("""COMPUTED_VALUE"""),"Pendiente")</f>
        <v>Pendiente</v>
      </c>
      <c r="AG84" s="7"/>
      <c r="AH84" s="7"/>
      <c r="AI84" s="7"/>
    </row>
    <row r="85">
      <c r="B85" s="42">
        <f>IFERROR(__xludf.DUMMYFUNCTION("""COMPUTED_VALUE"""),45535.88089775463)</f>
        <v>45535.8809</v>
      </c>
      <c r="C85" s="43" t="str">
        <f>IFERROR(__xludf.DUMMYFUNCTION("""COMPUTED_VALUE"""),"Guido ")</f>
        <v>Guido </v>
      </c>
      <c r="D85" s="43" t="str">
        <f>IFERROR(__xludf.DUMMYFUNCTION("""COMPUTED_VALUE"""),"Pachiani ")</f>
        <v>Pachiani </v>
      </c>
      <c r="E85" s="43" t="str">
        <f>IFERROR(__xludf.DUMMYFUNCTION("""COMPUTED_VALUE"""),"Beccar")</f>
        <v>Beccar</v>
      </c>
      <c r="F85" s="7" t="str">
        <f>IFERROR(__xludf.DUMMYFUNCTION("""COMPUTED_VALUE"""),"ARG")</f>
        <v>ARG</v>
      </c>
      <c r="G85" s="7">
        <f>IFERROR(__xludf.DUMMYFUNCTION("""COMPUTED_VALUE"""),5.0305023E7)</f>
        <v>50305023</v>
      </c>
      <c r="H85" s="44">
        <f>IFERROR(__xludf.DUMMYFUNCTION("""COMPUTED_VALUE"""),40295.0)</f>
        <v>40295</v>
      </c>
      <c r="I85" s="45">
        <f>IFERROR(__xludf.DUMMYFUNCTION("""COMPUTED_VALUE"""),1.158242389E9)</f>
        <v>1158242389</v>
      </c>
      <c r="J85" s="45">
        <f>IFERROR(__xludf.DUMMYFUNCTION("""COMPUTED_VALUE"""),4.0760868E7)</f>
        <v>40760868</v>
      </c>
      <c r="K85" s="45" t="str">
        <f>IFERROR(__xludf.DUMMYFUNCTION("""COMPUTED_VALUE"""),"mpachiani@gmail.com")</f>
        <v>mpachiani@gmail.com</v>
      </c>
      <c r="L85" s="45" t="str">
        <f>IFERROR(__xludf.DUMMYFUNCTION("""COMPUTED_VALUE"""),"Masculino")</f>
        <v>Masculino</v>
      </c>
      <c r="M85" s="45" t="str">
        <f>IFERROR(__xludf.DUMMYFUNCTION("""COMPUTED_VALUE"""),"CNGSM")</f>
        <v>CNGSM</v>
      </c>
      <c r="N85" s="45"/>
      <c r="O85" s="45" t="str">
        <f>IFERROR(__xludf.DUMMYFUNCTION("""COMPUTED_VALUE"""),"OPTIMIST TIMONELES")</f>
        <v>OPTIMIST TIMONELES</v>
      </c>
      <c r="P85" s="45"/>
      <c r="Q85" s="7" t="str">
        <f>IFERROR(__xludf.DUMMYFUNCTION("""COMPUTED_VALUE"""),"ARG 3835 ")</f>
        <v>ARG 3835 </v>
      </c>
      <c r="R85" s="45" t="str">
        <f>IFERROR(__xludf.DUMMYFUNCTION("""COMPUTED_VALUE"""),"Manopla turbo")</f>
        <v>Manopla turbo</v>
      </c>
      <c r="S85" s="45"/>
      <c r="T85" s="45"/>
      <c r="U85" s="45"/>
      <c r="V85" s="45"/>
      <c r="W85" s="45"/>
      <c r="X85" s="45"/>
      <c r="Y85" s="45" t="str">
        <f>IFERROR(__xludf.DUMMYFUNCTION("""COMPUTED_VALUE"""),"Hospital Italiano 460630")</f>
        <v>Hospital Italiano 460630</v>
      </c>
      <c r="Z85" s="7" t="str">
        <f>IFERROR(__xludf.DUMMYFUNCTION("""COMPUTED_VALUE"""),"Si")</f>
        <v>Si</v>
      </c>
      <c r="AA85" s="7" t="str">
        <f>IFERROR(__xludf.DUMMYFUNCTION("""COMPUTED_VALUE"""),"Acepto")</f>
        <v>Acepto</v>
      </c>
      <c r="AB85" s="7" t="str">
        <f>IFERROR(__xludf.DUMMYFUNCTION("""COMPUTED_VALUE"""),"Terminado")</f>
        <v>Terminado</v>
      </c>
      <c r="AC85" s="7">
        <f>IFERROR(__xludf.DUMMYFUNCTION("""COMPUTED_VALUE"""),50000.0)</f>
        <v>50000</v>
      </c>
      <c r="AD85" s="7">
        <f>IFERROR(__xludf.DUMMYFUNCTION("""COMPUTED_VALUE"""),205472.0)</f>
        <v>205472</v>
      </c>
      <c r="AE85" s="45" t="str">
        <f>IFERROR(__xludf.DUMMYFUNCTION("""COMPUTED_VALUE"""),"TRF 04-09")</f>
        <v>TRF 04-09</v>
      </c>
      <c r="AF85" s="7" t="str">
        <f>IFERROR(__xludf.DUMMYFUNCTION("""COMPUTED_VALUE"""),"OK")</f>
        <v>OK</v>
      </c>
      <c r="AG85" s="7" t="str">
        <f>IFERROR(__xludf.DUMMYFUNCTION("""COMPUTED_VALUE"""),"SI")</f>
        <v>SI</v>
      </c>
      <c r="AH85" s="7"/>
      <c r="AI85" s="7"/>
    </row>
    <row r="86">
      <c r="B86" s="42">
        <f>IFERROR(__xludf.DUMMYFUNCTION("""COMPUTED_VALUE"""),45534.89775015046)</f>
        <v>45534.89775</v>
      </c>
      <c r="C86" s="43" t="str">
        <f>IFERROR(__xludf.DUMMYFUNCTION("""COMPUTED_VALUE"""),"Nacho")</f>
        <v>Nacho</v>
      </c>
      <c r="D86" s="43" t="str">
        <f>IFERROR(__xludf.DUMMYFUNCTION("""COMPUTED_VALUE"""),"Padilla")</f>
        <v>Padilla</v>
      </c>
      <c r="E86" s="43" t="str">
        <f>IFERROR(__xludf.DUMMYFUNCTION("""COMPUTED_VALUE"""),"San Isidro")</f>
        <v>San Isidro</v>
      </c>
      <c r="F86" s="7" t="str">
        <f>IFERROR(__xludf.DUMMYFUNCTION("""COMPUTED_VALUE"""),"ARG")</f>
        <v>ARG</v>
      </c>
      <c r="G86" s="7">
        <f>IFERROR(__xludf.DUMMYFUNCTION("""COMPUTED_VALUE"""),5.0158944E7)</f>
        <v>50158944</v>
      </c>
      <c r="H86" s="44">
        <f>IFERROR(__xludf.DUMMYFUNCTION("""COMPUTED_VALUE"""),40278.0)</f>
        <v>40278</v>
      </c>
      <c r="I86" s="45">
        <f>IFERROR(__xludf.DUMMYFUNCTION("""COMPUTED_VALUE"""),1.162446486E9)</f>
        <v>1162446486</v>
      </c>
      <c r="J86" s="45">
        <f>IFERROR(__xludf.DUMMYFUNCTION("""COMPUTED_VALUE"""),1.130070219E9)</f>
        <v>1130070219</v>
      </c>
      <c r="K86" s="45" t="str">
        <f>IFERROR(__xludf.DUMMYFUNCTION("""COMPUTED_VALUE"""),"javierignaciopadilla@gmail.com")</f>
        <v>javierignaciopadilla@gmail.com</v>
      </c>
      <c r="L86" s="45" t="str">
        <f>IFERROR(__xludf.DUMMYFUNCTION("""COMPUTED_VALUE"""),"Masculino")</f>
        <v>Masculino</v>
      </c>
      <c r="M86" s="45" t="str">
        <f>IFERROR(__xludf.DUMMYFUNCTION("""COMPUTED_VALUE"""),"CNSI")</f>
        <v>CNSI</v>
      </c>
      <c r="N86" s="45"/>
      <c r="O86" s="45" t="str">
        <f>IFERROR(__xludf.DUMMYFUNCTION("""COMPUTED_VALUE"""),"OPTIMIST TIMONELES")</f>
        <v>OPTIMIST TIMONELES</v>
      </c>
      <c r="P86" s="45"/>
      <c r="Q86" s="7">
        <f>IFERROR(__xludf.DUMMYFUNCTION("""COMPUTED_VALUE"""),4111.0)</f>
        <v>4111</v>
      </c>
      <c r="R86" s="45"/>
      <c r="S86" s="45"/>
      <c r="T86" s="45"/>
      <c r="U86" s="45"/>
      <c r="V86" s="45"/>
      <c r="W86" s="45"/>
      <c r="X86" s="45"/>
      <c r="Y86" s="45">
        <f>IFERROR(__xludf.DUMMYFUNCTION("""COMPUTED_VALUE"""),6.1728138503E10)</f>
        <v>61728138503</v>
      </c>
      <c r="Z86" s="7" t="str">
        <f>IFERROR(__xludf.DUMMYFUNCTION("""COMPUTED_VALUE"""),"No")</f>
        <v>No</v>
      </c>
      <c r="AA86" s="7" t="str">
        <f>IFERROR(__xludf.DUMMYFUNCTION("""COMPUTED_VALUE"""),"Acepto")</f>
        <v>Acepto</v>
      </c>
      <c r="AB86" s="7" t="str">
        <f>IFERROR(__xludf.DUMMYFUNCTION("""COMPUTED_VALUE"""),"Terminado")</f>
        <v>Terminado</v>
      </c>
      <c r="AC86" s="7">
        <f>IFERROR(__xludf.DUMMYFUNCTION("""COMPUTED_VALUE"""),50000.0)</f>
        <v>50000</v>
      </c>
      <c r="AD86" s="7">
        <f>IFERROR(__xludf.DUMMYFUNCTION("""COMPUTED_VALUE"""),205135.0)</f>
        <v>205135</v>
      </c>
      <c r="AE86" s="45" t="str">
        <f>IFERROR(__xludf.DUMMYFUNCTION("""COMPUTED_VALUE"""),"TRF 30-08")</f>
        <v>TRF 30-08</v>
      </c>
      <c r="AF86" s="7" t="str">
        <f>IFERROR(__xludf.DUMMYFUNCTION("""COMPUTED_VALUE"""),"OK")</f>
        <v>OK</v>
      </c>
      <c r="AG86" s="7"/>
      <c r="AH86" s="7"/>
      <c r="AI86" s="7"/>
    </row>
    <row r="87">
      <c r="B87" s="42">
        <f>IFERROR(__xludf.DUMMYFUNCTION("""COMPUTED_VALUE"""),45537.54102074074)</f>
        <v>45537.54102</v>
      </c>
      <c r="C87" s="43" t="str">
        <f>IFERROR(__xludf.DUMMYFUNCTION("""COMPUTED_VALUE"""),"Ine")</f>
        <v>Ine</v>
      </c>
      <c r="D87" s="43" t="str">
        <f>IFERROR(__xludf.DUMMYFUNCTION("""COMPUTED_VALUE"""),"Panasci")</f>
        <v>Panasci</v>
      </c>
      <c r="E87" s="43" t="str">
        <f>IFERROR(__xludf.DUMMYFUNCTION("""COMPUTED_VALUE"""),"caba")</f>
        <v>caba</v>
      </c>
      <c r="F87" s="7" t="str">
        <f>IFERROR(__xludf.DUMMYFUNCTION("""COMPUTED_VALUE"""),"ARG")</f>
        <v>ARG</v>
      </c>
      <c r="G87" s="7">
        <f>IFERROR(__xludf.DUMMYFUNCTION("""COMPUTED_VALUE"""),5.0030333E7)</f>
        <v>50030333</v>
      </c>
      <c r="H87" s="44">
        <f>IFERROR(__xludf.DUMMYFUNCTION("""COMPUTED_VALUE"""),40192.0)</f>
        <v>40192</v>
      </c>
      <c r="I87" s="45">
        <f>IFERROR(__xludf.DUMMYFUNCTION("""COMPUTED_VALUE"""),1.162296144E9)</f>
        <v>1162296144</v>
      </c>
      <c r="J87" s="45"/>
      <c r="K87" s="45" t="str">
        <f>IFERROR(__xludf.DUMMYFUNCTION("""COMPUTED_VALUE"""),"cristinadubra@gmail.com")</f>
        <v>cristinadubra@gmail.com</v>
      </c>
      <c r="L87" s="45" t="str">
        <f>IFERROR(__xludf.DUMMYFUNCTION("""COMPUTED_VALUE"""),"Femenino")</f>
        <v>Femenino</v>
      </c>
      <c r="M87" s="45" t="str">
        <f>IFERROR(__xludf.DUMMYFUNCTION("""COMPUTED_VALUE"""),"CUBA")</f>
        <v>CUBA</v>
      </c>
      <c r="N87" s="45" t="str">
        <f>IFERROR(__xludf.DUMMYFUNCTION("""COMPUTED_VALUE"""),"Femenino")</f>
        <v>Femenino</v>
      </c>
      <c r="O87" s="45" t="str">
        <f>IFERROR(__xludf.DUMMYFUNCTION("""COMPUTED_VALUE"""),"OPTIMIST TIMONELES")</f>
        <v>OPTIMIST TIMONELES</v>
      </c>
      <c r="P87" s="45"/>
      <c r="Q87" s="7">
        <f>IFERROR(__xludf.DUMMYFUNCTION("""COMPUTED_VALUE"""),4069.0)</f>
        <v>4069</v>
      </c>
      <c r="R87" s="45"/>
      <c r="S87" s="45"/>
      <c r="T87" s="45"/>
      <c r="U87" s="45"/>
      <c r="V87" s="45"/>
      <c r="W87" s="45"/>
      <c r="X87" s="45"/>
      <c r="Y87" s="45" t="str">
        <f>IFERROR(__xludf.DUMMYFUNCTION("""COMPUTED_VALUE"""),"0447732 03 1028")</f>
        <v>0447732 03 1028</v>
      </c>
      <c r="Z87" s="7" t="str">
        <f>IFERROR(__xludf.DUMMYFUNCTION("""COMPUTED_VALUE"""),"No")</f>
        <v>No</v>
      </c>
      <c r="AA87" s="7" t="str">
        <f>IFERROR(__xludf.DUMMYFUNCTION("""COMPUTED_VALUE"""),"Acepto")</f>
        <v>Acepto</v>
      </c>
      <c r="AB87" s="7" t="str">
        <f>IFERROR(__xludf.DUMMYFUNCTION("""COMPUTED_VALUE"""),"Terminado")</f>
        <v>Terminado</v>
      </c>
      <c r="AC87" s="7">
        <f>IFERROR(__xludf.DUMMYFUNCTION("""COMPUTED_VALUE"""),50000.0)</f>
        <v>50000</v>
      </c>
      <c r="AD87" s="7">
        <f>IFERROR(__xludf.DUMMYFUNCTION("""COMPUTED_VALUE"""),205532.0)</f>
        <v>205532</v>
      </c>
      <c r="AE87" s="45" t="str">
        <f>IFERROR(__xludf.DUMMYFUNCTION("""COMPUTED_VALUE"""),"TRF 06-09")</f>
        <v>TRF 06-09</v>
      </c>
      <c r="AF87" s="7" t="str">
        <f>IFERROR(__xludf.DUMMYFUNCTION("""COMPUTED_VALUE"""),"OK")</f>
        <v>OK</v>
      </c>
      <c r="AG87" s="7"/>
      <c r="AH87" s="7"/>
      <c r="AI87" s="7"/>
    </row>
    <row r="88">
      <c r="B88" s="42">
        <f>IFERROR(__xludf.DUMMYFUNCTION("""COMPUTED_VALUE"""),45537.54207502315)</f>
        <v>45537.54208</v>
      </c>
      <c r="C88" s="43" t="str">
        <f>IFERROR(__xludf.DUMMYFUNCTION("""COMPUTED_VALUE"""),"Nacho")</f>
        <v>Nacho</v>
      </c>
      <c r="D88" s="43" t="str">
        <f>IFERROR(__xludf.DUMMYFUNCTION("""COMPUTED_VALUE"""),"Panasci")</f>
        <v>Panasci</v>
      </c>
      <c r="E88" s="43" t="str">
        <f>IFERROR(__xludf.DUMMYFUNCTION("""COMPUTED_VALUE"""),"caba")</f>
        <v>caba</v>
      </c>
      <c r="F88" s="7" t="str">
        <f>IFERROR(__xludf.DUMMYFUNCTION("""COMPUTED_VALUE"""),"ARG")</f>
        <v>ARG</v>
      </c>
      <c r="G88" s="7">
        <f>IFERROR(__xludf.DUMMYFUNCTION("""COMPUTED_VALUE"""),5.244842E7)</f>
        <v>52448420</v>
      </c>
      <c r="H88" s="44">
        <f>IFERROR(__xludf.DUMMYFUNCTION("""COMPUTED_VALUE"""),41022.0)</f>
        <v>41022</v>
      </c>
      <c r="I88" s="45">
        <f>IFERROR(__xludf.DUMMYFUNCTION("""COMPUTED_VALUE"""),1.162296144E9)</f>
        <v>1162296144</v>
      </c>
      <c r="J88" s="45">
        <f>IFERROR(__xludf.DUMMYFUNCTION("""COMPUTED_VALUE"""),1.162292995E9)</f>
        <v>1162292995</v>
      </c>
      <c r="K88" s="45" t="str">
        <f>IFERROR(__xludf.DUMMYFUNCTION("""COMPUTED_VALUE"""),"cristinadubra@gmail.com")</f>
        <v>cristinadubra@gmail.com</v>
      </c>
      <c r="L88" s="45" t="str">
        <f>IFERROR(__xludf.DUMMYFUNCTION("""COMPUTED_VALUE"""),"Femenino")</f>
        <v>Femenino</v>
      </c>
      <c r="M88" s="45" t="str">
        <f>IFERROR(__xludf.DUMMYFUNCTION("""COMPUTED_VALUE"""),"CUBA")</f>
        <v>CUBA</v>
      </c>
      <c r="N88" s="45"/>
      <c r="O88" s="45" t="str">
        <f>IFERROR(__xludf.DUMMYFUNCTION("""COMPUTED_VALUE"""),"OPTIMIST TIMONELES")</f>
        <v>OPTIMIST TIMONELES</v>
      </c>
      <c r="P88" s="45"/>
      <c r="Q88" s="7">
        <f>IFERROR(__xludf.DUMMYFUNCTION("""COMPUTED_VALUE"""),4136.0)</f>
        <v>4136</v>
      </c>
      <c r="R88" s="45"/>
      <c r="S88" s="45"/>
      <c r="T88" s="45"/>
      <c r="U88" s="45"/>
      <c r="V88" s="45"/>
      <c r="W88" s="45"/>
      <c r="X88" s="45"/>
      <c r="Y88" s="45"/>
      <c r="Z88" s="7" t="str">
        <f>IFERROR(__xludf.DUMMYFUNCTION("""COMPUTED_VALUE"""),"No")</f>
        <v>No</v>
      </c>
      <c r="AA88" s="7" t="str">
        <f>IFERROR(__xludf.DUMMYFUNCTION("""COMPUTED_VALUE"""),"Acepto")</f>
        <v>Acepto</v>
      </c>
      <c r="AB88" s="7" t="str">
        <f>IFERROR(__xludf.DUMMYFUNCTION("""COMPUTED_VALUE"""),"Terminado")</f>
        <v>Terminado</v>
      </c>
      <c r="AC88" s="7">
        <f>IFERROR(__xludf.DUMMYFUNCTION("""COMPUTED_VALUE"""),50000.0)</f>
        <v>50000</v>
      </c>
      <c r="AD88" s="7">
        <f>IFERROR(__xludf.DUMMYFUNCTION("""COMPUTED_VALUE"""),205532.0)</f>
        <v>205532</v>
      </c>
      <c r="AE88" s="45" t="str">
        <f>IFERROR(__xludf.DUMMYFUNCTION("""COMPUTED_VALUE"""),"TRF 06-09")</f>
        <v>TRF 06-09</v>
      </c>
      <c r="AF88" s="7" t="str">
        <f>IFERROR(__xludf.DUMMYFUNCTION("""COMPUTED_VALUE"""),"OK")</f>
        <v>OK</v>
      </c>
      <c r="AG88" s="7"/>
      <c r="AH88" s="7"/>
      <c r="AI88" s="7"/>
    </row>
    <row r="89">
      <c r="B89" s="42">
        <f>IFERROR(__xludf.DUMMYFUNCTION("""COMPUTED_VALUE"""),45535.5530904051)</f>
        <v>45535.55309</v>
      </c>
      <c r="C89" s="43" t="str">
        <f>IFERROR(__xludf.DUMMYFUNCTION("""COMPUTED_VALUE"""),"Sebastian")</f>
        <v>Sebastian</v>
      </c>
      <c r="D89" s="43" t="str">
        <f>IFERROR(__xludf.DUMMYFUNCTION("""COMPUTED_VALUE"""),"Parrella")</f>
        <v>Parrella</v>
      </c>
      <c r="E89" s="43" t="str">
        <f>IFERROR(__xludf.DUMMYFUNCTION("""COMPUTED_VALUE"""),"Buenos Aires")</f>
        <v>Buenos Aires</v>
      </c>
      <c r="F89" s="7" t="str">
        <f>IFERROR(__xludf.DUMMYFUNCTION("""COMPUTED_VALUE"""),"ARG")</f>
        <v>ARG</v>
      </c>
      <c r="G89" s="7">
        <f>IFERROR(__xludf.DUMMYFUNCTION("""COMPUTED_VALUE"""),4.9926159E7)</f>
        <v>49926159</v>
      </c>
      <c r="H89" s="44">
        <f>IFERROR(__xludf.DUMMYFUNCTION("""COMPUTED_VALUE"""),40162.0)</f>
        <v>40162</v>
      </c>
      <c r="I89" s="45" t="str">
        <f>IFERROR(__xludf.DUMMYFUNCTION("""COMPUTED_VALUE"""),"+54 9 11 3811-4637")</f>
        <v>+54 9 11 3811-4637</v>
      </c>
      <c r="J89" s="45" t="str">
        <f>IFERROR(__xludf.DUMMYFUNCTION("""COMPUTED_VALUE"""),"+54 9 11 3811-4637")</f>
        <v>+54 9 11 3811-4637</v>
      </c>
      <c r="K89" s="45" t="str">
        <f>IFERROR(__xludf.DUMMYFUNCTION("""COMPUTED_VALUE"""),"sebastian.parrella@gmail.com")</f>
        <v>sebastian.parrella@gmail.com</v>
      </c>
      <c r="L89" s="45" t="str">
        <f>IFERROR(__xludf.DUMMYFUNCTION("""COMPUTED_VALUE"""),"Masculino")</f>
        <v>Masculino</v>
      </c>
      <c r="M89" s="45" t="str">
        <f>IFERROR(__xludf.DUMMYFUNCTION("""COMPUTED_VALUE"""),"YCCN")</f>
        <v>YCCN</v>
      </c>
      <c r="N89" s="45"/>
      <c r="O89" s="45" t="str">
        <f>IFERROR(__xludf.DUMMYFUNCTION("""COMPUTED_VALUE"""),"OPTIMIST TIMONELES")</f>
        <v>OPTIMIST TIMONELES</v>
      </c>
      <c r="P89" s="45"/>
      <c r="Q89" s="7">
        <f>IFERROR(__xludf.DUMMYFUNCTION("""COMPUTED_VALUE"""),3490.0)</f>
        <v>3490</v>
      </c>
      <c r="R89" s="45"/>
      <c r="S89" s="45"/>
      <c r="T89" s="45"/>
      <c r="U89" s="45"/>
      <c r="V89" s="45"/>
      <c r="W89" s="45"/>
      <c r="X89" s="45"/>
      <c r="Y89" s="45" t="str">
        <f>IFERROR(__xludf.DUMMYFUNCTION("""COMPUTED_VALUE"""),"Osde")</f>
        <v>Osde</v>
      </c>
      <c r="Z89" s="7" t="str">
        <f>IFERROR(__xludf.DUMMYFUNCTION("""COMPUTED_VALUE"""),"No")</f>
        <v>No</v>
      </c>
      <c r="AA89" s="7" t="str">
        <f>IFERROR(__xludf.DUMMYFUNCTION("""COMPUTED_VALUE"""),"Acepto")</f>
        <v>Acepto</v>
      </c>
      <c r="AB89" s="7" t="str">
        <f>IFERROR(__xludf.DUMMYFUNCTION("""COMPUTED_VALUE"""),"Terminado")</f>
        <v>Terminado</v>
      </c>
      <c r="AC89" s="7">
        <f>IFERROR(__xludf.DUMMYFUNCTION("""COMPUTED_VALUE"""),50000.0)</f>
        <v>50000</v>
      </c>
      <c r="AD89" s="7">
        <f>IFERROR(__xludf.DUMMYFUNCTION("""COMPUTED_VALUE"""),205154.0)</f>
        <v>205154</v>
      </c>
      <c r="AE89" s="45" t="str">
        <f>IFERROR(__xludf.DUMMYFUNCTION("""COMPUTED_VALUE"""),"TRF 31-08")</f>
        <v>TRF 31-08</v>
      </c>
      <c r="AF89" s="7" t="str">
        <f>IFERROR(__xludf.DUMMYFUNCTION("""COMPUTED_VALUE"""),"OK")</f>
        <v>OK</v>
      </c>
      <c r="AG89" s="7"/>
      <c r="AH89" s="7"/>
      <c r="AI89" s="7"/>
    </row>
    <row r="90">
      <c r="B90" s="42">
        <f>IFERROR(__xludf.DUMMYFUNCTION("""COMPUTED_VALUE"""),45538.82748641203)</f>
        <v>45538.82749</v>
      </c>
      <c r="C90" s="43" t="str">
        <f>IFERROR(__xludf.DUMMYFUNCTION("""COMPUTED_VALUE"""),"Bautista ")</f>
        <v>Bautista </v>
      </c>
      <c r="D90" s="43" t="str">
        <f>IFERROR(__xludf.DUMMYFUNCTION("""COMPUTED_VALUE"""),"PEREIRO")</f>
        <v>PEREIRO</v>
      </c>
      <c r="E90" s="43" t="str">
        <f>IFERROR(__xludf.DUMMYFUNCTION("""COMPUTED_VALUE"""),"Caba")</f>
        <v>Caba</v>
      </c>
      <c r="F90" s="7" t="str">
        <f>IFERROR(__xludf.DUMMYFUNCTION("""COMPUTED_VALUE"""),"ARG")</f>
        <v>ARG</v>
      </c>
      <c r="G90" s="7">
        <f>IFERROR(__xludf.DUMMYFUNCTION("""COMPUTED_VALUE"""),5.1588663E7)</f>
        <v>51588663</v>
      </c>
      <c r="H90" s="44">
        <f>IFERROR(__xludf.DUMMYFUNCTION("""COMPUTED_VALUE"""),40893.0)</f>
        <v>40893</v>
      </c>
      <c r="I90" s="45">
        <f>IFERROR(__xludf.DUMMYFUNCTION("""COMPUTED_VALUE"""),1.12605254E9)</f>
        <v>1126052540</v>
      </c>
      <c r="J90" s="45">
        <f>IFERROR(__xludf.DUMMYFUNCTION("""COMPUTED_VALUE"""),1.12605254E9)</f>
        <v>1126052540</v>
      </c>
      <c r="K90" s="45" t="str">
        <f>IFERROR(__xludf.DUMMYFUNCTION("""COMPUTED_VALUE"""),"doloresgm@gmail.com")</f>
        <v>doloresgm@gmail.com</v>
      </c>
      <c r="L90" s="45" t="str">
        <f>IFERROR(__xludf.DUMMYFUNCTION("""COMPUTED_VALUE"""),"Masculino")</f>
        <v>Masculino</v>
      </c>
      <c r="M90" s="45" t="str">
        <f>IFERROR(__xludf.DUMMYFUNCTION("""COMPUTED_VALUE"""),"Cuba")</f>
        <v>Cuba</v>
      </c>
      <c r="N90" s="45"/>
      <c r="O90" s="45" t="str">
        <f>IFERROR(__xludf.DUMMYFUNCTION("""COMPUTED_VALUE"""),"OPTIMIST TIMONELES")</f>
        <v>OPTIMIST TIMONELES</v>
      </c>
      <c r="P90" s="45"/>
      <c r="Q90" s="7">
        <f>IFERROR(__xludf.DUMMYFUNCTION("""COMPUTED_VALUE"""),3757.0)</f>
        <v>3757</v>
      </c>
      <c r="R90" s="45"/>
      <c r="S90" s="45"/>
      <c r="T90" s="45"/>
      <c r="U90" s="45"/>
      <c r="V90" s="45"/>
      <c r="W90" s="45"/>
      <c r="X90" s="45"/>
      <c r="Y90" s="45" t="str">
        <f>IFERROR(__xludf.DUMMYFUNCTION("""COMPUTED_VALUE"""),"Osde")</f>
        <v>Osde</v>
      </c>
      <c r="Z90" s="7" t="str">
        <f>IFERROR(__xludf.DUMMYFUNCTION("""COMPUTED_VALUE"""),"No")</f>
        <v>No</v>
      </c>
      <c r="AA90" s="7" t="str">
        <f>IFERROR(__xludf.DUMMYFUNCTION("""COMPUTED_VALUE"""),"Acepto")</f>
        <v>Acepto</v>
      </c>
      <c r="AB90" s="7" t="str">
        <f>IFERROR(__xludf.DUMMYFUNCTION("""COMPUTED_VALUE"""),"Terminado")</f>
        <v>Terminado</v>
      </c>
      <c r="AC90" s="7">
        <f>IFERROR(__xludf.DUMMYFUNCTION("""COMPUTED_VALUE"""),50000.0)</f>
        <v>50000</v>
      </c>
      <c r="AD90" s="7">
        <f>IFERROR(__xludf.DUMMYFUNCTION("""COMPUTED_VALUE"""),205422.0)</f>
        <v>205422</v>
      </c>
      <c r="AE90" s="45" t="str">
        <f>IFERROR(__xludf.DUMMYFUNCTION("""COMPUTED_VALUE"""),"TRF 03-09")</f>
        <v>TRF 03-09</v>
      </c>
      <c r="AF90" s="7" t="str">
        <f>IFERROR(__xludf.DUMMYFUNCTION("""COMPUTED_VALUE"""),"OK")</f>
        <v>OK</v>
      </c>
      <c r="AG90" s="7"/>
      <c r="AH90" s="7"/>
      <c r="AI90" s="7"/>
    </row>
    <row r="91">
      <c r="B91" s="42">
        <f>IFERROR(__xludf.DUMMYFUNCTION("""COMPUTED_VALUE"""),45535.550941249996)</f>
        <v>45535.55094</v>
      </c>
      <c r="C91" s="43" t="str">
        <f>IFERROR(__xludf.DUMMYFUNCTION("""COMPUTED_VALUE"""),"Juan Cruz")</f>
        <v>Juan Cruz</v>
      </c>
      <c r="D91" s="43" t="str">
        <f>IFERROR(__xludf.DUMMYFUNCTION("""COMPUTED_VALUE"""),"Perrotta")</f>
        <v>Perrotta</v>
      </c>
      <c r="E91" s="43" t="str">
        <f>IFERROR(__xludf.DUMMYFUNCTION("""COMPUTED_VALUE"""),"Buenos Aires")</f>
        <v>Buenos Aires</v>
      </c>
      <c r="F91" s="7" t="str">
        <f>IFERROR(__xludf.DUMMYFUNCTION("""COMPUTED_VALUE"""),"ARG")</f>
        <v>ARG</v>
      </c>
      <c r="G91" s="7">
        <f>IFERROR(__xludf.DUMMYFUNCTION("""COMPUTED_VALUE"""),5.0801005E7)</f>
        <v>50801005</v>
      </c>
      <c r="H91" s="44">
        <f>IFERROR(__xludf.DUMMYFUNCTION("""COMPUTED_VALUE"""),40518.0)</f>
        <v>40518</v>
      </c>
      <c r="I91" s="45">
        <f>IFERROR(__xludf.DUMMYFUNCTION("""COMPUTED_VALUE"""),1.16501903E9)</f>
        <v>1165019030</v>
      </c>
      <c r="J91" s="45">
        <f>IFERROR(__xludf.DUMMYFUNCTION("""COMPUTED_VALUE"""),1.16501903E9)</f>
        <v>1165019030</v>
      </c>
      <c r="K91" s="45" t="str">
        <f>IFERROR(__xludf.DUMMYFUNCTION("""COMPUTED_VALUE"""),"Paulacutini@gmail.comp")</f>
        <v>Paulacutini@gmail.comp</v>
      </c>
      <c r="L91" s="45" t="str">
        <f>IFERROR(__xludf.DUMMYFUNCTION("""COMPUTED_VALUE"""),"Masculino")</f>
        <v>Masculino</v>
      </c>
      <c r="M91" s="45" t="str">
        <f>IFERROR(__xludf.DUMMYFUNCTION("""COMPUTED_VALUE"""),"CNAS")</f>
        <v>CNAS</v>
      </c>
      <c r="N91" s="45"/>
      <c r="O91" s="45" t="str">
        <f>IFERROR(__xludf.DUMMYFUNCTION("""COMPUTED_VALUE"""),"OPTIMIST TIMONELES")</f>
        <v>OPTIMIST TIMONELES</v>
      </c>
      <c r="P91" s="45"/>
      <c r="Q91" s="7">
        <f>IFERROR(__xludf.DUMMYFUNCTION("""COMPUTED_VALUE"""),3619.0)</f>
        <v>3619</v>
      </c>
      <c r="R91" s="45"/>
      <c r="S91" s="45"/>
      <c r="T91" s="45"/>
      <c r="U91" s="45"/>
      <c r="V91" s="45"/>
      <c r="W91" s="45"/>
      <c r="X91" s="45"/>
      <c r="Y91" s="45">
        <f>IFERROR(__xludf.DUMMYFUNCTION("""COMPUTED_VALUE"""),6.0688819404E10)</f>
        <v>60688819404</v>
      </c>
      <c r="Z91" s="7" t="str">
        <f>IFERROR(__xludf.DUMMYFUNCTION("""COMPUTED_VALUE"""),"Si")</f>
        <v>Si</v>
      </c>
      <c r="AA91" s="7" t="str">
        <f>IFERROR(__xludf.DUMMYFUNCTION("""COMPUTED_VALUE"""),"Acepto")</f>
        <v>Acepto</v>
      </c>
      <c r="AB91" s="7" t="str">
        <f>IFERROR(__xludf.DUMMYFUNCTION("""COMPUTED_VALUE"""),"Terminado")</f>
        <v>Terminado</v>
      </c>
      <c r="AC91" s="7">
        <f>IFERROR(__xludf.DUMMYFUNCTION("""COMPUTED_VALUE"""),60000.0)</f>
        <v>60000</v>
      </c>
      <c r="AD91" s="7">
        <f>IFERROR(__xludf.DUMMYFUNCTION("""COMPUTED_VALUE"""),205155.0)</f>
        <v>205155</v>
      </c>
      <c r="AE91" s="45" t="str">
        <f>IFERROR(__xludf.DUMMYFUNCTION("""COMPUTED_VALUE"""),"TRF 31-08")</f>
        <v>TRF 31-08</v>
      </c>
      <c r="AF91" s="7" t="str">
        <f>IFERROR(__xludf.DUMMYFUNCTION("""COMPUTED_VALUE"""),"OK")</f>
        <v>OK</v>
      </c>
      <c r="AG91" s="7"/>
      <c r="AH91" s="7"/>
      <c r="AI91" s="7"/>
    </row>
    <row r="92">
      <c r="B92" s="42">
        <f>IFERROR(__xludf.DUMMYFUNCTION("""COMPUTED_VALUE"""),45535.51053509259)</f>
        <v>45535.51054</v>
      </c>
      <c r="C92" s="43" t="str">
        <f>IFERROR(__xludf.DUMMYFUNCTION("""COMPUTED_VALUE"""),"Donato")</f>
        <v>Donato</v>
      </c>
      <c r="D92" s="43" t="str">
        <f>IFERROR(__xludf.DUMMYFUNCTION("""COMPUTED_VALUE"""),"Pichetti")</f>
        <v>Pichetti</v>
      </c>
      <c r="E92" s="43" t="str">
        <f>IFERROR(__xludf.DUMMYFUNCTION("""COMPUTED_VALUE"""),"Junin")</f>
        <v>Junin</v>
      </c>
      <c r="F92" s="7" t="str">
        <f>IFERROR(__xludf.DUMMYFUNCTION("""COMPUTED_VALUE"""),"ARG")</f>
        <v>ARG</v>
      </c>
      <c r="G92" s="7">
        <f>IFERROR(__xludf.DUMMYFUNCTION("""COMPUTED_VALUE"""),5.3218075E7)</f>
        <v>53218075</v>
      </c>
      <c r="H92" s="44">
        <f>IFERROR(__xludf.DUMMYFUNCTION("""COMPUTED_VALUE"""),41495.0)</f>
        <v>41495</v>
      </c>
      <c r="I92" s="45">
        <f>IFERROR(__xludf.DUMMYFUNCTION("""COMPUTED_VALUE"""),2.36469228E9)</f>
        <v>2364692280</v>
      </c>
      <c r="J92" s="45">
        <f>IFERROR(__xludf.DUMMYFUNCTION("""COMPUTED_VALUE"""),2.474677979E9)</f>
        <v>2474677979</v>
      </c>
      <c r="K92" s="45" t="str">
        <f>IFERROR(__xludf.DUMMYFUNCTION("""COMPUTED_VALUE"""),"ana.inesc@hotmail.com")</f>
        <v>ana.inesc@hotmail.com</v>
      </c>
      <c r="L92" s="45" t="str">
        <f>IFERROR(__xludf.DUMMYFUNCTION("""COMPUTED_VALUE"""),"Masculino")</f>
        <v>Masculino</v>
      </c>
      <c r="M92" s="45" t="str">
        <f>IFERROR(__xludf.DUMMYFUNCTION("""COMPUTED_VALUE"""),"CNSP")</f>
        <v>CNSP</v>
      </c>
      <c r="N92" s="45" t="str">
        <f>IFERROR(__xludf.DUMMYFUNCTION("""COMPUTED_VALUE"""),"Interior (Optimist)")</f>
        <v>Interior (Optimist)</v>
      </c>
      <c r="O92" s="45" t="str">
        <f>IFERROR(__xludf.DUMMYFUNCTION("""COMPUTED_VALUE"""),"OPTIMIST TIMONELES")</f>
        <v>OPTIMIST TIMONELES</v>
      </c>
      <c r="P92" s="45"/>
      <c r="Q92" s="7">
        <f>IFERROR(__xludf.DUMMYFUNCTION("""COMPUTED_VALUE"""),4042.0)</f>
        <v>4042</v>
      </c>
      <c r="R92" s="45"/>
      <c r="S92" s="45"/>
      <c r="T92" s="45"/>
      <c r="U92" s="45"/>
      <c r="V92" s="45"/>
      <c r="W92" s="45"/>
      <c r="X92" s="45"/>
      <c r="Y92" s="45" t="str">
        <f>IFERROR(__xludf.DUMMYFUNCTION("""COMPUTED_VALUE"""),"OSDE ")</f>
        <v>OSDE </v>
      </c>
      <c r="Z92" s="7" t="str">
        <f>IFERROR(__xludf.DUMMYFUNCTION("""COMPUTED_VALUE"""),"Si")</f>
        <v>Si</v>
      </c>
      <c r="AA92" s="7" t="str">
        <f>IFERROR(__xludf.DUMMYFUNCTION("""COMPUTED_VALUE"""),"Acepto")</f>
        <v>Acepto</v>
      </c>
      <c r="AB92" s="7" t="str">
        <f>IFERROR(__xludf.DUMMYFUNCTION("""COMPUTED_VALUE"""),"Terminado")</f>
        <v>Terminado</v>
      </c>
      <c r="AC92" s="7">
        <f>IFERROR(__xludf.DUMMYFUNCTION("""COMPUTED_VALUE"""),42500.0)</f>
        <v>42500</v>
      </c>
      <c r="AD92" s="7">
        <f>IFERROR(__xludf.DUMMYFUNCTION("""COMPUTED_VALUE"""),205382.0)</f>
        <v>205382</v>
      </c>
      <c r="AE92" s="45" t="str">
        <f>IFERROR(__xludf.DUMMYFUNCTION("""COMPUTED_VALUE"""),"TRF 02-09")</f>
        <v>TRF 02-09</v>
      </c>
      <c r="AF92" s="7" t="str">
        <f>IFERROR(__xludf.DUMMYFUNCTION("""COMPUTED_VALUE"""),"OK")</f>
        <v>OK</v>
      </c>
      <c r="AG92" s="7"/>
      <c r="AH92" s="7"/>
      <c r="AI92" s="7"/>
    </row>
    <row r="93">
      <c r="B93" s="42">
        <f>IFERROR(__xludf.DUMMYFUNCTION("""COMPUTED_VALUE"""),45535.58038476852)</f>
        <v>45535.58038</v>
      </c>
      <c r="C93" s="43" t="str">
        <f>IFERROR(__xludf.DUMMYFUNCTION("""COMPUTED_VALUE"""),"Gino")</f>
        <v>Gino</v>
      </c>
      <c r="D93" s="43" t="str">
        <f>IFERROR(__xludf.DUMMYFUNCTION("""COMPUTED_VALUE"""),"Pichetti")</f>
        <v>Pichetti</v>
      </c>
      <c r="E93" s="43" t="str">
        <f>IFERROR(__xludf.DUMMYFUNCTION("""COMPUTED_VALUE"""),"Junín ")</f>
        <v>Junín </v>
      </c>
      <c r="F93" s="7" t="str">
        <f>IFERROR(__xludf.DUMMYFUNCTION("""COMPUTED_VALUE"""),"ARG")</f>
        <v>ARG</v>
      </c>
      <c r="G93" s="7">
        <f>IFERROR(__xludf.DUMMYFUNCTION("""COMPUTED_VALUE"""),5.0668849E7)</f>
        <v>50668849</v>
      </c>
      <c r="H93" s="44">
        <f>IFERROR(__xludf.DUMMYFUNCTION("""COMPUTED_VALUE"""),40546.0)</f>
        <v>40546</v>
      </c>
      <c r="I93" s="45">
        <f>IFERROR(__xludf.DUMMYFUNCTION("""COMPUTED_VALUE"""),2.36469228E9)</f>
        <v>2364692280</v>
      </c>
      <c r="J93" s="45">
        <f>IFERROR(__xludf.DUMMYFUNCTION("""COMPUTED_VALUE"""),2.474677979E9)</f>
        <v>2474677979</v>
      </c>
      <c r="K93" s="45" t="str">
        <f>IFERROR(__xludf.DUMMYFUNCTION("""COMPUTED_VALUE"""),"ana.inesc@hotmail.com ")</f>
        <v>ana.inesc@hotmail.com </v>
      </c>
      <c r="L93" s="45" t="str">
        <f>IFERROR(__xludf.DUMMYFUNCTION("""COMPUTED_VALUE"""),"Masculino")</f>
        <v>Masculino</v>
      </c>
      <c r="M93" s="45" t="str">
        <f>IFERROR(__xludf.DUMMYFUNCTION("""COMPUTED_VALUE"""),"CNSP")</f>
        <v>CNSP</v>
      </c>
      <c r="N93" s="45" t="str">
        <f>IFERROR(__xludf.DUMMYFUNCTION("""COMPUTED_VALUE"""),"Interior (Optimist)")</f>
        <v>Interior (Optimist)</v>
      </c>
      <c r="O93" s="45" t="str">
        <f>IFERROR(__xludf.DUMMYFUNCTION("""COMPUTED_VALUE"""),"OPTIMIST TIMONELES")</f>
        <v>OPTIMIST TIMONELES</v>
      </c>
      <c r="P93" s="45"/>
      <c r="Q93" s="7">
        <f>IFERROR(__xludf.DUMMYFUNCTION("""COMPUTED_VALUE"""),4052.0)</f>
        <v>4052</v>
      </c>
      <c r="R93" s="45"/>
      <c r="S93" s="45"/>
      <c r="T93" s="45"/>
      <c r="U93" s="45"/>
      <c r="V93" s="45"/>
      <c r="W93" s="45"/>
      <c r="X93" s="45"/>
      <c r="Y93" s="45" t="str">
        <f>IFERROR(__xludf.DUMMYFUNCTION("""COMPUTED_VALUE"""),"OSDE")</f>
        <v>OSDE</v>
      </c>
      <c r="Z93" s="7" t="str">
        <f>IFERROR(__xludf.DUMMYFUNCTION("""COMPUTED_VALUE"""),"Si")</f>
        <v>Si</v>
      </c>
      <c r="AA93" s="7" t="str">
        <f>IFERROR(__xludf.DUMMYFUNCTION("""COMPUTED_VALUE"""),"Acepto")</f>
        <v>Acepto</v>
      </c>
      <c r="AB93" s="7" t="str">
        <f>IFERROR(__xludf.DUMMYFUNCTION("""COMPUTED_VALUE"""),"Terminado")</f>
        <v>Terminado</v>
      </c>
      <c r="AC93" s="7">
        <f>IFERROR(__xludf.DUMMYFUNCTION("""COMPUTED_VALUE"""),42500.0)</f>
        <v>42500</v>
      </c>
      <c r="AD93" s="7">
        <f>IFERROR(__xludf.DUMMYFUNCTION("""COMPUTED_VALUE"""),205381.0)</f>
        <v>205381</v>
      </c>
      <c r="AE93" s="45" t="str">
        <f>IFERROR(__xludf.DUMMYFUNCTION("""COMPUTED_VALUE"""),"TRF 02-09")</f>
        <v>TRF 02-09</v>
      </c>
      <c r="AF93" s="7" t="str">
        <f>IFERROR(__xludf.DUMMYFUNCTION("""COMPUTED_VALUE"""),"OK")</f>
        <v>OK</v>
      </c>
      <c r="AG93" s="7"/>
      <c r="AH93" s="7"/>
      <c r="AI93" s="7"/>
    </row>
    <row r="94">
      <c r="B94" s="42">
        <f>IFERROR(__xludf.DUMMYFUNCTION("""COMPUTED_VALUE"""),45534.78619775463)</f>
        <v>45534.7862</v>
      </c>
      <c r="C94" s="43" t="str">
        <f>IFERROR(__xludf.DUMMYFUNCTION("""COMPUTED_VALUE"""),"Dante")</f>
        <v>Dante</v>
      </c>
      <c r="D94" s="43" t="str">
        <f>IFERROR(__xludf.DUMMYFUNCTION("""COMPUTED_VALUE"""),"Pierson")</f>
        <v>Pierson</v>
      </c>
      <c r="E94" s="43" t="str">
        <f>IFERROR(__xludf.DUMMYFUNCTION("""COMPUTED_VALUE"""),"Rosario")</f>
        <v>Rosario</v>
      </c>
      <c r="F94" s="7" t="str">
        <f>IFERROR(__xludf.DUMMYFUNCTION("""COMPUTED_VALUE"""),"ARG")</f>
        <v>ARG</v>
      </c>
      <c r="G94" s="7">
        <f>IFERROR(__xludf.DUMMYFUNCTION("""COMPUTED_VALUE"""),5.0241942E7)</f>
        <v>50241942</v>
      </c>
      <c r="H94" s="44">
        <f>IFERROR(__xludf.DUMMYFUNCTION("""COMPUTED_VALUE"""),40273.0)</f>
        <v>40273</v>
      </c>
      <c r="I94" s="45">
        <f>IFERROR(__xludf.DUMMYFUNCTION("""COMPUTED_VALUE"""),3.416987798E9)</f>
        <v>3416987798</v>
      </c>
      <c r="J94" s="45">
        <f>IFERROR(__xludf.DUMMYFUNCTION("""COMPUTED_VALUE"""),3.416987797E9)</f>
        <v>3416987797</v>
      </c>
      <c r="K94" s="45" t="str">
        <f>IFERROR(__xludf.DUMMYFUNCTION("""COMPUTED_VALUE"""),"valeritacerra@gmail.com")</f>
        <v>valeritacerra@gmail.com</v>
      </c>
      <c r="L94" s="45" t="str">
        <f>IFERROR(__xludf.DUMMYFUNCTION("""COMPUTED_VALUE"""),"Masculino")</f>
        <v>Masculino</v>
      </c>
      <c r="M94" s="45" t="str">
        <f>IFERROR(__xludf.DUMMYFUNCTION("""COMPUTED_VALUE"""),"CRR")</f>
        <v>CRR</v>
      </c>
      <c r="N94" s="45" t="str">
        <f>IFERROR(__xludf.DUMMYFUNCTION("""COMPUTED_VALUE"""),"Interior (Optimist)")</f>
        <v>Interior (Optimist)</v>
      </c>
      <c r="O94" s="45" t="str">
        <f>IFERROR(__xludf.DUMMYFUNCTION("""COMPUTED_VALUE"""),"OPTIMIST TIMONELES")</f>
        <v>OPTIMIST TIMONELES</v>
      </c>
      <c r="P94" s="45"/>
      <c r="Q94" s="7">
        <f>IFERROR(__xludf.DUMMYFUNCTION("""COMPUTED_VALUE"""),3999.0)</f>
        <v>3999</v>
      </c>
      <c r="R94" s="45"/>
      <c r="S94" s="45"/>
      <c r="T94" s="45"/>
      <c r="U94" s="45"/>
      <c r="V94" s="45"/>
      <c r="W94" s="45"/>
      <c r="X94" s="45"/>
      <c r="Y94" s="45" t="str">
        <f>IFERROR(__xludf.DUMMYFUNCTION("""COMPUTED_VALUE"""),"OSUNR 0026538900C")</f>
        <v>OSUNR 0026538900C</v>
      </c>
      <c r="Z94" s="7" t="str">
        <f>IFERROR(__xludf.DUMMYFUNCTION("""COMPUTED_VALUE"""),"No")</f>
        <v>No</v>
      </c>
      <c r="AA94" s="7" t="str">
        <f>IFERROR(__xludf.DUMMYFUNCTION("""COMPUTED_VALUE"""),"Acepto")</f>
        <v>Acepto</v>
      </c>
      <c r="AB94" s="7" t="str">
        <f>IFERROR(__xludf.DUMMYFUNCTION("""COMPUTED_VALUE"""),"Terminado")</f>
        <v>Terminado</v>
      </c>
      <c r="AC94" s="7">
        <f>IFERROR(__xludf.DUMMYFUNCTION("""COMPUTED_VALUE"""),42500.0)</f>
        <v>42500</v>
      </c>
      <c r="AD94" s="7">
        <f>IFERROR(__xludf.DUMMYFUNCTION("""COMPUTED_VALUE"""),205132.0)</f>
        <v>205132</v>
      </c>
      <c r="AE94" s="45" t="str">
        <f>IFERROR(__xludf.DUMMYFUNCTION("""COMPUTED_VALUE"""),"TRF 30-08")</f>
        <v>TRF 30-08</v>
      </c>
      <c r="AF94" s="7" t="str">
        <f>IFERROR(__xludf.DUMMYFUNCTION("""COMPUTED_VALUE"""),"OK")</f>
        <v>OK</v>
      </c>
      <c r="AG94" s="7"/>
      <c r="AH94" s="7"/>
      <c r="AI94" s="7"/>
    </row>
    <row r="95">
      <c r="B95" s="42">
        <f>IFERROR(__xludf.DUMMYFUNCTION("""COMPUTED_VALUE"""),45534.50337871528)</f>
        <v>45534.50338</v>
      </c>
      <c r="C95" s="43" t="str">
        <f>IFERROR(__xludf.DUMMYFUNCTION("""COMPUTED_VALUE"""),"Lucio ")</f>
        <v>Lucio </v>
      </c>
      <c r="D95" s="43" t="str">
        <f>IFERROR(__xludf.DUMMYFUNCTION("""COMPUTED_VALUE"""),"Pierson")</f>
        <v>Pierson</v>
      </c>
      <c r="E95" s="43" t="str">
        <f>IFERROR(__xludf.DUMMYFUNCTION("""COMPUTED_VALUE"""),"La Plata ")</f>
        <v>La Plata </v>
      </c>
      <c r="F95" s="7" t="str">
        <f>IFERROR(__xludf.DUMMYFUNCTION("""COMPUTED_VALUE"""),"ARG")</f>
        <v>ARG</v>
      </c>
      <c r="G95" s="7">
        <f>IFERROR(__xludf.DUMMYFUNCTION("""COMPUTED_VALUE"""),4.9932072E7)</f>
        <v>49932072</v>
      </c>
      <c r="H95" s="44">
        <f>IFERROR(__xludf.DUMMYFUNCTION("""COMPUTED_VALUE"""),40129.0)</f>
        <v>40129</v>
      </c>
      <c r="I95" s="45" t="str">
        <f>IFERROR(__xludf.DUMMYFUNCTION("""COMPUTED_VALUE"""),"221 542 6584")</f>
        <v>221 542 6584</v>
      </c>
      <c r="J95" s="45" t="str">
        <f>IFERROR(__xludf.DUMMYFUNCTION("""COMPUTED_VALUE"""),"221 640 2039")</f>
        <v>221 640 2039</v>
      </c>
      <c r="K95" s="45" t="str">
        <f>IFERROR(__xludf.DUMMYFUNCTION("""COMPUTED_VALUE"""),"luciopinedo09@gmail.com")</f>
        <v>luciopinedo09@gmail.com</v>
      </c>
      <c r="L95" s="45" t="str">
        <f>IFERROR(__xludf.DUMMYFUNCTION("""COMPUTED_VALUE"""),"Masculino")</f>
        <v>Masculino</v>
      </c>
      <c r="M95" s="45" t="str">
        <f>IFERROR(__xludf.DUMMYFUNCTION("""COMPUTED_VALUE"""),"CRLP")</f>
        <v>CRLP</v>
      </c>
      <c r="N95" s="45"/>
      <c r="O95" s="45" t="str">
        <f>IFERROR(__xludf.DUMMYFUNCTION("""COMPUTED_VALUE"""),"OPTIMIST TIMONELES")</f>
        <v>OPTIMIST TIMONELES</v>
      </c>
      <c r="P95" s="45"/>
      <c r="Q95" s="7">
        <f>IFERROR(__xludf.DUMMYFUNCTION("""COMPUTED_VALUE"""),3581.0)</f>
        <v>3581</v>
      </c>
      <c r="R95" s="45"/>
      <c r="S95" s="45"/>
      <c r="T95" s="45"/>
      <c r="U95" s="45"/>
      <c r="V95" s="45"/>
      <c r="W95" s="45"/>
      <c r="X95" s="45"/>
      <c r="Y95" s="45" t="str">
        <f>IFERROR(__xludf.DUMMYFUNCTION("""COMPUTED_VALUE"""),"IOMA/ K248929169/03")</f>
        <v>IOMA/ K248929169/03</v>
      </c>
      <c r="Z95" s="7" t="str">
        <f>IFERROR(__xludf.DUMMYFUNCTION("""COMPUTED_VALUE"""),"Si")</f>
        <v>Si</v>
      </c>
      <c r="AA95" s="7" t="str">
        <f>IFERROR(__xludf.DUMMYFUNCTION("""COMPUTED_VALUE"""),"Acepto")</f>
        <v>Acepto</v>
      </c>
      <c r="AB95" s="7" t="str">
        <f>IFERROR(__xludf.DUMMYFUNCTION("""COMPUTED_VALUE"""),"Terminado")</f>
        <v>Terminado</v>
      </c>
      <c r="AC95" s="7">
        <f>IFERROR(__xludf.DUMMYFUNCTION("""COMPUTED_VALUE"""),50000.0)</f>
        <v>50000</v>
      </c>
      <c r="AD95" s="7">
        <f>IFERROR(__xludf.DUMMYFUNCTION("""COMPUTED_VALUE"""),205104.0)</f>
        <v>205104</v>
      </c>
      <c r="AE95" s="45" t="str">
        <f>IFERROR(__xludf.DUMMYFUNCTION("""COMPUTED_VALUE"""),"TRF 30-08")</f>
        <v>TRF 30-08</v>
      </c>
      <c r="AF95" s="7" t="str">
        <f>IFERROR(__xludf.DUMMYFUNCTION("""COMPUTED_VALUE"""),"Pendiente")</f>
        <v>Pendiente</v>
      </c>
      <c r="AG95" s="7"/>
      <c r="AH95" s="7"/>
      <c r="AI95" s="7"/>
    </row>
    <row r="96">
      <c r="B96" s="42">
        <f>IFERROR(__xludf.DUMMYFUNCTION("""COMPUTED_VALUE"""),45534.39952320602)</f>
        <v>45534.39952</v>
      </c>
      <c r="C96" s="43" t="str">
        <f>IFERROR(__xludf.DUMMYFUNCTION("""COMPUTED_VALUE"""),"Lautaro")</f>
        <v>Lautaro</v>
      </c>
      <c r="D96" s="43" t="str">
        <f>IFERROR(__xludf.DUMMYFUNCTION("""COMPUTED_VALUE"""),"Pinedo Chiappa")</f>
        <v>Pinedo Chiappa</v>
      </c>
      <c r="E96" s="43" t="str">
        <f>IFERROR(__xludf.DUMMYFUNCTION("""COMPUTED_VALUE"""),"La Plata")</f>
        <v>La Plata</v>
      </c>
      <c r="F96" s="7" t="str">
        <f>IFERROR(__xludf.DUMMYFUNCTION("""COMPUTED_VALUE"""),"ARG")</f>
        <v>ARG</v>
      </c>
      <c r="G96" s="7">
        <f>IFERROR(__xludf.DUMMYFUNCTION("""COMPUTED_VALUE"""),5.1261261E7)</f>
        <v>51261261</v>
      </c>
      <c r="H96" s="44">
        <f>IFERROR(__xludf.DUMMYFUNCTION("""COMPUTED_VALUE"""),38961.0)</f>
        <v>38961</v>
      </c>
      <c r="I96" s="45" t="str">
        <f>IFERROR(__xludf.DUMMYFUNCTION("""COMPUTED_VALUE"""),"221 4196396")</f>
        <v>221 4196396</v>
      </c>
      <c r="J96" s="45" t="str">
        <f>IFERROR(__xludf.DUMMYFUNCTION("""COMPUTED_VALUE"""),"221 4196396")</f>
        <v>221 4196396</v>
      </c>
      <c r="K96" s="45" t="str">
        <f>IFERROR(__xludf.DUMMYFUNCTION("""COMPUTED_VALUE"""),"agustinpinedo@gmail.com")</f>
        <v>agustinpinedo@gmail.com</v>
      </c>
      <c r="L96" s="45" t="str">
        <f>IFERROR(__xludf.DUMMYFUNCTION("""COMPUTED_VALUE"""),"Masculino")</f>
        <v>Masculino</v>
      </c>
      <c r="M96" s="45" t="str">
        <f>IFERROR(__xludf.DUMMYFUNCTION("""COMPUTED_VALUE"""),"CRLP")</f>
        <v>CRLP</v>
      </c>
      <c r="N96" s="45" t="str">
        <f>IFERROR(__xludf.DUMMYFUNCTION("""COMPUTED_VALUE"""),"Optimist Timoneles")</f>
        <v>Optimist Timoneles</v>
      </c>
      <c r="O96" s="45" t="str">
        <f>IFERROR(__xludf.DUMMYFUNCTION("""COMPUTED_VALUE"""),"OPTIMIST TIMONELES")</f>
        <v>OPTIMIST TIMONELES</v>
      </c>
      <c r="P96" s="45"/>
      <c r="Q96" s="7">
        <f>IFERROR(__xludf.DUMMYFUNCTION("""COMPUTED_VALUE"""),3070.0)</f>
        <v>3070</v>
      </c>
      <c r="R96" s="45"/>
      <c r="S96" s="45"/>
      <c r="T96" s="45"/>
      <c r="U96" s="45"/>
      <c r="V96" s="45"/>
      <c r="W96" s="45"/>
      <c r="X96" s="45"/>
      <c r="Y96" s="45" t="str">
        <f>IFERROR(__xludf.DUMMYFUNCTION("""COMPUTED_VALUE"""),"IOMA 2228512572703")</f>
        <v>IOMA 2228512572703</v>
      </c>
      <c r="Z96" s="7" t="str">
        <f>IFERROR(__xludf.DUMMYFUNCTION("""COMPUTED_VALUE"""),"Si")</f>
        <v>Si</v>
      </c>
      <c r="AA96" s="7" t="str">
        <f>IFERROR(__xludf.DUMMYFUNCTION("""COMPUTED_VALUE"""),"Acepto")</f>
        <v>Acepto</v>
      </c>
      <c r="AB96" s="7" t="str">
        <f>IFERROR(__xludf.DUMMYFUNCTION("""COMPUTED_VALUE"""),"Terminado")</f>
        <v>Terminado</v>
      </c>
      <c r="AC96" s="7">
        <f>IFERROR(__xludf.DUMMYFUNCTION("""COMPUTED_VALUE"""),50000.0)</f>
        <v>50000</v>
      </c>
      <c r="AD96" s="7">
        <f>IFERROR(__xludf.DUMMYFUNCTION("""COMPUTED_VALUE"""),205087.0)</f>
        <v>205087</v>
      </c>
      <c r="AE96" s="45" t="str">
        <f>IFERROR(__xludf.DUMMYFUNCTION("""COMPUTED_VALUE"""),"TRF 30-08")</f>
        <v>TRF 30-08</v>
      </c>
      <c r="AF96" s="7" t="str">
        <f>IFERROR(__xludf.DUMMYFUNCTION("""COMPUTED_VALUE"""),"OK")</f>
        <v>OK</v>
      </c>
      <c r="AG96" s="7"/>
      <c r="AH96" s="7"/>
      <c r="AI96" s="7"/>
    </row>
    <row r="97">
      <c r="B97" s="42">
        <f>IFERROR(__xludf.DUMMYFUNCTION("""COMPUTED_VALUE"""),45536.827928391205)</f>
        <v>45536.82793</v>
      </c>
      <c r="C97" s="43" t="str">
        <f>IFERROR(__xludf.DUMMYFUNCTION("""COMPUTED_VALUE"""),"Santiago")</f>
        <v>Santiago</v>
      </c>
      <c r="D97" s="43" t="str">
        <f>IFERROR(__xludf.DUMMYFUNCTION("""COMPUTED_VALUE"""),"Poggio")</f>
        <v>Poggio</v>
      </c>
      <c r="E97" s="43" t="str">
        <f>IFERROR(__xludf.DUMMYFUNCTION("""COMPUTED_VALUE"""),"Buenos Aires")</f>
        <v>Buenos Aires</v>
      </c>
      <c r="F97" s="7" t="str">
        <f>IFERROR(__xludf.DUMMYFUNCTION("""COMPUTED_VALUE"""),"ARG")</f>
        <v>ARG</v>
      </c>
      <c r="G97" s="7">
        <f>IFERROR(__xludf.DUMMYFUNCTION("""COMPUTED_VALUE"""),5.2790163E7)</f>
        <v>52790163</v>
      </c>
      <c r="H97" s="44">
        <f>IFERROR(__xludf.DUMMYFUNCTION("""COMPUTED_VALUE"""),41184.0)</f>
        <v>41184</v>
      </c>
      <c r="I97" s="45" t="str">
        <f>IFERROR(__xludf.DUMMYFUNCTION("""COMPUTED_VALUE"""),"01130754065")</f>
        <v>01130754065</v>
      </c>
      <c r="J97" s="45" t="str">
        <f>IFERROR(__xludf.DUMMYFUNCTION("""COMPUTED_VALUE"""),"01130754065")</f>
        <v>01130754065</v>
      </c>
      <c r="K97" s="45" t="str">
        <f>IFERROR(__xludf.DUMMYFUNCTION("""COMPUTED_VALUE"""),"maximop@hotmail.com")</f>
        <v>maximop@hotmail.com</v>
      </c>
      <c r="L97" s="45" t="str">
        <f>IFERROR(__xludf.DUMMYFUNCTION("""COMPUTED_VALUE"""),"Masculino")</f>
        <v>Masculino</v>
      </c>
      <c r="M97" s="45" t="str">
        <f>IFERROR(__xludf.DUMMYFUNCTION("""COMPUTED_VALUE"""),"CUBA")</f>
        <v>CUBA</v>
      </c>
      <c r="N97" s="45" t="str">
        <f>IFERROR(__xludf.DUMMYFUNCTION("""COMPUTED_VALUE"""),"OPTIMIST TIMONEL (Sub12)")</f>
        <v>OPTIMIST TIMONEL (Sub12)</v>
      </c>
      <c r="O97" s="45" t="str">
        <f>IFERROR(__xludf.DUMMYFUNCTION("""COMPUTED_VALUE"""),"OPTIMIST TIMONELES")</f>
        <v>OPTIMIST TIMONELES</v>
      </c>
      <c r="P97" s="45"/>
      <c r="Q97" s="7" t="str">
        <f>IFERROR(__xludf.DUMMYFUNCTION("""COMPUTED_VALUE"""),"ARG3765")</f>
        <v>ARG3765</v>
      </c>
      <c r="R97" s="45"/>
      <c r="S97" s="45"/>
      <c r="T97" s="45"/>
      <c r="U97" s="45"/>
      <c r="V97" s="45"/>
      <c r="W97" s="45"/>
      <c r="X97" s="45"/>
      <c r="Y97" s="45" t="str">
        <f>IFERROR(__xludf.DUMMYFUNCTION("""COMPUTED_VALUE"""),"OSDE 210 / 60 723328 1 06")</f>
        <v>OSDE 210 / 60 723328 1 06</v>
      </c>
      <c r="Z97" s="7" t="str">
        <f>IFERROR(__xludf.DUMMYFUNCTION("""COMPUTED_VALUE"""),"No")</f>
        <v>No</v>
      </c>
      <c r="AA97" s="7" t="str">
        <f>IFERROR(__xludf.DUMMYFUNCTION("""COMPUTED_VALUE"""),"Acepto")</f>
        <v>Acepto</v>
      </c>
      <c r="AB97" s="7" t="str">
        <f>IFERROR(__xludf.DUMMYFUNCTION("""COMPUTED_VALUE"""),"Terminado")</f>
        <v>Terminado</v>
      </c>
      <c r="AC97" s="7">
        <f>IFERROR(__xludf.DUMMYFUNCTION("""COMPUTED_VALUE"""),50000.0)</f>
        <v>50000</v>
      </c>
      <c r="AD97" s="7">
        <f>IFERROR(__xludf.DUMMYFUNCTION("""COMPUTED_VALUE"""),205455.0)</f>
        <v>205455</v>
      </c>
      <c r="AE97" s="45" t="str">
        <f>IFERROR(__xludf.DUMMYFUNCTION("""COMPUTED_VALUE"""),"TRF 04-09")</f>
        <v>TRF 04-09</v>
      </c>
      <c r="AF97" s="7" t="str">
        <f>IFERROR(__xludf.DUMMYFUNCTION("""COMPUTED_VALUE"""),"OK")</f>
        <v>OK</v>
      </c>
      <c r="AG97" s="7"/>
      <c r="AH97" s="7"/>
      <c r="AI97" s="7"/>
    </row>
    <row r="98">
      <c r="B98" s="42">
        <f>IFERROR(__xludf.DUMMYFUNCTION("""COMPUTED_VALUE"""),45535.86092427083)</f>
        <v>45535.86092</v>
      </c>
      <c r="C98" s="43" t="str">
        <f>IFERROR(__xludf.DUMMYFUNCTION("""COMPUTED_VALUE"""),"Ana Maria")</f>
        <v>Ana Maria</v>
      </c>
      <c r="D98" s="43" t="str">
        <f>IFERROR(__xludf.DUMMYFUNCTION("""COMPUTED_VALUE"""),"Prota")</f>
        <v>Prota</v>
      </c>
      <c r="E98" s="43" t="str">
        <f>IFERROR(__xludf.DUMMYFUNCTION("""COMPUTED_VALUE"""),"Montevideo")</f>
        <v>Montevideo</v>
      </c>
      <c r="F98" s="7" t="str">
        <f>IFERROR(__xludf.DUMMYFUNCTION("""COMPUTED_VALUE"""),"URU")</f>
        <v>URU</v>
      </c>
      <c r="G98" s="7">
        <f>IFERROR(__xludf.DUMMYFUNCTION("""COMPUTED_VALUE"""),6.2194679E7)</f>
        <v>62194679</v>
      </c>
      <c r="H98" s="44">
        <f>IFERROR(__xludf.DUMMYFUNCTION("""COMPUTED_VALUE"""),40651.0)</f>
        <v>40651</v>
      </c>
      <c r="I98" s="45" t="str">
        <f>IFERROR(__xludf.DUMMYFUNCTION("""COMPUTED_VALUE"""),"+59893444307")</f>
        <v>+59893444307</v>
      </c>
      <c r="J98" s="45" t="str">
        <f>IFERROR(__xludf.DUMMYFUNCTION("""COMPUTED_VALUE"""),"+59893444307")</f>
        <v>+59893444307</v>
      </c>
      <c r="K98" s="45" t="str">
        <f>IFERROR(__xludf.DUMMYFUNCTION("""COMPUTED_VALUE"""),"santiagoprota@gmail.com")</f>
        <v>santiagoprota@gmail.com</v>
      </c>
      <c r="L98" s="45" t="str">
        <f>IFERROR(__xludf.DUMMYFUNCTION("""COMPUTED_VALUE"""),"Femenino")</f>
        <v>Femenino</v>
      </c>
      <c r="M98" s="45" t="str">
        <f>IFERROR(__xludf.DUMMYFUNCTION("""COMPUTED_VALUE"""),"NYC")</f>
        <v>NYC</v>
      </c>
      <c r="N98" s="45" t="str">
        <f>IFERROR(__xludf.DUMMYFUNCTION("""COMPUTED_VALUE"""),"Femenino")</f>
        <v>Femenino</v>
      </c>
      <c r="O98" s="45" t="str">
        <f>IFERROR(__xludf.DUMMYFUNCTION("""COMPUTED_VALUE"""),"OPTIMIST TIMONELES")</f>
        <v>OPTIMIST TIMONELES</v>
      </c>
      <c r="P98" s="45"/>
      <c r="Q98" s="7">
        <f>IFERROR(__xludf.DUMMYFUNCTION("""COMPUTED_VALUE"""),578.0)</f>
        <v>578</v>
      </c>
      <c r="R98" s="45" t="str">
        <f>IFERROR(__xludf.DUMMYFUNCTION("""COMPUTED_VALUE"""),"s/n")</f>
        <v>s/n</v>
      </c>
      <c r="S98" s="45"/>
      <c r="T98" s="45"/>
      <c r="U98" s="45"/>
      <c r="V98" s="45"/>
      <c r="W98" s="45"/>
      <c r="X98" s="45"/>
      <c r="Y98" s="45" t="str">
        <f>IFERROR(__xludf.DUMMYFUNCTION("""COMPUTED_VALUE"""),"Blue Crooss y Swiss Medical")</f>
        <v>Blue Crooss y Swiss Medical</v>
      </c>
      <c r="Z98" s="7" t="str">
        <f>IFERROR(__xludf.DUMMYFUNCTION("""COMPUTED_VALUE"""),"Si")</f>
        <v>Si</v>
      </c>
      <c r="AA98" s="7" t="str">
        <f>IFERROR(__xludf.DUMMYFUNCTION("""COMPUTED_VALUE"""),"Acepto")</f>
        <v>Acepto</v>
      </c>
      <c r="AB98" s="7" t="str">
        <f>IFERROR(__xludf.DUMMYFUNCTION("""COMPUTED_VALUE"""),"Terminado")</f>
        <v>Terminado</v>
      </c>
      <c r="AC98" s="7">
        <f>IFERROR(__xludf.DUMMYFUNCTION("""COMPUTED_VALUE"""),42500.0)</f>
        <v>42500</v>
      </c>
      <c r="AD98" s="7">
        <f>IFERROR(__xludf.DUMMYFUNCTION("""COMPUTED_VALUE"""),205391.0)</f>
        <v>205391</v>
      </c>
      <c r="AE98" s="45" t="str">
        <f>IFERROR(__xludf.DUMMYFUNCTION("""COMPUTED_VALUE"""),"TRF 02-09")</f>
        <v>TRF 02-09</v>
      </c>
      <c r="AF98" s="7" t="str">
        <f>IFERROR(__xludf.DUMMYFUNCTION("""COMPUTED_VALUE"""),"OK")</f>
        <v>OK</v>
      </c>
      <c r="AG98" s="7" t="str">
        <f>IFERROR(__xludf.DUMMYFUNCTION("""COMPUTED_VALUE"""),"SI")</f>
        <v>SI</v>
      </c>
      <c r="AH98" s="7"/>
      <c r="AI98" s="7"/>
    </row>
    <row r="99">
      <c r="B99" s="42">
        <f>IFERROR(__xludf.DUMMYFUNCTION("""COMPUTED_VALUE"""),45533.67292912037)</f>
        <v>45533.67293</v>
      </c>
      <c r="C99" s="43" t="str">
        <f>IFERROR(__xludf.DUMMYFUNCTION("""COMPUTED_VALUE"""),"Ciro Valentin ")</f>
        <v>Ciro Valentin </v>
      </c>
      <c r="D99" s="43" t="str">
        <f>IFERROR(__xludf.DUMMYFUNCTION("""COMPUTED_VALUE"""),"Quevedo ")</f>
        <v>Quevedo </v>
      </c>
      <c r="E99" s="43" t="str">
        <f>IFERROR(__xludf.DUMMYFUNCTION("""COMPUTED_VALUE"""),"Puerto Madryn ")</f>
        <v>Puerto Madryn </v>
      </c>
      <c r="F99" s="7" t="str">
        <f>IFERROR(__xludf.DUMMYFUNCTION("""COMPUTED_VALUE"""),"ARG")</f>
        <v>ARG</v>
      </c>
      <c r="G99" s="7">
        <f>IFERROR(__xludf.DUMMYFUNCTION("""COMPUTED_VALUE"""),5.2650181E7)</f>
        <v>52650181</v>
      </c>
      <c r="H99" s="44">
        <f>IFERROR(__xludf.DUMMYFUNCTION("""COMPUTED_VALUE"""),41216.0)</f>
        <v>41216</v>
      </c>
      <c r="I99" s="45" t="str">
        <f>IFERROR(__xludf.DUMMYFUNCTION("""COMPUTED_VALUE"""),"+5492804387512")</f>
        <v>+5492804387512</v>
      </c>
      <c r="J99" s="45" t="str">
        <f>IFERROR(__xludf.DUMMYFUNCTION("""COMPUTED_VALUE"""),"+5491158301838")</f>
        <v>+5491158301838</v>
      </c>
      <c r="K99" s="45" t="str">
        <f>IFERROR(__xludf.DUMMYFUNCTION("""COMPUTED_VALUE"""),"Daniepascu@gmail.com")</f>
        <v>Daniepascu@gmail.com</v>
      </c>
      <c r="L99" s="45" t="str">
        <f>IFERROR(__xludf.DUMMYFUNCTION("""COMPUTED_VALUE"""),"Masculino")</f>
        <v>Masculino</v>
      </c>
      <c r="M99" s="45" t="str">
        <f>IFERROR(__xludf.DUMMYFUNCTION("""COMPUTED_VALUE"""),"CNAS")</f>
        <v>CNAS</v>
      </c>
      <c r="N99" s="45" t="str">
        <f>IFERROR(__xludf.DUMMYFUNCTION("""COMPUTED_VALUE"""),"Interior (Optimist)")</f>
        <v>Interior (Optimist)</v>
      </c>
      <c r="O99" s="45" t="str">
        <f>IFERROR(__xludf.DUMMYFUNCTION("""COMPUTED_VALUE"""),"OPTIMIST TIMONELES")</f>
        <v>OPTIMIST TIMONELES</v>
      </c>
      <c r="P99" s="45"/>
      <c r="Q99" s="7">
        <f>IFERROR(__xludf.DUMMYFUNCTION("""COMPUTED_VALUE"""),4046.0)</f>
        <v>4046</v>
      </c>
      <c r="R99" s="45"/>
      <c r="S99" s="45"/>
      <c r="T99" s="45"/>
      <c r="U99" s="45"/>
      <c r="V99" s="45"/>
      <c r="W99" s="45"/>
      <c r="X99" s="45"/>
      <c r="Y99" s="45" t="str">
        <f>IFERROR(__xludf.DUMMYFUNCTION("""COMPUTED_VALUE"""),"IOSFA 058678-3/07")</f>
        <v>IOSFA 058678-3/07</v>
      </c>
      <c r="Z99" s="7" t="str">
        <f>IFERROR(__xludf.DUMMYFUNCTION("""COMPUTED_VALUE"""),"Si")</f>
        <v>Si</v>
      </c>
      <c r="AA99" s="7" t="str">
        <f>IFERROR(__xludf.DUMMYFUNCTION("""COMPUTED_VALUE"""),"Acepto")</f>
        <v>Acepto</v>
      </c>
      <c r="AB99" s="7" t="str">
        <f>IFERROR(__xludf.DUMMYFUNCTION("""COMPUTED_VALUE"""),"Terminado")</f>
        <v>Terminado</v>
      </c>
      <c r="AC99" s="7">
        <f>IFERROR(__xludf.DUMMYFUNCTION("""COMPUTED_VALUE"""),60000.0)</f>
        <v>60000</v>
      </c>
      <c r="AD99" s="7">
        <f>IFERROR(__xludf.DUMMYFUNCTION("""COMPUTED_VALUE"""),205080.0)</f>
        <v>205080</v>
      </c>
      <c r="AE99" s="45" t="str">
        <f>IFERROR(__xludf.DUMMYFUNCTION("""COMPUTED_VALUE"""),"TRF 29-08")</f>
        <v>TRF 29-08</v>
      </c>
      <c r="AF99" s="7" t="str">
        <f>IFERROR(__xludf.DUMMYFUNCTION("""COMPUTED_VALUE"""),"OK")</f>
        <v>OK</v>
      </c>
      <c r="AG99" s="7"/>
      <c r="AH99" s="7"/>
      <c r="AI99" s="7"/>
    </row>
    <row r="100">
      <c r="B100" s="42">
        <f>IFERROR(__xludf.DUMMYFUNCTION("""COMPUTED_VALUE"""),45539.68765211805)</f>
        <v>45539.68765</v>
      </c>
      <c r="C100" s="43" t="str">
        <f>IFERROR(__xludf.DUMMYFUNCTION("""COMPUTED_VALUE"""),"Nina ")</f>
        <v>Nina </v>
      </c>
      <c r="D100" s="43" t="str">
        <f>IFERROR(__xludf.DUMMYFUNCTION("""COMPUTED_VALUE"""),"Raineri Taverna")</f>
        <v>Raineri Taverna</v>
      </c>
      <c r="E100" s="43" t="str">
        <f>IFERROR(__xludf.DUMMYFUNCTION("""COMPUTED_VALUE"""),"Rosario")</f>
        <v>Rosario</v>
      </c>
      <c r="F100" s="45" t="str">
        <f>IFERROR(__xludf.DUMMYFUNCTION("""COMPUTED_VALUE"""),"ARG")</f>
        <v>ARG</v>
      </c>
      <c r="G100" s="7">
        <f>IFERROR(__xludf.DUMMYFUNCTION("""COMPUTED_VALUE"""),5.3185733E7)</f>
        <v>53185733</v>
      </c>
      <c r="H100" s="44">
        <f>IFERROR(__xludf.DUMMYFUNCTION("""COMPUTED_VALUE"""),41335.0)</f>
        <v>41335</v>
      </c>
      <c r="I100" s="45">
        <f>IFERROR(__xludf.DUMMYFUNCTION("""COMPUTED_VALUE"""),3.41563209E9)</f>
        <v>3415632090</v>
      </c>
      <c r="J100" s="45">
        <f>IFERROR(__xludf.DUMMYFUNCTION("""COMPUTED_VALUE"""),3.41563209E9)</f>
        <v>3415632090</v>
      </c>
      <c r="K100" s="45" t="str">
        <f>IFERROR(__xludf.DUMMYFUNCTION("""COMPUTED_VALUE"""),"andtaverna@gmail.com")</f>
        <v>andtaverna@gmail.com</v>
      </c>
      <c r="L100" s="45" t="str">
        <f>IFERROR(__xludf.DUMMYFUNCTION("""COMPUTED_VALUE"""),"Femenino")</f>
        <v>Femenino</v>
      </c>
      <c r="M100" s="45" t="str">
        <f>IFERROR(__xludf.DUMMYFUNCTION("""COMPUTED_VALUE"""),"CVR ")</f>
        <v>CVR </v>
      </c>
      <c r="N100" s="45" t="str">
        <f>IFERROR(__xludf.DUMMYFUNCTION("""COMPUTED_VALUE"""),"Femenino, Interior (Optimist)")</f>
        <v>Femenino, Interior (Optimist)</v>
      </c>
      <c r="O100" s="45" t="str">
        <f>IFERROR(__xludf.DUMMYFUNCTION("""COMPUTED_VALUE"""),"OPTIMIST TIMONELES")</f>
        <v>OPTIMIST TIMONELES</v>
      </c>
      <c r="P100" s="45">
        <f>IFERROR(__xludf.DUMMYFUNCTION("""COMPUTED_VALUE"""),169574.0)</f>
        <v>169574</v>
      </c>
      <c r="Q100" s="7">
        <f>IFERROR(__xludf.DUMMYFUNCTION("""COMPUTED_VALUE"""),3938.0)</f>
        <v>3938</v>
      </c>
      <c r="R100" s="45"/>
      <c r="S100" s="45"/>
      <c r="T100" s="45"/>
      <c r="U100" s="45"/>
      <c r="V100" s="45"/>
      <c r="W100" s="45"/>
      <c r="X100" s="45"/>
      <c r="Y100" s="45" t="str">
        <f>IFERROR(__xludf.DUMMYFUNCTION("""COMPUTED_VALUE"""),"Swiss medical")</f>
        <v>Swiss medical</v>
      </c>
      <c r="Z100" s="7" t="str">
        <f>IFERROR(__xludf.DUMMYFUNCTION("""COMPUTED_VALUE"""),"Si")</f>
        <v>Si</v>
      </c>
      <c r="AA100" s="7" t="str">
        <f>IFERROR(__xludf.DUMMYFUNCTION("""COMPUTED_VALUE"""),"Acepto")</f>
        <v>Acepto</v>
      </c>
      <c r="AB100" s="7" t="str">
        <f>IFERROR(__xludf.DUMMYFUNCTION("""COMPUTED_VALUE"""),"Terminado")</f>
        <v>Terminado</v>
      </c>
      <c r="AC100" s="7">
        <f>IFERROR(__xludf.DUMMYFUNCTION("""COMPUTED_VALUE"""),60000.0)</f>
        <v>60000</v>
      </c>
      <c r="AD100" s="7">
        <f>IFERROR(__xludf.DUMMYFUNCTION("""COMPUTED_VALUE"""),205397.0)</f>
        <v>205397</v>
      </c>
      <c r="AE100" s="45" t="str">
        <f>IFERROR(__xludf.DUMMYFUNCTION("""COMPUTED_VALUE"""),"TRF 02-09")</f>
        <v>TRF 02-09</v>
      </c>
      <c r="AF100" s="7" t="str">
        <f>IFERROR(__xludf.DUMMYFUNCTION("""COMPUTED_VALUE"""),"OK")</f>
        <v>OK</v>
      </c>
      <c r="AG100" s="7"/>
      <c r="AH100" s="7"/>
      <c r="AI100" s="7"/>
    </row>
    <row r="101">
      <c r="B101" s="84">
        <f>IFERROR(__xludf.DUMMYFUNCTION("""COMPUTED_VALUE"""),45534.64539831018)</f>
        <v>45534.6454</v>
      </c>
      <c r="C101" s="43" t="str">
        <f>IFERROR(__xludf.DUMMYFUNCTION("""COMPUTED_VALUE"""),"Judesson")</f>
        <v>Judesson</v>
      </c>
      <c r="D101" s="43" t="str">
        <f>IFERROR(__xludf.DUMMYFUNCTION("""COMPUTED_VALUE"""),"Ramos")</f>
        <v>Ramos</v>
      </c>
      <c r="E101" s="43" t="str">
        <f>IFERROR(__xludf.DUMMYFUNCTION("""COMPUTED_VALUE"""),"Buenos Aires ")</f>
        <v>Buenos Aires </v>
      </c>
      <c r="F101" s="43" t="str">
        <f>IFERROR(__xludf.DUMMYFUNCTION("""COMPUTED_VALUE"""),"ARG")</f>
        <v>ARG</v>
      </c>
      <c r="G101" s="43">
        <f>IFERROR(__xludf.DUMMYFUNCTION("""COMPUTED_VALUE"""),5.1704116E7)</f>
        <v>51704116</v>
      </c>
      <c r="H101" s="85">
        <f>IFERROR(__xludf.DUMMYFUNCTION("""COMPUTED_VALUE"""),39858.0)</f>
        <v>39858</v>
      </c>
      <c r="I101" s="43">
        <f>IFERROR(__xludf.DUMMYFUNCTION("""COMPUTED_VALUE"""),1.136841241E9)</f>
        <v>1136841241</v>
      </c>
      <c r="J101" s="43">
        <f>IFERROR(__xludf.DUMMYFUNCTION("""COMPUTED_VALUE"""),1.121889991E9)</f>
        <v>1121889991</v>
      </c>
      <c r="K101" s="43" t="str">
        <f>IFERROR(__xludf.DUMMYFUNCTION("""COMPUTED_VALUE"""),"jfranciscoramos@hotmail.com")</f>
        <v>jfranciscoramos@hotmail.com</v>
      </c>
      <c r="L101" s="43" t="str">
        <f>IFERROR(__xludf.DUMMYFUNCTION("""COMPUTED_VALUE"""),"Masculino")</f>
        <v>Masculino</v>
      </c>
      <c r="M101" s="43" t="str">
        <f>IFERROR(__xludf.DUMMYFUNCTION("""COMPUTED_VALUE"""),"Yccn")</f>
        <v>Yccn</v>
      </c>
      <c r="N101" s="43"/>
      <c r="O101" s="43" t="str">
        <f>IFERROR(__xludf.DUMMYFUNCTION("""COMPUTED_VALUE"""),"OPTIMIST TIMONELES")</f>
        <v>OPTIMIST TIMONELES</v>
      </c>
      <c r="P101" s="43"/>
      <c r="Q101" s="7">
        <f>IFERROR(__xludf.DUMMYFUNCTION("""COMPUTED_VALUE"""),3776.0)</f>
        <v>3776</v>
      </c>
      <c r="R101" s="45"/>
      <c r="S101" s="45"/>
      <c r="T101" s="45"/>
      <c r="U101" s="45"/>
      <c r="V101" s="45"/>
      <c r="W101" s="45"/>
      <c r="X101" s="45"/>
      <c r="Y101" s="45" t="str">
        <f>IFERROR(__xludf.DUMMYFUNCTION("""COMPUTED_VALUE"""),"Osde/61004637205")</f>
        <v>Osde/61004637205</v>
      </c>
      <c r="Z101" s="7" t="str">
        <f>IFERROR(__xludf.DUMMYFUNCTION("""COMPUTED_VALUE"""),"Si")</f>
        <v>Si</v>
      </c>
      <c r="AA101" s="7" t="str">
        <f>IFERROR(__xludf.DUMMYFUNCTION("""COMPUTED_VALUE"""),"Acepto")</f>
        <v>Acepto</v>
      </c>
      <c r="AB101" s="7" t="str">
        <f>IFERROR(__xludf.DUMMYFUNCTION("""COMPUTED_VALUE"""),"Terminado")</f>
        <v>Terminado</v>
      </c>
      <c r="AC101" s="7">
        <f>IFERROR(__xludf.DUMMYFUNCTION("""COMPUTED_VALUE"""),60000.0)</f>
        <v>60000</v>
      </c>
      <c r="AD101" s="7">
        <f>IFERROR(__xludf.DUMMYFUNCTION("""COMPUTED_VALUE"""),205099.0)</f>
        <v>205099</v>
      </c>
      <c r="AE101" s="45" t="str">
        <f>IFERROR(__xludf.DUMMYFUNCTION("""COMPUTED_VALUE"""),"TRF 30-08")</f>
        <v>TRF 30-08</v>
      </c>
      <c r="AF101" s="7" t="str">
        <f>IFERROR(__xludf.DUMMYFUNCTION("""COMPUTED_VALUE"""),"OK")</f>
        <v>OK</v>
      </c>
      <c r="AG101" s="7"/>
      <c r="AH101" s="7"/>
      <c r="AI101" s="7"/>
    </row>
    <row r="102">
      <c r="B102" s="84">
        <f>IFERROR(__xludf.DUMMYFUNCTION("""COMPUTED_VALUE"""),45540.39353609954)</f>
        <v>45540.39354</v>
      </c>
      <c r="C102" s="43" t="str">
        <f>IFERROR(__xludf.DUMMYFUNCTION("""COMPUTED_VALUE"""),"Jean Lucca")</f>
        <v>Jean Lucca</v>
      </c>
      <c r="D102" s="43" t="str">
        <f>IFERROR(__xludf.DUMMYFUNCTION("""COMPUTED_VALUE"""),"Reis Demartin")</f>
        <v>Reis Demartin</v>
      </c>
      <c r="E102" s="43" t="str">
        <f>IFERROR(__xludf.DUMMYFUNCTION("""COMPUTED_VALUE"""),"Martínez")</f>
        <v>Martínez</v>
      </c>
      <c r="F102" s="43" t="str">
        <f>IFERROR(__xludf.DUMMYFUNCTION("""COMPUTED_VALUE"""),"ARG")</f>
        <v>ARG</v>
      </c>
      <c r="G102" s="43">
        <f>IFERROR(__xludf.DUMMYFUNCTION("""COMPUTED_VALUE"""),5.0610292E7)</f>
        <v>50610292</v>
      </c>
      <c r="H102" s="85">
        <f>IFERROR(__xludf.DUMMYFUNCTION("""COMPUTED_VALUE"""),40551.0)</f>
        <v>40551</v>
      </c>
      <c r="I102" s="43">
        <f>IFERROR(__xludf.DUMMYFUNCTION("""COMPUTED_VALUE"""),1.131876969E9)</f>
        <v>1131876969</v>
      </c>
      <c r="J102" s="43">
        <f>IFERROR(__xludf.DUMMYFUNCTION("""COMPUTED_VALUE"""),1.131876969E9)</f>
        <v>1131876969</v>
      </c>
      <c r="K102" s="43" t="str">
        <f>IFERROR(__xludf.DUMMYFUNCTION("""COMPUTED_VALUE"""),"rafaeldemartin@gmail.com")</f>
        <v>rafaeldemartin@gmail.com</v>
      </c>
      <c r="L102" s="43" t="str">
        <f>IFERROR(__xludf.DUMMYFUNCTION("""COMPUTED_VALUE"""),"Masculino")</f>
        <v>Masculino</v>
      </c>
      <c r="M102" s="43" t="str">
        <f>IFERROR(__xludf.DUMMYFUNCTION("""COMPUTED_VALUE"""),"CVB")</f>
        <v>CVB</v>
      </c>
      <c r="N102" s="43"/>
      <c r="O102" s="43" t="str">
        <f>IFERROR(__xludf.DUMMYFUNCTION("""COMPUTED_VALUE"""),"OPTIMIST TIMONELES")</f>
        <v>OPTIMIST TIMONELES</v>
      </c>
      <c r="P102" s="43"/>
      <c r="Q102" s="7">
        <f>IFERROR(__xludf.DUMMYFUNCTION("""COMPUTED_VALUE"""),3627.0)</f>
        <v>3627</v>
      </c>
      <c r="R102" s="45"/>
      <c r="S102" s="45"/>
      <c r="T102" s="45"/>
      <c r="U102" s="45"/>
      <c r="V102" s="45"/>
      <c r="W102" s="45"/>
      <c r="X102" s="45"/>
      <c r="Y102" s="45">
        <f>IFERROR(__xludf.DUMMYFUNCTION("""COMPUTED_VALUE"""),6.0841875604E10)</f>
        <v>60841875604</v>
      </c>
      <c r="Z102" s="7" t="str">
        <f>IFERROR(__xludf.DUMMYFUNCTION("""COMPUTED_VALUE"""),"Si")</f>
        <v>Si</v>
      </c>
      <c r="AA102" s="7" t="str">
        <f>IFERROR(__xludf.DUMMYFUNCTION("""COMPUTED_VALUE"""),"Acepto")</f>
        <v>Acepto</v>
      </c>
      <c r="AB102" s="7" t="str">
        <f>IFERROR(__xludf.DUMMYFUNCTION("""COMPUTED_VALUE"""),"Terminado")</f>
        <v>Terminado</v>
      </c>
      <c r="AC102" s="7">
        <f>IFERROR(__xludf.DUMMYFUNCTION("""COMPUTED_VALUE"""),50000.0)</f>
        <v>50000</v>
      </c>
      <c r="AD102" s="7">
        <f>IFERROR(__xludf.DUMMYFUNCTION("""COMPUTED_VALUE"""),205480.0)</f>
        <v>205480</v>
      </c>
      <c r="AE102" s="45" t="str">
        <f>IFERROR(__xludf.DUMMYFUNCTION("""COMPUTED_VALUE"""),"TRF 05-09")</f>
        <v>TRF 05-09</v>
      </c>
      <c r="AF102" s="7" t="str">
        <f>IFERROR(__xludf.DUMMYFUNCTION("""COMPUTED_VALUE"""),"OK")</f>
        <v>OK</v>
      </c>
      <c r="AG102" s="7" t="str">
        <f>IFERROR(__xludf.DUMMYFUNCTION("""COMPUTED_VALUE"""),"SI")</f>
        <v>SI</v>
      </c>
      <c r="AH102" s="7"/>
      <c r="AI102" s="7"/>
    </row>
    <row r="103">
      <c r="B103" s="84">
        <f>IFERROR(__xludf.DUMMYFUNCTION("""COMPUTED_VALUE"""),45535.71148644676)</f>
        <v>45535.71149</v>
      </c>
      <c r="C103" s="43" t="str">
        <f>IFERROR(__xludf.DUMMYFUNCTION("""COMPUTED_VALUE"""),"Juan Cruz")</f>
        <v>Juan Cruz</v>
      </c>
      <c r="D103" s="43" t="str">
        <f>IFERROR(__xludf.DUMMYFUNCTION("""COMPUTED_VALUE"""),"Ricciardi")</f>
        <v>Ricciardi</v>
      </c>
      <c r="E103" s="43" t="str">
        <f>IFERROR(__xludf.DUMMYFUNCTION("""COMPUTED_VALUE"""),"Puerto Madryn")</f>
        <v>Puerto Madryn</v>
      </c>
      <c r="F103" s="43" t="str">
        <f>IFERROR(__xludf.DUMMYFUNCTION("""COMPUTED_VALUE"""),"ARG")</f>
        <v>ARG</v>
      </c>
      <c r="G103" s="43">
        <f>IFERROR(__xludf.DUMMYFUNCTION("""COMPUTED_VALUE"""),5.2650256E7)</f>
        <v>52650256</v>
      </c>
      <c r="H103" s="85">
        <f>IFERROR(__xludf.DUMMYFUNCTION("""COMPUTED_VALUE"""),41269.0)</f>
        <v>41269</v>
      </c>
      <c r="I103" s="43">
        <f>IFERROR(__xludf.DUMMYFUNCTION("""COMPUTED_VALUE"""),2.804669491E9)</f>
        <v>2804669491</v>
      </c>
      <c r="J103" s="43">
        <f>IFERROR(__xludf.DUMMYFUNCTION("""COMPUTED_VALUE"""),2.804602408E9)</f>
        <v>2804602408</v>
      </c>
      <c r="K103" s="43" t="str">
        <f>IFERROR(__xludf.DUMMYFUNCTION("""COMPUTED_VALUE"""),"marcosricciardi.patagonia@gmail.com")</f>
        <v>marcosricciardi.patagonia@gmail.com</v>
      </c>
      <c r="L103" s="43" t="str">
        <f>IFERROR(__xludf.DUMMYFUNCTION("""COMPUTED_VALUE"""),"Masculino")</f>
        <v>Masculino</v>
      </c>
      <c r="M103" s="43" t="str">
        <f>IFERROR(__xludf.DUMMYFUNCTION("""COMPUTED_VALUE"""),"CNAS")</f>
        <v>CNAS</v>
      </c>
      <c r="N103" s="43" t="str">
        <f>IFERROR(__xludf.DUMMYFUNCTION("""COMPUTED_VALUE"""),"Interior (Optimist)")</f>
        <v>Interior (Optimist)</v>
      </c>
      <c r="O103" s="43" t="str">
        <f>IFERROR(__xludf.DUMMYFUNCTION("""COMPUTED_VALUE"""),"OPTIMIST TIMONELES")</f>
        <v>OPTIMIST TIMONELES</v>
      </c>
      <c r="P103" s="43"/>
      <c r="Q103" s="7">
        <f>IFERROR(__xludf.DUMMYFUNCTION("""COMPUTED_VALUE"""),4059.0)</f>
        <v>4059</v>
      </c>
      <c r="R103" s="45" t="str">
        <f>IFERROR(__xludf.DUMMYFUNCTION("""COMPUTED_VALUE"""),"Poroto")</f>
        <v>Poroto</v>
      </c>
      <c r="S103" s="45"/>
      <c r="T103" s="45"/>
      <c r="U103" s="45"/>
      <c r="V103" s="45"/>
      <c r="W103" s="45"/>
      <c r="X103" s="45"/>
      <c r="Y103" s="45" t="str">
        <f>IFERROR(__xludf.DUMMYFUNCTION("""COMPUTED_VALUE"""),"OSDE 61072813902")</f>
        <v>OSDE 61072813902</v>
      </c>
      <c r="Z103" s="7" t="str">
        <f>IFERROR(__xludf.DUMMYFUNCTION("""COMPUTED_VALUE"""),"Si")</f>
        <v>Si</v>
      </c>
      <c r="AA103" s="7" t="str">
        <f>IFERROR(__xludf.DUMMYFUNCTION("""COMPUTED_VALUE"""),"Acepto")</f>
        <v>Acepto</v>
      </c>
      <c r="AB103" s="7" t="str">
        <f>IFERROR(__xludf.DUMMYFUNCTION("""COMPUTED_VALUE"""),"Terminado")</f>
        <v>Terminado</v>
      </c>
      <c r="AC103" s="7">
        <f>IFERROR(__xludf.DUMMYFUNCTION("""COMPUTED_VALUE"""),42500.0)</f>
        <v>42500</v>
      </c>
      <c r="AD103" s="7">
        <f>IFERROR(__xludf.DUMMYFUNCTION("""COMPUTED_VALUE"""),205369.0)</f>
        <v>205369</v>
      </c>
      <c r="AE103" s="45" t="str">
        <f>IFERROR(__xludf.DUMMYFUNCTION("""COMPUTED_VALUE"""),"TRF 02-09")</f>
        <v>TRF 02-09</v>
      </c>
      <c r="AF103" s="7" t="str">
        <f>IFERROR(__xludf.DUMMYFUNCTION("""COMPUTED_VALUE"""),"OK")</f>
        <v>OK</v>
      </c>
      <c r="AG103" s="7"/>
      <c r="AH103" s="7"/>
      <c r="AI103" s="7"/>
    </row>
    <row r="104">
      <c r="B104" s="84">
        <f>IFERROR(__xludf.DUMMYFUNCTION("""COMPUTED_VALUE"""),45537.90069596065)</f>
        <v>45537.9007</v>
      </c>
      <c r="C104" s="43" t="str">
        <f>IFERROR(__xludf.DUMMYFUNCTION("""COMPUTED_VALUE"""),"Florencia")</f>
        <v>Florencia</v>
      </c>
      <c r="D104" s="43" t="str">
        <f>IFERROR(__xludf.DUMMYFUNCTION("""COMPUTED_VALUE"""),"Saldaña")</f>
        <v>Saldaña</v>
      </c>
      <c r="E104" s="43" t="str">
        <f>IFERROR(__xludf.DUMMYFUNCTION("""COMPUTED_VALUE"""),"Montevideo")</f>
        <v>Montevideo</v>
      </c>
      <c r="F104" s="43" t="str">
        <f>IFERROR(__xludf.DUMMYFUNCTION("""COMPUTED_VALUE"""),"URU")</f>
        <v>URU</v>
      </c>
      <c r="G104" s="43">
        <f>IFERROR(__xludf.DUMMYFUNCTION("""COMPUTED_VALUE"""),5.8083082E7)</f>
        <v>58083082</v>
      </c>
      <c r="H104" s="85">
        <f>IFERROR(__xludf.DUMMYFUNCTION("""COMPUTED_VALUE"""),40018.0)</f>
        <v>40018</v>
      </c>
      <c r="I104" s="43" t="str">
        <f>IFERROR(__xludf.DUMMYFUNCTION("""COMPUTED_VALUE"""),"+59898847424")</f>
        <v>+59898847424</v>
      </c>
      <c r="J104" s="43" t="str">
        <f>IFERROR(__xludf.DUMMYFUNCTION("""COMPUTED_VALUE"""),"+59898847424")</f>
        <v>+59898847424</v>
      </c>
      <c r="K104" s="43" t="str">
        <f>IFERROR(__xludf.DUMMYFUNCTION("""COMPUTED_VALUE"""),"Jpsaldana@berkes.com.uy")</f>
        <v>Jpsaldana@berkes.com.uy</v>
      </c>
      <c r="L104" s="43" t="str">
        <f>IFERROR(__xludf.DUMMYFUNCTION("""COMPUTED_VALUE"""),"Femenino")</f>
        <v>Femenino</v>
      </c>
      <c r="M104" s="43" t="str">
        <f>IFERROR(__xludf.DUMMYFUNCTION("""COMPUTED_VALUE"""),"NYC")</f>
        <v>NYC</v>
      </c>
      <c r="N104" s="43" t="str">
        <f>IFERROR(__xludf.DUMMYFUNCTION("""COMPUTED_VALUE"""),"Interior (Optimist)")</f>
        <v>Interior (Optimist)</v>
      </c>
      <c r="O104" s="43" t="str">
        <f>IFERROR(__xludf.DUMMYFUNCTION("""COMPUTED_VALUE"""),"OPTIMIST TIMONELES")</f>
        <v>OPTIMIST TIMONELES</v>
      </c>
      <c r="P104" s="43"/>
      <c r="Q104" s="7" t="str">
        <f>IFERROR(__xludf.DUMMYFUNCTION("""COMPUTED_VALUE"""),"NYC")</f>
        <v>NYC</v>
      </c>
      <c r="R104" s="45"/>
      <c r="S104" s="45"/>
      <c r="T104" s="45"/>
      <c r="U104" s="45"/>
      <c r="V104" s="45"/>
      <c r="W104" s="45"/>
      <c r="X104" s="45"/>
      <c r="Y104" s="45"/>
      <c r="Z104" s="7" t="str">
        <f>IFERROR(__xludf.DUMMYFUNCTION("""COMPUTED_VALUE"""),"Si")</f>
        <v>Si</v>
      </c>
      <c r="AA104" s="7" t="str">
        <f>IFERROR(__xludf.DUMMYFUNCTION("""COMPUTED_VALUE"""),"Acepto")</f>
        <v>Acepto</v>
      </c>
      <c r="AB104" s="7" t="str">
        <f>IFERROR(__xludf.DUMMYFUNCTION("""COMPUTED_VALUE"""),"Terminado")</f>
        <v>Terminado</v>
      </c>
      <c r="AC104" s="7">
        <f>IFERROR(__xludf.DUMMYFUNCTION("""COMPUTED_VALUE"""),42500.0)</f>
        <v>42500</v>
      </c>
      <c r="AD104" s="7">
        <f>IFERROR(__xludf.DUMMYFUNCTION("""COMPUTED_VALUE"""),205391.0)</f>
        <v>205391</v>
      </c>
      <c r="AE104" s="45" t="str">
        <f>IFERROR(__xludf.DUMMYFUNCTION("""COMPUTED_VALUE"""),"TRF 02-09")</f>
        <v>TRF 02-09</v>
      </c>
      <c r="AF104" s="7" t="str">
        <f>IFERROR(__xludf.DUMMYFUNCTION("""COMPUTED_VALUE"""),"Pendiente")</f>
        <v>Pendiente</v>
      </c>
      <c r="AG104" s="7" t="str">
        <f>IFERROR(__xludf.DUMMYFUNCTION("""COMPUTED_VALUE"""),"SI")</f>
        <v>SI</v>
      </c>
      <c r="AH104" s="7"/>
      <c r="AI104" s="7"/>
    </row>
    <row r="105">
      <c r="B105" s="84">
        <f>IFERROR(__xludf.DUMMYFUNCTION("""COMPUTED_VALUE"""),45535.61396112268)</f>
        <v>45535.61396</v>
      </c>
      <c r="C105" s="43" t="str">
        <f>IFERROR(__xludf.DUMMYFUNCTION("""COMPUTED_VALUE"""),"Lucia")</f>
        <v>Lucia</v>
      </c>
      <c r="D105" s="43" t="str">
        <f>IFERROR(__xludf.DUMMYFUNCTION("""COMPUTED_VALUE"""),"Santoro Calvi ")</f>
        <v>Santoro Calvi </v>
      </c>
      <c r="E105" s="43" t="str">
        <f>IFERROR(__xludf.DUMMYFUNCTION("""COMPUTED_VALUE"""),"Zarate ")</f>
        <v>Zarate </v>
      </c>
      <c r="F105" s="43" t="str">
        <f>IFERROR(__xludf.DUMMYFUNCTION("""COMPUTED_VALUE"""),"ARG")</f>
        <v>ARG</v>
      </c>
      <c r="G105" s="43">
        <f>IFERROR(__xludf.DUMMYFUNCTION("""COMPUTED_VALUE"""),5.0487891E7)</f>
        <v>50487891</v>
      </c>
      <c r="H105" s="85">
        <f>IFERROR(__xludf.DUMMYFUNCTION("""COMPUTED_VALUE"""),40500.0)</f>
        <v>40500</v>
      </c>
      <c r="I105" s="43">
        <f>IFERROR(__xludf.DUMMYFUNCTION("""COMPUTED_VALUE"""),3.487509311E9)</f>
        <v>3487509311</v>
      </c>
      <c r="J105" s="43">
        <f>IFERROR(__xludf.DUMMYFUNCTION("""COMPUTED_VALUE"""),3.497622019E9)</f>
        <v>3497622019</v>
      </c>
      <c r="K105" s="43" t="str">
        <f>IFERROR(__xludf.DUMMYFUNCTION("""COMPUTED_VALUE"""),"jpablosantoro@gmail.com")</f>
        <v>jpablosantoro@gmail.com</v>
      </c>
      <c r="L105" s="43" t="str">
        <f>IFERROR(__xludf.DUMMYFUNCTION("""COMPUTED_VALUE"""),"Femenino")</f>
        <v>Femenino</v>
      </c>
      <c r="M105" s="43" t="str">
        <f>IFERROR(__xludf.DUMMYFUNCTION("""COMPUTED_VALUE"""),"CNZ")</f>
        <v>CNZ</v>
      </c>
      <c r="N105" s="43" t="str">
        <f>IFERROR(__xludf.DUMMYFUNCTION("""COMPUTED_VALUE"""),"Femenino, Interior (Optimist)")</f>
        <v>Femenino, Interior (Optimist)</v>
      </c>
      <c r="O105" s="43" t="str">
        <f>IFERROR(__xludf.DUMMYFUNCTION("""COMPUTED_VALUE"""),"OPTIMIST TIMONELES")</f>
        <v>OPTIMIST TIMONELES</v>
      </c>
      <c r="P105" s="43"/>
      <c r="Q105" s="7">
        <f>IFERROR(__xludf.DUMMYFUNCTION("""COMPUTED_VALUE"""),3826.0)</f>
        <v>3826</v>
      </c>
      <c r="R105" s="45"/>
      <c r="S105" s="45"/>
      <c r="T105" s="45"/>
      <c r="U105" s="45"/>
      <c r="V105" s="45"/>
      <c r="W105" s="45"/>
      <c r="X105" s="45"/>
      <c r="Y105" s="45" t="str">
        <f>IFERROR(__xludf.DUMMYFUNCTION("""COMPUTED_VALUE"""),"OSDE")</f>
        <v>OSDE</v>
      </c>
      <c r="Z105" s="7" t="str">
        <f>IFERROR(__xludf.DUMMYFUNCTION("""COMPUTED_VALUE"""),"Si")</f>
        <v>Si</v>
      </c>
      <c r="AA105" s="7" t="str">
        <f>IFERROR(__xludf.DUMMYFUNCTION("""COMPUTED_VALUE"""),"Acepto")</f>
        <v>Acepto</v>
      </c>
      <c r="AB105" s="7" t="str">
        <f>IFERROR(__xludf.DUMMYFUNCTION("""COMPUTED_VALUE"""),"Terminado")</f>
        <v>Terminado</v>
      </c>
      <c r="AC105" s="7">
        <f>IFERROR(__xludf.DUMMYFUNCTION("""COMPUTED_VALUE"""),50000.0)</f>
        <v>50000</v>
      </c>
      <c r="AD105" s="7">
        <f>IFERROR(__xludf.DUMMYFUNCTION("""COMPUTED_VALUE"""),205165.0)</f>
        <v>205165</v>
      </c>
      <c r="AE105" s="45" t="str">
        <f>IFERROR(__xludf.DUMMYFUNCTION("""COMPUTED_VALUE"""),"TRF 31-08")</f>
        <v>TRF 31-08</v>
      </c>
      <c r="AF105" s="7" t="str">
        <f>IFERROR(__xludf.DUMMYFUNCTION("""COMPUTED_VALUE"""),"OK")</f>
        <v>OK</v>
      </c>
      <c r="AG105" s="7"/>
      <c r="AH105" s="7"/>
      <c r="AI105" s="7"/>
    </row>
    <row r="106">
      <c r="B106" s="84">
        <f>IFERROR(__xludf.DUMMYFUNCTION("""COMPUTED_VALUE"""),45535.57262200231)</f>
        <v>45535.57262</v>
      </c>
      <c r="C106" s="43" t="str">
        <f>IFERROR(__xludf.DUMMYFUNCTION("""COMPUTED_VALUE"""),"Matias")</f>
        <v>Matias</v>
      </c>
      <c r="D106" s="43" t="str">
        <f>IFERROR(__xludf.DUMMYFUNCTION("""COMPUTED_VALUE"""),"Sapia")</f>
        <v>Sapia</v>
      </c>
      <c r="E106" s="43" t="str">
        <f>IFERROR(__xludf.DUMMYFUNCTION("""COMPUTED_VALUE"""),"Buenos Aires")</f>
        <v>Buenos Aires</v>
      </c>
      <c r="F106" s="43" t="str">
        <f>IFERROR(__xludf.DUMMYFUNCTION("""COMPUTED_VALUE"""),"ARG")</f>
        <v>ARG</v>
      </c>
      <c r="G106" s="43">
        <f>IFERROR(__xludf.DUMMYFUNCTION("""COMPUTED_VALUE"""),5.0032653E7)</f>
        <v>50032653</v>
      </c>
      <c r="H106" s="85">
        <f>IFERROR(__xludf.DUMMYFUNCTION("""COMPUTED_VALUE"""),40254.0)</f>
        <v>40254</v>
      </c>
      <c r="I106" s="43">
        <f>IFERROR(__xludf.DUMMYFUNCTION("""COMPUTED_VALUE"""),1.154662255E9)</f>
        <v>1154662255</v>
      </c>
      <c r="J106" s="43">
        <f>IFERROR(__xludf.DUMMYFUNCTION("""COMPUTED_VALUE"""),1.160374897E9)</f>
        <v>1160374897</v>
      </c>
      <c r="K106" s="43" t="str">
        <f>IFERROR(__xludf.DUMMYFUNCTION("""COMPUTED_VALUE"""),"Matiasimagina@gmail.com")</f>
        <v>Matiasimagina@gmail.com</v>
      </c>
      <c r="L106" s="43" t="str">
        <f>IFERROR(__xludf.DUMMYFUNCTION("""COMPUTED_VALUE"""),"Masculino")</f>
        <v>Masculino</v>
      </c>
      <c r="M106" s="43" t="str">
        <f>IFERROR(__xludf.DUMMYFUNCTION("""COMPUTED_VALUE"""),"CNGSM")</f>
        <v>CNGSM</v>
      </c>
      <c r="N106" s="43" t="str">
        <f>IFERROR(__xludf.DUMMYFUNCTION("""COMPUTED_VALUE"""),"Interior (Optimist)")</f>
        <v>Interior (Optimist)</v>
      </c>
      <c r="O106" s="43" t="str">
        <f>IFERROR(__xludf.DUMMYFUNCTION("""COMPUTED_VALUE"""),"OPTIMIST TIMONELES")</f>
        <v>OPTIMIST TIMONELES</v>
      </c>
      <c r="P106" s="43"/>
      <c r="Q106" s="7">
        <f>IFERROR(__xludf.DUMMYFUNCTION("""COMPUTED_VALUE"""),3539.0)</f>
        <v>3539</v>
      </c>
      <c r="R106" s="45" t="str">
        <f>IFERROR(__xludf.DUMMYFUNCTION("""COMPUTED_VALUE"""),"Milito 22")</f>
        <v>Milito 22</v>
      </c>
      <c r="S106" s="45" t="str">
        <f>IFERROR(__xludf.DUMMYFUNCTION("""COMPUTED_VALUE"""),"Matías Sapia")</f>
        <v>Matías Sapia</v>
      </c>
      <c r="T106" s="45"/>
      <c r="U106" s="45"/>
      <c r="V106" s="45"/>
      <c r="W106" s="45"/>
      <c r="X106" s="45"/>
      <c r="Y106" s="45">
        <f>IFERROR(__xludf.DUMMYFUNCTION("""COMPUTED_VALUE"""),377448.0)</f>
        <v>377448</v>
      </c>
      <c r="Z106" s="7" t="str">
        <f>IFERROR(__xludf.DUMMYFUNCTION("""COMPUTED_VALUE"""),"No")</f>
        <v>No</v>
      </c>
      <c r="AA106" s="7" t="str">
        <f>IFERROR(__xludf.DUMMYFUNCTION("""COMPUTED_VALUE"""),"Acepto")</f>
        <v>Acepto</v>
      </c>
      <c r="AB106" s="7" t="str">
        <f>IFERROR(__xludf.DUMMYFUNCTION("""COMPUTED_VALUE"""),"Repetido")</f>
        <v>Repetido</v>
      </c>
      <c r="AC106" s="7"/>
      <c r="AD106" s="7"/>
      <c r="AE106" s="45"/>
      <c r="AF106" s="7" t="str">
        <f>IFERROR(__xludf.DUMMYFUNCTION("""COMPUTED_VALUE"""),"No Corresp")</f>
        <v>No Corresp</v>
      </c>
      <c r="AG106" s="7"/>
      <c r="AH106" s="7"/>
      <c r="AI106" s="7"/>
    </row>
    <row r="107">
      <c r="B107" s="84">
        <f>IFERROR(__xludf.DUMMYFUNCTION("""COMPUTED_VALUE"""),45535.576243460644)</f>
        <v>45535.57624</v>
      </c>
      <c r="C107" s="43" t="str">
        <f>IFERROR(__xludf.DUMMYFUNCTION("""COMPUTED_VALUE"""),"Matias")</f>
        <v>Matias</v>
      </c>
      <c r="D107" s="43" t="str">
        <f>IFERROR(__xludf.DUMMYFUNCTION("""COMPUTED_VALUE"""),"Sapia")</f>
        <v>Sapia</v>
      </c>
      <c r="E107" s="43" t="str">
        <f>IFERROR(__xludf.DUMMYFUNCTION("""COMPUTED_VALUE"""),"Buenos Aires ")</f>
        <v>Buenos Aires </v>
      </c>
      <c r="F107" s="43" t="str">
        <f>IFERROR(__xludf.DUMMYFUNCTION("""COMPUTED_VALUE"""),"ARG")</f>
        <v>ARG</v>
      </c>
      <c r="G107" s="43">
        <f>IFERROR(__xludf.DUMMYFUNCTION("""COMPUTED_VALUE"""),5.0032653E7)</f>
        <v>50032653</v>
      </c>
      <c r="H107" s="85">
        <f>IFERROR(__xludf.DUMMYFUNCTION("""COMPUTED_VALUE"""),40254.0)</f>
        <v>40254</v>
      </c>
      <c r="I107" s="43">
        <f>IFERROR(__xludf.DUMMYFUNCTION("""COMPUTED_VALUE"""),1.154662255E9)</f>
        <v>1154662255</v>
      </c>
      <c r="J107" s="43">
        <f>IFERROR(__xludf.DUMMYFUNCTION("""COMPUTED_VALUE"""),1.160374897E9)</f>
        <v>1160374897</v>
      </c>
      <c r="K107" s="43" t="str">
        <f>IFERROR(__xludf.DUMMYFUNCTION("""COMPUTED_VALUE"""),"Matiasimagina@gmail.com")</f>
        <v>Matiasimagina@gmail.com</v>
      </c>
      <c r="L107" s="43" t="str">
        <f>IFERROR(__xludf.DUMMYFUNCTION("""COMPUTED_VALUE"""),"Masculino")</f>
        <v>Masculino</v>
      </c>
      <c r="M107" s="43" t="str">
        <f>IFERROR(__xludf.DUMMYFUNCTION("""COMPUTED_VALUE"""),"CNGSM")</f>
        <v>CNGSM</v>
      </c>
      <c r="N107" s="43" t="str">
        <f>IFERROR(__xludf.DUMMYFUNCTION("""COMPUTED_VALUE"""),"Interior (Optimist)")</f>
        <v>Interior (Optimist)</v>
      </c>
      <c r="O107" s="43" t="str">
        <f>IFERROR(__xludf.DUMMYFUNCTION("""COMPUTED_VALUE"""),"OPTIMIST TIMONELES")</f>
        <v>OPTIMIST TIMONELES</v>
      </c>
      <c r="P107" s="43"/>
      <c r="Q107" s="7">
        <f>IFERROR(__xludf.DUMMYFUNCTION("""COMPUTED_VALUE"""),3539.0)</f>
        <v>3539</v>
      </c>
      <c r="R107" s="45" t="str">
        <f>IFERROR(__xludf.DUMMYFUNCTION("""COMPUTED_VALUE"""),"Milito 22")</f>
        <v>Milito 22</v>
      </c>
      <c r="S107" s="45" t="str">
        <f>IFERROR(__xludf.DUMMYFUNCTION("""COMPUTED_VALUE"""),"Matías Sapia")</f>
        <v>Matías Sapia</v>
      </c>
      <c r="T107" s="45"/>
      <c r="U107" s="45"/>
      <c r="V107" s="45"/>
      <c r="W107" s="45"/>
      <c r="X107" s="45"/>
      <c r="Y107" s="45"/>
      <c r="Z107" s="7" t="str">
        <f>IFERROR(__xludf.DUMMYFUNCTION("""COMPUTED_VALUE"""),"No")</f>
        <v>No</v>
      </c>
      <c r="AA107" s="7" t="str">
        <f>IFERROR(__xludf.DUMMYFUNCTION("""COMPUTED_VALUE"""),"Acepto")</f>
        <v>Acepto</v>
      </c>
      <c r="AB107" s="7" t="str">
        <f>IFERROR(__xludf.DUMMYFUNCTION("""COMPUTED_VALUE"""),"Pendiente")</f>
        <v>Pendiente</v>
      </c>
      <c r="AC107" s="7"/>
      <c r="AD107" s="7"/>
      <c r="AE107" s="45"/>
      <c r="AF107" s="7" t="str">
        <f>IFERROR(__xludf.DUMMYFUNCTION("""COMPUTED_VALUE"""),"OK")</f>
        <v>OK</v>
      </c>
      <c r="AG107" s="7" t="str">
        <f>IFERROR(__xludf.DUMMYFUNCTION("""COMPUTED_VALUE"""),"SI")</f>
        <v>SI</v>
      </c>
      <c r="AH107" s="7"/>
      <c r="AI107" s="7"/>
    </row>
    <row r="108">
      <c r="B108" s="84">
        <f>IFERROR(__xludf.DUMMYFUNCTION("""COMPUTED_VALUE"""),45534.82650591435)</f>
        <v>45534.82651</v>
      </c>
      <c r="C108" s="43" t="str">
        <f>IFERROR(__xludf.DUMMYFUNCTION("""COMPUTED_VALUE"""),"Santiago ")</f>
        <v>Santiago </v>
      </c>
      <c r="D108" s="43" t="str">
        <f>IFERROR(__xludf.DUMMYFUNCTION("""COMPUTED_VALUE"""),"Saraví ")</f>
        <v>Saraví </v>
      </c>
      <c r="E108" s="43" t="str">
        <f>IFERROR(__xludf.DUMMYFUNCTION("""COMPUTED_VALUE"""),"La Plata ")</f>
        <v>La Plata </v>
      </c>
      <c r="F108" s="43" t="str">
        <f>IFERROR(__xludf.DUMMYFUNCTION("""COMPUTED_VALUE"""),"ARG")</f>
        <v>ARG</v>
      </c>
      <c r="G108" s="43">
        <f>IFERROR(__xludf.DUMMYFUNCTION("""COMPUTED_VALUE"""),5.0098931E7)</f>
        <v>50098931</v>
      </c>
      <c r="H108" s="85">
        <f>IFERROR(__xludf.DUMMYFUNCTION("""COMPUTED_VALUE"""),40221.0)</f>
        <v>40221</v>
      </c>
      <c r="I108" s="43">
        <f>IFERROR(__xludf.DUMMYFUNCTION("""COMPUTED_VALUE"""),2.215584734E9)</f>
        <v>2215584734</v>
      </c>
      <c r="J108" s="43">
        <f>IFERROR(__xludf.DUMMYFUNCTION("""COMPUTED_VALUE"""),2.215584734E9)</f>
        <v>2215584734</v>
      </c>
      <c r="K108" s="43" t="str">
        <f>IFERROR(__xludf.DUMMYFUNCTION("""COMPUTED_VALUE"""),"pauladargenio@hotmail.com")</f>
        <v>pauladargenio@hotmail.com</v>
      </c>
      <c r="L108" s="43" t="str">
        <f>IFERROR(__xludf.DUMMYFUNCTION("""COMPUTED_VALUE"""),"Masculino")</f>
        <v>Masculino</v>
      </c>
      <c r="M108" s="43" t="str">
        <f>IFERROR(__xludf.DUMMYFUNCTION("""COMPUTED_VALUE"""),"CRLP")</f>
        <v>CRLP</v>
      </c>
      <c r="N108" s="43" t="str">
        <f>IFERROR(__xludf.DUMMYFUNCTION("""COMPUTED_VALUE"""),"Interior (Optimist)")</f>
        <v>Interior (Optimist)</v>
      </c>
      <c r="O108" s="43" t="str">
        <f>IFERROR(__xludf.DUMMYFUNCTION("""COMPUTED_VALUE"""),"OPTIMIST TIMONELES")</f>
        <v>OPTIMIST TIMONELES</v>
      </c>
      <c r="P108" s="43"/>
      <c r="Q108" s="7">
        <f>IFERROR(__xludf.DUMMYFUNCTION("""COMPUTED_VALUE"""),3591.0)</f>
        <v>3591</v>
      </c>
      <c r="R108" s="45"/>
      <c r="S108" s="45"/>
      <c r="T108" s="45"/>
      <c r="U108" s="45"/>
      <c r="V108" s="45"/>
      <c r="W108" s="45"/>
      <c r="X108" s="45"/>
      <c r="Y108" s="45" t="str">
        <f>IFERROR(__xludf.DUMMYFUNCTION("""COMPUTED_VALUE"""),"IOMA / K251906063/02")</f>
        <v>IOMA / K251906063/02</v>
      </c>
      <c r="Z108" s="7" t="str">
        <f>IFERROR(__xludf.DUMMYFUNCTION("""COMPUTED_VALUE"""),"Si")</f>
        <v>Si</v>
      </c>
      <c r="AA108" s="7" t="str">
        <f>IFERROR(__xludf.DUMMYFUNCTION("""COMPUTED_VALUE"""),"Acepto")</f>
        <v>Acepto</v>
      </c>
      <c r="AB108" s="7" t="str">
        <f>IFERROR(__xludf.DUMMYFUNCTION("""COMPUTED_VALUE"""),"Terminado")</f>
        <v>Terminado</v>
      </c>
      <c r="AC108" s="7">
        <f>IFERROR(__xludf.DUMMYFUNCTION("""COMPUTED_VALUE"""),50000.0)</f>
        <v>50000</v>
      </c>
      <c r="AD108" s="7">
        <f>IFERROR(__xludf.DUMMYFUNCTION("""COMPUTED_VALUE"""),205162.0)</f>
        <v>205162</v>
      </c>
      <c r="AE108" s="45" t="str">
        <f>IFERROR(__xludf.DUMMYFUNCTION("""COMPUTED_VALUE"""),"TRF 31/08")</f>
        <v>TRF 31/08</v>
      </c>
      <c r="AF108" s="7" t="str">
        <f>IFERROR(__xludf.DUMMYFUNCTION("""COMPUTED_VALUE"""),"OK")</f>
        <v>OK</v>
      </c>
      <c r="AG108" s="7"/>
      <c r="AH108" s="7"/>
      <c r="AI108" s="7"/>
    </row>
    <row r="109">
      <c r="B109" s="84">
        <f>IFERROR(__xludf.DUMMYFUNCTION("""COMPUTED_VALUE"""),45535.39056447917)</f>
        <v>45535.39056</v>
      </c>
      <c r="C109" s="43" t="str">
        <f>IFERROR(__xludf.DUMMYFUNCTION("""COMPUTED_VALUE"""),"Felipe ")</f>
        <v>Felipe </v>
      </c>
      <c r="D109" s="43" t="str">
        <f>IFERROR(__xludf.DUMMYFUNCTION("""COMPUTED_VALUE"""),"Serrano")</f>
        <v>Serrano</v>
      </c>
      <c r="E109" s="43" t="str">
        <f>IFERROR(__xludf.DUMMYFUNCTION("""COMPUTED_VALUE"""),"Rosario")</f>
        <v>Rosario</v>
      </c>
      <c r="F109" s="43" t="str">
        <f>IFERROR(__xludf.DUMMYFUNCTION("""COMPUTED_VALUE"""),"ARG")</f>
        <v>ARG</v>
      </c>
      <c r="G109" s="43">
        <f>IFERROR(__xludf.DUMMYFUNCTION("""COMPUTED_VALUE"""),4.963581E7)</f>
        <v>49635810</v>
      </c>
      <c r="H109" s="85">
        <f>IFERROR(__xludf.DUMMYFUNCTION("""COMPUTED_VALUE"""),39983.0)</f>
        <v>39983</v>
      </c>
      <c r="I109" s="43">
        <f>IFERROR(__xludf.DUMMYFUNCTION("""COMPUTED_VALUE"""),3.415894151E9)</f>
        <v>3415894151</v>
      </c>
      <c r="J109" s="43">
        <f>IFERROR(__xludf.DUMMYFUNCTION("""COMPUTED_VALUE"""),3.41585148E9)</f>
        <v>3415851480</v>
      </c>
      <c r="K109" s="43" t="str">
        <f>IFERROR(__xludf.DUMMYFUNCTION("""COMPUTED_VALUE"""),"danielapeccia@hotmail.com")</f>
        <v>danielapeccia@hotmail.com</v>
      </c>
      <c r="L109" s="43" t="str">
        <f>IFERROR(__xludf.DUMMYFUNCTION("""COMPUTED_VALUE"""),"Masculino")</f>
        <v>Masculino</v>
      </c>
      <c r="M109" s="43" t="str">
        <f>IFERROR(__xludf.DUMMYFUNCTION("""COMPUTED_VALUE"""),"YCO")</f>
        <v>YCO</v>
      </c>
      <c r="N109" s="43" t="str">
        <f>IFERROR(__xludf.DUMMYFUNCTION("""COMPUTED_VALUE"""),"Interior (Optimist)")</f>
        <v>Interior (Optimist)</v>
      </c>
      <c r="O109" s="43" t="str">
        <f>IFERROR(__xludf.DUMMYFUNCTION("""COMPUTED_VALUE"""),"OPTIMIST TIMONELES")</f>
        <v>OPTIMIST TIMONELES</v>
      </c>
      <c r="P109" s="43"/>
      <c r="Q109" s="7">
        <f>IFERROR(__xludf.DUMMYFUNCTION("""COMPUTED_VALUE"""),3987.0)</f>
        <v>3987</v>
      </c>
      <c r="R109" s="45"/>
      <c r="S109" s="45"/>
      <c r="T109" s="45"/>
      <c r="U109" s="45"/>
      <c r="V109" s="45"/>
      <c r="W109" s="45"/>
      <c r="X109" s="45"/>
      <c r="Y109" s="45" t="str">
        <f>IFERROR(__xludf.DUMMYFUNCTION("""COMPUTED_VALUE"""),"AVALIAN Nº 27022625")</f>
        <v>AVALIAN Nº 27022625</v>
      </c>
      <c r="Z109" s="7" t="str">
        <f>IFERROR(__xludf.DUMMYFUNCTION("""COMPUTED_VALUE"""),"Si")</f>
        <v>Si</v>
      </c>
      <c r="AA109" s="7" t="str">
        <f>IFERROR(__xludf.DUMMYFUNCTION("""COMPUTED_VALUE"""),"Acepto")</f>
        <v>Acepto</v>
      </c>
      <c r="AB109" s="7" t="str">
        <f>IFERROR(__xludf.DUMMYFUNCTION("""COMPUTED_VALUE"""),"Terminado")</f>
        <v>Terminado</v>
      </c>
      <c r="AC109" s="7">
        <f>IFERROR(__xludf.DUMMYFUNCTION("""COMPUTED_VALUE"""),50000.0)</f>
        <v>50000</v>
      </c>
      <c r="AD109" s="7">
        <f>IFERROR(__xludf.DUMMYFUNCTION("""COMPUTED_VALUE"""),205108.0)</f>
        <v>205108</v>
      </c>
      <c r="AE109" s="45" t="str">
        <f>IFERROR(__xludf.DUMMYFUNCTION("""COMPUTED_VALUE"""),"Tarj 31-08")</f>
        <v>Tarj 31-08</v>
      </c>
      <c r="AF109" s="7" t="str">
        <f>IFERROR(__xludf.DUMMYFUNCTION("""COMPUTED_VALUE"""),"OK")</f>
        <v>OK</v>
      </c>
      <c r="AG109" s="7"/>
      <c r="AH109" s="7"/>
      <c r="AI109" s="7"/>
    </row>
    <row r="110">
      <c r="B110" s="84">
        <f>IFERROR(__xludf.DUMMYFUNCTION("""COMPUTED_VALUE"""),45531.45164452546)</f>
        <v>45531.45164</v>
      </c>
      <c r="C110" s="43" t="str">
        <f>IFERROR(__xludf.DUMMYFUNCTION("""COMPUTED_VALUE"""),"MÁXIMO SEBASTIÁN ")</f>
        <v>MÁXIMO SEBASTIÁN </v>
      </c>
      <c r="D110" s="43" t="str">
        <f>IFERROR(__xludf.DUMMYFUNCTION("""COMPUTED_VALUE"""),"TEJADA IBAÑEZ ")</f>
        <v>TEJADA IBAÑEZ </v>
      </c>
      <c r="E110" s="43" t="str">
        <f>IFERROR(__xludf.DUMMYFUNCTION("""COMPUTED_VALUE"""),"Berazategui ")</f>
        <v>Berazategui </v>
      </c>
      <c r="F110" s="43" t="str">
        <f>IFERROR(__xludf.DUMMYFUNCTION("""COMPUTED_VALUE"""),"ARG")</f>
        <v>ARG</v>
      </c>
      <c r="G110" s="43">
        <f>IFERROR(__xludf.DUMMYFUNCTION("""COMPUTED_VALUE"""),5.0740287E7)</f>
        <v>50740287</v>
      </c>
      <c r="H110" s="85">
        <f>IFERROR(__xludf.DUMMYFUNCTION("""COMPUTED_VALUE"""),40487.0)</f>
        <v>40487</v>
      </c>
      <c r="I110" s="43">
        <f>IFERROR(__xludf.DUMMYFUNCTION("""COMPUTED_VALUE"""),2.215036037E9)</f>
        <v>2215036037</v>
      </c>
      <c r="J110" s="43" t="str">
        <f>IFERROR(__xludf.DUMMYFUNCTION("""COMPUTED_VALUE"""),"2215036037/ 2215700125")</f>
        <v>2215036037/ 2215700125</v>
      </c>
      <c r="K110" s="43" t="str">
        <f>IFERROR(__xludf.DUMMYFUNCTION("""COMPUTED_VALUE"""),"tifamilia@gmail.com")</f>
        <v>tifamilia@gmail.com</v>
      </c>
      <c r="L110" s="43" t="str">
        <f>IFERROR(__xludf.DUMMYFUNCTION("""COMPUTED_VALUE"""),"Masculino")</f>
        <v>Masculino</v>
      </c>
      <c r="M110" s="43" t="str">
        <f>IFERROR(__xludf.DUMMYFUNCTION("""COMPUTED_VALUE"""),"CNAs")</f>
        <v>CNAs</v>
      </c>
      <c r="N110" s="43" t="str">
        <f>IFERROR(__xludf.DUMMYFUNCTION("""COMPUTED_VALUE"""),"Interior (Optimist)")</f>
        <v>Interior (Optimist)</v>
      </c>
      <c r="O110" s="43" t="str">
        <f>IFERROR(__xludf.DUMMYFUNCTION("""COMPUTED_VALUE"""),"OPTIMIST TIMONELES")</f>
        <v>OPTIMIST TIMONELES</v>
      </c>
      <c r="P110" s="43"/>
      <c r="Q110" s="7">
        <f>IFERROR(__xludf.DUMMYFUNCTION("""COMPUTED_VALUE"""),4109.0)</f>
        <v>4109</v>
      </c>
      <c r="R110" s="45" t="str">
        <f>IFERROR(__xludf.DUMMYFUNCTION("""COMPUTED_VALUE"""),"OMIX")</f>
        <v>OMIX</v>
      </c>
      <c r="S110" s="45"/>
      <c r="T110" s="45"/>
      <c r="U110" s="45"/>
      <c r="V110" s="45"/>
      <c r="W110" s="45"/>
      <c r="X110" s="45"/>
      <c r="Y110" s="45" t="str">
        <f>IFERROR(__xludf.DUMMYFUNCTION("""COMPUTED_VALUE"""),"OSDE Plan 310 N° 25210998106")</f>
        <v>OSDE Plan 310 N° 25210998106</v>
      </c>
      <c r="Z110" s="7" t="str">
        <f>IFERROR(__xludf.DUMMYFUNCTION("""COMPUTED_VALUE"""),"Si")</f>
        <v>Si</v>
      </c>
      <c r="AA110" s="7" t="str">
        <f>IFERROR(__xludf.DUMMYFUNCTION("""COMPUTED_VALUE"""),"Acepto")</f>
        <v>Acepto</v>
      </c>
      <c r="AB110" s="7" t="str">
        <f>IFERROR(__xludf.DUMMYFUNCTION("""COMPUTED_VALUE"""),"Terminado")</f>
        <v>Terminado</v>
      </c>
      <c r="AC110" s="7">
        <f>IFERROR(__xludf.DUMMYFUNCTION("""COMPUTED_VALUE"""),50000.0)</f>
        <v>50000</v>
      </c>
      <c r="AD110" s="7">
        <f>IFERROR(__xludf.DUMMYFUNCTION("""COMPUTED_VALUE"""),205644.0)</f>
        <v>205644</v>
      </c>
      <c r="AE110" s="45" t="str">
        <f>IFERROR(__xludf.DUMMYFUNCTION("""COMPUTED_VALUE"""),"TRF 10-09")</f>
        <v>TRF 10-09</v>
      </c>
      <c r="AF110" s="7" t="str">
        <f>IFERROR(__xludf.DUMMYFUNCTION("""COMPUTED_VALUE"""),"OK")</f>
        <v>OK</v>
      </c>
      <c r="AG110" s="7"/>
      <c r="AH110" s="7"/>
      <c r="AI110" s="7"/>
    </row>
    <row r="111">
      <c r="B111" s="84">
        <f>IFERROR(__xludf.DUMMYFUNCTION("""COMPUTED_VALUE"""),45537.49986033565)</f>
        <v>45537.49986</v>
      </c>
      <c r="C111" s="43" t="str">
        <f>IFERROR(__xludf.DUMMYFUNCTION("""COMPUTED_VALUE"""),"Delfina")</f>
        <v>Delfina</v>
      </c>
      <c r="D111" s="43" t="str">
        <f>IFERROR(__xludf.DUMMYFUNCTION("""COMPUTED_VALUE"""),"Tesone")</f>
        <v>Tesone</v>
      </c>
      <c r="E111" s="43" t="str">
        <f>IFERROR(__xludf.DUMMYFUNCTION("""COMPUTED_VALUE"""),"Buenos Aires")</f>
        <v>Buenos Aires</v>
      </c>
      <c r="F111" s="43" t="str">
        <f>IFERROR(__xludf.DUMMYFUNCTION("""COMPUTED_VALUE"""),"ARG")</f>
        <v>ARG</v>
      </c>
      <c r="G111" s="43">
        <f>IFERROR(__xludf.DUMMYFUNCTION("""COMPUTED_VALUE"""),5.1125913E7)</f>
        <v>51125913</v>
      </c>
      <c r="H111" s="85">
        <f>IFERROR(__xludf.DUMMYFUNCTION("""COMPUTED_VALUE"""),40680.0)</f>
        <v>40680</v>
      </c>
      <c r="I111" s="43">
        <f>IFERROR(__xludf.DUMMYFUNCTION("""COMPUTED_VALUE"""),1.164486728E9)</f>
        <v>1164486728</v>
      </c>
      <c r="J111" s="43">
        <f>IFERROR(__xludf.DUMMYFUNCTION("""COMPUTED_VALUE"""),1.164486728E9)</f>
        <v>1164486728</v>
      </c>
      <c r="K111" s="43" t="str">
        <f>IFERROR(__xludf.DUMMYFUNCTION("""COMPUTED_VALUE"""),"altesone@hotmail.com")</f>
        <v>altesone@hotmail.com</v>
      </c>
      <c r="L111" s="43" t="str">
        <f>IFERROR(__xludf.DUMMYFUNCTION("""COMPUTED_VALUE"""),"Femenino")</f>
        <v>Femenino</v>
      </c>
      <c r="M111" s="43" t="str">
        <f>IFERROR(__xludf.DUMMYFUNCTION("""COMPUTED_VALUE"""),"CUBA")</f>
        <v>CUBA</v>
      </c>
      <c r="N111" s="43" t="str">
        <f>IFERROR(__xludf.DUMMYFUNCTION("""COMPUTED_VALUE"""),"Femenino, Interior (Optimist)")</f>
        <v>Femenino, Interior (Optimist)</v>
      </c>
      <c r="O111" s="43" t="str">
        <f>IFERROR(__xludf.DUMMYFUNCTION("""COMPUTED_VALUE"""),"OPTIMIST TIMONELES")</f>
        <v>OPTIMIST TIMONELES</v>
      </c>
      <c r="P111" s="43"/>
      <c r="Q111" s="7">
        <f>IFERROR(__xludf.DUMMYFUNCTION("""COMPUTED_VALUE"""),3796.0)</f>
        <v>3796</v>
      </c>
      <c r="R111" s="45"/>
      <c r="S111" s="45" t="str">
        <f>IFERROR(__xludf.DUMMYFUNCTION("""COMPUTED_VALUE"""),"Delfina Tesone")</f>
        <v>Delfina Tesone</v>
      </c>
      <c r="T111" s="45"/>
      <c r="U111" s="45"/>
      <c r="V111" s="45"/>
      <c r="W111" s="45"/>
      <c r="X111" s="45"/>
      <c r="Y111" s="45" t="str">
        <f>IFERROR(__xludf.DUMMYFUNCTION("""COMPUTED_VALUE"""),"osde 61164745002")</f>
        <v>osde 61164745002</v>
      </c>
      <c r="Z111" s="7" t="str">
        <f>IFERROR(__xludf.DUMMYFUNCTION("""COMPUTED_VALUE"""),"No")</f>
        <v>No</v>
      </c>
      <c r="AA111" s="7" t="str">
        <f>IFERROR(__xludf.DUMMYFUNCTION("""COMPUTED_VALUE"""),"Acepto")</f>
        <v>Acepto</v>
      </c>
      <c r="AB111" s="7" t="str">
        <f>IFERROR(__xludf.DUMMYFUNCTION("""COMPUTED_VALUE"""),"Terminado")</f>
        <v>Terminado</v>
      </c>
      <c r="AC111" s="7">
        <f>IFERROR(__xludf.DUMMYFUNCTION("""COMPUTED_VALUE"""),50000.0)</f>
        <v>50000</v>
      </c>
      <c r="AD111" s="7">
        <f>IFERROR(__xludf.DUMMYFUNCTION("""COMPUTED_VALUE"""),205404.0)</f>
        <v>205404</v>
      </c>
      <c r="AE111" s="45" t="str">
        <f>IFERROR(__xludf.DUMMYFUNCTION("""COMPUTED_VALUE"""),"TRF 02-09")</f>
        <v>TRF 02-09</v>
      </c>
      <c r="AF111" s="7" t="str">
        <f>IFERROR(__xludf.DUMMYFUNCTION("""COMPUTED_VALUE"""),"OK")</f>
        <v>OK</v>
      </c>
      <c r="AG111" s="7"/>
      <c r="AH111" s="7"/>
      <c r="AI111" s="7"/>
    </row>
    <row r="112">
      <c r="B112" s="84">
        <f>IFERROR(__xludf.DUMMYFUNCTION("""COMPUTED_VALUE"""),45535.64504017361)</f>
        <v>45535.64504</v>
      </c>
      <c r="C112" s="43" t="str">
        <f>IFERROR(__xludf.DUMMYFUNCTION("""COMPUTED_VALUE"""),"Isabel")</f>
        <v>Isabel</v>
      </c>
      <c r="D112" s="43" t="str">
        <f>IFERROR(__xludf.DUMMYFUNCTION("""COMPUTED_VALUE"""),"Travería ")</f>
        <v>Travería </v>
      </c>
      <c r="E112" s="43" t="str">
        <f>IFERROR(__xludf.DUMMYFUNCTION("""COMPUTED_VALUE"""),"La Plata")</f>
        <v>La Plata</v>
      </c>
      <c r="F112" s="43" t="str">
        <f>IFERROR(__xludf.DUMMYFUNCTION("""COMPUTED_VALUE"""),"ARG")</f>
        <v>ARG</v>
      </c>
      <c r="G112" s="43">
        <f>IFERROR(__xludf.DUMMYFUNCTION("""COMPUTED_VALUE"""),5.0901006E7)</f>
        <v>50901006</v>
      </c>
      <c r="H112" s="85">
        <f>IFERROR(__xludf.DUMMYFUNCTION("""COMPUTED_VALUE"""),40588.0)</f>
        <v>40588</v>
      </c>
      <c r="I112" s="43">
        <f>IFERROR(__xludf.DUMMYFUNCTION("""COMPUTED_VALUE"""),2.215638412E9)</f>
        <v>2215638412</v>
      </c>
      <c r="J112" s="43">
        <f>IFERROR(__xludf.DUMMYFUNCTION("""COMPUTED_VALUE"""),2.215906619E9)</f>
        <v>2215906619</v>
      </c>
      <c r="K112" s="43" t="str">
        <f>IFERROR(__xludf.DUMMYFUNCTION("""COMPUTED_VALUE"""),"lauramadueno@gmail.com")</f>
        <v>lauramadueno@gmail.com</v>
      </c>
      <c r="L112" s="43" t="str">
        <f>IFERROR(__xludf.DUMMYFUNCTION("""COMPUTED_VALUE"""),"Femenino")</f>
        <v>Femenino</v>
      </c>
      <c r="M112" s="43" t="str">
        <f>IFERROR(__xludf.DUMMYFUNCTION("""COMPUTED_VALUE"""),"CRLP")</f>
        <v>CRLP</v>
      </c>
      <c r="N112" s="43" t="str">
        <f>IFERROR(__xludf.DUMMYFUNCTION("""COMPUTED_VALUE"""),"Femenino")</f>
        <v>Femenino</v>
      </c>
      <c r="O112" s="43" t="str">
        <f>IFERROR(__xludf.DUMMYFUNCTION("""COMPUTED_VALUE"""),"OPTIMIST TIMONELES")</f>
        <v>OPTIMIST TIMONELES</v>
      </c>
      <c r="P112" s="43"/>
      <c r="Q112" s="7">
        <f>IFERROR(__xludf.DUMMYFUNCTION("""COMPUTED_VALUE"""),2991.0)</f>
        <v>2991</v>
      </c>
      <c r="R112" s="45"/>
      <c r="S112" s="45" t="str">
        <f>IFERROR(__xludf.DUMMYFUNCTION("""COMPUTED_VALUE"""),"Isabel Travería ")</f>
        <v>Isabel Travería </v>
      </c>
      <c r="T112" s="45"/>
      <c r="U112" s="45"/>
      <c r="V112" s="45"/>
      <c r="W112" s="45"/>
      <c r="X112" s="45"/>
      <c r="Y112" s="45"/>
      <c r="Z112" s="7" t="str">
        <f>IFERROR(__xludf.DUMMYFUNCTION("""COMPUTED_VALUE"""),"Si")</f>
        <v>Si</v>
      </c>
      <c r="AA112" s="7" t="str">
        <f>IFERROR(__xludf.DUMMYFUNCTION("""COMPUTED_VALUE"""),"Acepto")</f>
        <v>Acepto</v>
      </c>
      <c r="AB112" s="7" t="str">
        <f>IFERROR(__xludf.DUMMYFUNCTION("""COMPUTED_VALUE"""),"Terminado")</f>
        <v>Terminado</v>
      </c>
      <c r="AC112" s="7">
        <f>IFERROR(__xludf.DUMMYFUNCTION("""COMPUTED_VALUE"""),50000.0)</f>
        <v>50000</v>
      </c>
      <c r="AD112" s="7">
        <f>IFERROR(__xludf.DUMMYFUNCTION("""COMPUTED_VALUE"""),205359.0)</f>
        <v>205359</v>
      </c>
      <c r="AE112" s="45" t="str">
        <f>IFERROR(__xludf.DUMMYFUNCTION("""COMPUTED_VALUE"""),"TRF 31-08")</f>
        <v>TRF 31-08</v>
      </c>
      <c r="AF112" s="7" t="str">
        <f>IFERROR(__xludf.DUMMYFUNCTION("""COMPUTED_VALUE"""),"OK")</f>
        <v>OK</v>
      </c>
      <c r="AG112" s="7"/>
      <c r="AH112" s="7"/>
      <c r="AI112" s="7"/>
    </row>
    <row r="113">
      <c r="B113" s="84">
        <f>IFERROR(__xludf.DUMMYFUNCTION("""COMPUTED_VALUE"""),45535.6489390625)</f>
        <v>45535.64894</v>
      </c>
      <c r="C113" s="43" t="str">
        <f>IFERROR(__xludf.DUMMYFUNCTION("""COMPUTED_VALUE"""),"JUANITA")</f>
        <v>JUANITA</v>
      </c>
      <c r="D113" s="43" t="str">
        <f>IFERROR(__xludf.DUMMYFUNCTION("""COMPUTED_VALUE"""),"ULLUA CAPRE")</f>
        <v>ULLUA CAPRE</v>
      </c>
      <c r="E113" s="43" t="str">
        <f>IFERROR(__xludf.DUMMYFUNCTION("""COMPUTED_VALUE"""),"SAN PEDRO")</f>
        <v>SAN PEDRO</v>
      </c>
      <c r="F113" s="43" t="str">
        <f>IFERROR(__xludf.DUMMYFUNCTION("""COMPUTED_VALUE"""),"ARG")</f>
        <v>ARG</v>
      </c>
      <c r="G113" s="43">
        <f>IFERROR(__xludf.DUMMYFUNCTION("""COMPUTED_VALUE"""),5.0390387E7)</f>
        <v>50390387</v>
      </c>
      <c r="H113" s="85">
        <f>IFERROR(__xludf.DUMMYFUNCTION("""COMPUTED_VALUE"""),40386.0)</f>
        <v>40386</v>
      </c>
      <c r="I113" s="43">
        <f>IFERROR(__xludf.DUMMYFUNCTION("""COMPUTED_VALUE"""),3.329505972E9)</f>
        <v>3329505972</v>
      </c>
      <c r="J113" s="43">
        <f>IFERROR(__xludf.DUMMYFUNCTION("""COMPUTED_VALUE"""),3.329505972E9)</f>
        <v>3329505972</v>
      </c>
      <c r="K113" s="43" t="str">
        <f>IFERROR(__xludf.DUMMYFUNCTION("""COMPUTED_VALUE"""),"MYRIANKA@HOTMAIL.COM")</f>
        <v>MYRIANKA@HOTMAIL.COM</v>
      </c>
      <c r="L113" s="43" t="str">
        <f>IFERROR(__xludf.DUMMYFUNCTION("""COMPUTED_VALUE"""),"Femenino")</f>
        <v>Femenino</v>
      </c>
      <c r="M113" s="43" t="str">
        <f>IFERROR(__xludf.DUMMYFUNCTION("""COMPUTED_VALUE"""),"CNSP")</f>
        <v>CNSP</v>
      </c>
      <c r="N113" s="43" t="str">
        <f>IFERROR(__xludf.DUMMYFUNCTION("""COMPUTED_VALUE"""),"Interior (Optimist)")</f>
        <v>Interior (Optimist)</v>
      </c>
      <c r="O113" s="43" t="str">
        <f>IFERROR(__xludf.DUMMYFUNCTION("""COMPUTED_VALUE"""),"OPTIMIST TIMONELES")</f>
        <v>OPTIMIST TIMONELES</v>
      </c>
      <c r="P113" s="43"/>
      <c r="Q113" s="7">
        <f>IFERROR(__xludf.DUMMYFUNCTION("""COMPUTED_VALUE"""),3248.0)</f>
        <v>3248</v>
      </c>
      <c r="R113" s="45"/>
      <c r="S113" s="45"/>
      <c r="T113" s="45"/>
      <c r="U113" s="45"/>
      <c r="V113" s="45"/>
      <c r="W113" s="45"/>
      <c r="X113" s="45"/>
      <c r="Y113" s="45" t="str">
        <f>IFERROR(__xludf.DUMMYFUNCTION("""COMPUTED_VALUE"""),"UNION PERSONAL PMO")</f>
        <v>UNION PERSONAL PMO</v>
      </c>
      <c r="Z113" s="7" t="str">
        <f>IFERROR(__xludf.DUMMYFUNCTION("""COMPUTED_VALUE"""),"Si")</f>
        <v>Si</v>
      </c>
      <c r="AA113" s="7" t="str">
        <f>IFERROR(__xludf.DUMMYFUNCTION("""COMPUTED_VALUE"""),"Acepto")</f>
        <v>Acepto</v>
      </c>
      <c r="AB113" s="7" t="str">
        <f>IFERROR(__xludf.DUMMYFUNCTION("""COMPUTED_VALUE"""),"Terminado")</f>
        <v>Terminado</v>
      </c>
      <c r="AC113" s="7">
        <f>IFERROR(__xludf.DUMMYFUNCTION("""COMPUTED_VALUE"""),42500.0)</f>
        <v>42500</v>
      </c>
      <c r="AD113" s="7">
        <f>IFERROR(__xludf.DUMMYFUNCTION("""COMPUTED_VALUE"""),205347.0)</f>
        <v>205347</v>
      </c>
      <c r="AE113" s="45" t="str">
        <f>IFERROR(__xludf.DUMMYFUNCTION("""COMPUTED_VALUE"""),"TRF 31-08")</f>
        <v>TRF 31-08</v>
      </c>
      <c r="AF113" s="7" t="str">
        <f>IFERROR(__xludf.DUMMYFUNCTION("""COMPUTED_VALUE"""),"OK")</f>
        <v>OK</v>
      </c>
      <c r="AG113" s="7"/>
      <c r="AH113" s="7"/>
      <c r="AI113" s="7"/>
    </row>
    <row r="114">
      <c r="B114" s="84">
        <f>IFERROR(__xludf.DUMMYFUNCTION("""COMPUTED_VALUE"""),45535.73478642361)</f>
        <v>45535.73479</v>
      </c>
      <c r="C114" s="43" t="str">
        <f>IFERROR(__xludf.DUMMYFUNCTION("""COMPUTED_VALUE"""),"Simón")</f>
        <v>Simón</v>
      </c>
      <c r="D114" s="43" t="str">
        <f>IFERROR(__xludf.DUMMYFUNCTION("""COMPUTED_VALUE"""),"Uzeltinger")</f>
        <v>Uzeltinger</v>
      </c>
      <c r="E114" s="43" t="str">
        <f>IFERROR(__xludf.DUMMYFUNCTION("""COMPUTED_VALUE"""),"Puerto Madryn")</f>
        <v>Puerto Madryn</v>
      </c>
      <c r="F114" s="43" t="str">
        <f>IFERROR(__xludf.DUMMYFUNCTION("""COMPUTED_VALUE"""),"ARG")</f>
        <v>ARG</v>
      </c>
      <c r="G114" s="43">
        <f>IFERROR(__xludf.DUMMYFUNCTION("""COMPUTED_VALUE"""),5.0944211E7)</f>
        <v>50944211</v>
      </c>
      <c r="H114" s="85">
        <f>IFERROR(__xludf.DUMMYFUNCTION("""COMPUTED_VALUE"""),40576.0)</f>
        <v>40576</v>
      </c>
      <c r="I114" s="43">
        <f>IFERROR(__xludf.DUMMYFUNCTION("""COMPUTED_VALUE"""),2.80455093E9)</f>
        <v>2804550930</v>
      </c>
      <c r="J114" s="43">
        <f>IFERROR(__xludf.DUMMYFUNCTION("""COMPUTED_VALUE"""),2.80455093E9)</f>
        <v>2804550930</v>
      </c>
      <c r="K114" s="43" t="str">
        <f>IFERROR(__xludf.DUMMYFUNCTION("""COMPUTED_VALUE"""),"Uzeltinger@gmail.com")</f>
        <v>Uzeltinger@gmail.com</v>
      </c>
      <c r="L114" s="43" t="str">
        <f>IFERROR(__xludf.DUMMYFUNCTION("""COMPUTED_VALUE"""),"Masculino")</f>
        <v>Masculino</v>
      </c>
      <c r="M114" s="43" t="str">
        <f>IFERROR(__xludf.DUMMYFUNCTION("""COMPUTED_VALUE"""),"CNAS")</f>
        <v>CNAS</v>
      </c>
      <c r="N114" s="43" t="str">
        <f>IFERROR(__xludf.DUMMYFUNCTION("""COMPUTED_VALUE"""),"Interior (Optimist)")</f>
        <v>Interior (Optimist)</v>
      </c>
      <c r="O114" s="43" t="str">
        <f>IFERROR(__xludf.DUMMYFUNCTION("""COMPUTED_VALUE"""),"OPTIMIST TIMONELES")</f>
        <v>OPTIMIST TIMONELES</v>
      </c>
      <c r="P114" s="43"/>
      <c r="Q114" s="7">
        <f>IFERROR(__xludf.DUMMYFUNCTION("""COMPUTED_VALUE"""),3449.0)</f>
        <v>3449</v>
      </c>
      <c r="R114" s="45"/>
      <c r="S114" s="45"/>
      <c r="T114" s="45"/>
      <c r="U114" s="45"/>
      <c r="V114" s="45"/>
      <c r="W114" s="45"/>
      <c r="X114" s="45"/>
      <c r="Y114" s="45" t="str">
        <f>IFERROR(__xludf.DUMMYFUNCTION("""COMPUTED_VALUE"""),"SEROS")</f>
        <v>SEROS</v>
      </c>
      <c r="Z114" s="7" t="str">
        <f>IFERROR(__xludf.DUMMYFUNCTION("""COMPUTED_VALUE"""),"Si")</f>
        <v>Si</v>
      </c>
      <c r="AA114" s="7" t="str">
        <f>IFERROR(__xludf.DUMMYFUNCTION("""COMPUTED_VALUE"""),"Acepto")</f>
        <v>Acepto</v>
      </c>
      <c r="AB114" s="7" t="str">
        <f>IFERROR(__xludf.DUMMYFUNCTION("""COMPUTED_VALUE"""),"Terminado")</f>
        <v>Terminado</v>
      </c>
      <c r="AC114" s="7">
        <f>IFERROR(__xludf.DUMMYFUNCTION("""COMPUTED_VALUE"""),42500.0)</f>
        <v>42500</v>
      </c>
      <c r="AD114" s="7">
        <f>IFERROR(__xludf.DUMMYFUNCTION("""COMPUTED_VALUE"""),205374.0)</f>
        <v>205374</v>
      </c>
      <c r="AE114" s="45" t="str">
        <f>IFERROR(__xludf.DUMMYFUNCTION("""COMPUTED_VALUE"""),"TRF 02-09")</f>
        <v>TRF 02-09</v>
      </c>
      <c r="AF114" s="7" t="str">
        <f>IFERROR(__xludf.DUMMYFUNCTION("""COMPUTED_VALUE"""),"OK")</f>
        <v>OK</v>
      </c>
      <c r="AG114" s="7"/>
      <c r="AH114" s="7"/>
      <c r="AI114" s="7"/>
    </row>
    <row r="115">
      <c r="B115" s="84">
        <f>IFERROR(__xludf.DUMMYFUNCTION("""COMPUTED_VALUE"""),45535.874204907406)</f>
        <v>45535.8742</v>
      </c>
      <c r="C115" s="43" t="str">
        <f>IFERROR(__xludf.DUMMYFUNCTION("""COMPUTED_VALUE"""),"TOMAS")</f>
        <v>TOMAS</v>
      </c>
      <c r="D115" s="43" t="str">
        <f>IFERROR(__xludf.DUMMYFUNCTION("""COMPUTED_VALUE"""),"VANZULLI")</f>
        <v>VANZULLI</v>
      </c>
      <c r="E115" s="43" t="str">
        <f>IFERROR(__xludf.DUMMYFUNCTION("""COMPUTED_VALUE"""),"BUENOS AIRES")</f>
        <v>BUENOS AIRES</v>
      </c>
      <c r="F115" s="43" t="str">
        <f>IFERROR(__xludf.DUMMYFUNCTION("""COMPUTED_VALUE"""),"ARG")</f>
        <v>ARG</v>
      </c>
      <c r="G115" s="43">
        <f>IFERROR(__xludf.DUMMYFUNCTION("""COMPUTED_VALUE"""),4.9932581E7)</f>
        <v>49932581</v>
      </c>
      <c r="H115" s="85">
        <f>IFERROR(__xludf.DUMMYFUNCTION("""COMPUTED_VALUE"""),40135.0)</f>
        <v>40135</v>
      </c>
      <c r="I115" s="43">
        <f>IFERROR(__xludf.DUMMYFUNCTION("""COMPUTED_VALUE"""),1.133855954E9)</f>
        <v>1133855954</v>
      </c>
      <c r="J115" s="43">
        <f>IFERROR(__xludf.DUMMYFUNCTION("""COMPUTED_VALUE"""),1.133855954E9)</f>
        <v>1133855954</v>
      </c>
      <c r="K115" s="43" t="str">
        <f>IFERROR(__xludf.DUMMYFUNCTION("""COMPUTED_VALUE"""),"COTICOLOMBO@YAHOO.COM.AR")</f>
        <v>COTICOLOMBO@YAHOO.COM.AR</v>
      </c>
      <c r="L115" s="43" t="str">
        <f>IFERROR(__xludf.DUMMYFUNCTION("""COMPUTED_VALUE"""),"Masculino")</f>
        <v>Masculino</v>
      </c>
      <c r="M115" s="43" t="str">
        <f>IFERROR(__xludf.DUMMYFUNCTION("""COMPUTED_VALUE"""),"YCCN")</f>
        <v>YCCN</v>
      </c>
      <c r="N115" s="43"/>
      <c r="O115" s="43" t="str">
        <f>IFERROR(__xludf.DUMMYFUNCTION("""COMPUTED_VALUE"""),"OPTIMIST TIMONELES")</f>
        <v>OPTIMIST TIMONELES</v>
      </c>
      <c r="P115" s="43"/>
      <c r="Q115" s="7">
        <f>IFERROR(__xludf.DUMMYFUNCTION("""COMPUTED_VALUE"""),3438.0)</f>
        <v>3438</v>
      </c>
      <c r="R115" s="45"/>
      <c r="S115" s="45"/>
      <c r="T115" s="45"/>
      <c r="U115" s="45"/>
      <c r="V115" s="45"/>
      <c r="W115" s="45"/>
      <c r="X115" s="45"/>
      <c r="Y115" s="45">
        <f>IFERROR(__xludf.DUMMYFUNCTION("""COMPUTED_VALUE"""),1.7926566E10)</f>
        <v>17926566000</v>
      </c>
      <c r="Z115" s="7" t="str">
        <f>IFERROR(__xludf.DUMMYFUNCTION("""COMPUTED_VALUE"""),"No")</f>
        <v>No</v>
      </c>
      <c r="AA115" s="7" t="str">
        <f>IFERROR(__xludf.DUMMYFUNCTION("""COMPUTED_VALUE"""),"Acepto")</f>
        <v>Acepto</v>
      </c>
      <c r="AB115" s="7" t="str">
        <f>IFERROR(__xludf.DUMMYFUNCTION("""COMPUTED_VALUE"""),"Terminado")</f>
        <v>Terminado</v>
      </c>
      <c r="AC115" s="7">
        <f>IFERROR(__xludf.DUMMYFUNCTION("""COMPUTED_VALUE"""),50000.0)</f>
        <v>50000</v>
      </c>
      <c r="AD115" s="7">
        <f>IFERROR(__xludf.DUMMYFUNCTION("""COMPUTED_VALUE"""),205342.0)</f>
        <v>205342</v>
      </c>
      <c r="AE115" s="45" t="str">
        <f>IFERROR(__xludf.DUMMYFUNCTION("""COMPUTED_VALUE"""),"TRF 31-08")</f>
        <v>TRF 31-08</v>
      </c>
      <c r="AF115" s="7" t="str">
        <f>IFERROR(__xludf.DUMMYFUNCTION("""COMPUTED_VALUE"""),"OK")</f>
        <v>OK</v>
      </c>
      <c r="AG115" s="7"/>
      <c r="AH115" s="7"/>
      <c r="AI115" s="7"/>
    </row>
    <row r="116">
      <c r="B116" s="84">
        <f>IFERROR(__xludf.DUMMYFUNCTION("""COMPUTED_VALUE"""),45535.365026458334)</f>
        <v>45535.36503</v>
      </c>
      <c r="C116" s="43" t="str">
        <f>IFERROR(__xludf.DUMMYFUNCTION("""COMPUTED_VALUE"""),"Fermín")</f>
        <v>Fermín</v>
      </c>
      <c r="D116" s="43" t="str">
        <f>IFERROR(__xludf.DUMMYFUNCTION("""COMPUTED_VALUE"""),"Vázquez del Campo")</f>
        <v>Vázquez del Campo</v>
      </c>
      <c r="E116" s="43" t="str">
        <f>IFERROR(__xludf.DUMMYFUNCTION("""COMPUTED_VALUE"""),"Tigre ")</f>
        <v>Tigre </v>
      </c>
      <c r="F116" s="43" t="str">
        <f>IFERROR(__xludf.DUMMYFUNCTION("""COMPUTED_VALUE"""),"ARG")</f>
        <v>ARG</v>
      </c>
      <c r="G116" s="43">
        <f>IFERROR(__xludf.DUMMYFUNCTION("""COMPUTED_VALUE"""),5.2827436E7)</f>
        <v>52827436</v>
      </c>
      <c r="H116" s="85">
        <f>IFERROR(__xludf.DUMMYFUNCTION("""COMPUTED_VALUE"""),41243.0)</f>
        <v>41243</v>
      </c>
      <c r="I116" s="43">
        <f>IFERROR(__xludf.DUMMYFUNCTION("""COMPUTED_VALUE"""),1.159948383E9)</f>
        <v>1159948383</v>
      </c>
      <c r="J116" s="43"/>
      <c r="K116" s="43" t="str">
        <f>IFERROR(__xludf.DUMMYFUNCTION("""COMPUTED_VALUE"""),"lucreciadelcampo@gmail.com")</f>
        <v>lucreciadelcampo@gmail.com</v>
      </c>
      <c r="L116" s="43" t="str">
        <f>IFERROR(__xludf.DUMMYFUNCTION("""COMPUTED_VALUE"""),"Masculino")</f>
        <v>Masculino</v>
      </c>
      <c r="M116" s="43" t="str">
        <f>IFERROR(__xludf.DUMMYFUNCTION("""COMPUTED_VALUE"""),"CNSI")</f>
        <v>CNSI</v>
      </c>
      <c r="N116" s="43" t="str">
        <f>IFERROR(__xludf.DUMMYFUNCTION("""COMPUTED_VALUE"""),"Interior (Optimist)")</f>
        <v>Interior (Optimist)</v>
      </c>
      <c r="O116" s="43" t="str">
        <f>IFERROR(__xludf.DUMMYFUNCTION("""COMPUTED_VALUE"""),"OPTIMIST TIMONELES")</f>
        <v>OPTIMIST TIMONELES</v>
      </c>
      <c r="P116" s="43"/>
      <c r="Q116" s="7">
        <f>IFERROR(__xludf.DUMMYFUNCTION("""COMPUTED_VALUE"""),3583.0)</f>
        <v>3583</v>
      </c>
      <c r="R116" s="45"/>
      <c r="S116" s="45"/>
      <c r="T116" s="45"/>
      <c r="U116" s="45"/>
      <c r="V116" s="45"/>
      <c r="W116" s="45"/>
      <c r="X116" s="45"/>
      <c r="Y116" s="45"/>
      <c r="Z116" s="7" t="str">
        <f>IFERROR(__xludf.DUMMYFUNCTION("""COMPUTED_VALUE"""),"No")</f>
        <v>No</v>
      </c>
      <c r="AA116" s="7" t="str">
        <f>IFERROR(__xludf.DUMMYFUNCTION("""COMPUTED_VALUE"""),"Acepto")</f>
        <v>Acepto</v>
      </c>
      <c r="AB116" s="7" t="str">
        <f>IFERROR(__xludf.DUMMYFUNCTION("""COMPUTED_VALUE"""),"Terminado")</f>
        <v>Terminado</v>
      </c>
      <c r="AC116" s="7">
        <f>IFERROR(__xludf.DUMMYFUNCTION("""COMPUTED_VALUE"""),50000.0)</f>
        <v>50000</v>
      </c>
      <c r="AD116" s="7">
        <f>IFERROR(__xludf.DUMMYFUNCTION("""COMPUTED_VALUE"""),205164.0)</f>
        <v>205164</v>
      </c>
      <c r="AE116" s="45" t="str">
        <f>IFERROR(__xludf.DUMMYFUNCTION("""COMPUTED_VALUE"""),"TRF 31-08")</f>
        <v>TRF 31-08</v>
      </c>
      <c r="AF116" s="7" t="str">
        <f>IFERROR(__xludf.DUMMYFUNCTION("""COMPUTED_VALUE"""),"OK")</f>
        <v>OK</v>
      </c>
      <c r="AG116" s="7"/>
      <c r="AH116" s="7"/>
      <c r="AI116" s="7"/>
    </row>
    <row r="117">
      <c r="B117" s="84">
        <f>IFERROR(__xludf.DUMMYFUNCTION("""COMPUTED_VALUE"""),45534.4343543287)</f>
        <v>45534.43435</v>
      </c>
      <c r="C117" s="43" t="str">
        <f>IFERROR(__xludf.DUMMYFUNCTION("""COMPUTED_VALUE"""),"JOAQUIN")</f>
        <v>JOAQUIN</v>
      </c>
      <c r="D117" s="43" t="str">
        <f>IFERROR(__xludf.DUMMYFUNCTION("""COMPUTED_VALUE"""),"VERNA")</f>
        <v>VERNA</v>
      </c>
      <c r="E117" s="43" t="str">
        <f>IFERROR(__xludf.DUMMYFUNCTION("""COMPUTED_VALUE"""),"LA PLATA")</f>
        <v>LA PLATA</v>
      </c>
      <c r="F117" s="43" t="str">
        <f>IFERROR(__xludf.DUMMYFUNCTION("""COMPUTED_VALUE"""),"ARG")</f>
        <v>ARG</v>
      </c>
      <c r="G117" s="43">
        <f>IFERROR(__xludf.DUMMYFUNCTION("""COMPUTED_VALUE"""),4.8705676E7)</f>
        <v>48705676</v>
      </c>
      <c r="H117" s="85">
        <f>IFERROR(__xludf.DUMMYFUNCTION("""COMPUTED_VALUE"""),39867.0)</f>
        <v>39867</v>
      </c>
      <c r="I117" s="43">
        <f>IFERROR(__xludf.DUMMYFUNCTION("""COMPUTED_VALUE"""),2.216496606E9)</f>
        <v>2216496606</v>
      </c>
      <c r="J117" s="43">
        <f>IFERROR(__xludf.DUMMYFUNCTION("""COMPUTED_VALUE"""),2.216496606E9)</f>
        <v>2216496606</v>
      </c>
      <c r="K117" s="43" t="str">
        <f>IFERROR(__xludf.DUMMYFUNCTION("""COMPUTED_VALUE"""),"luis.verna@ypf.com")</f>
        <v>luis.verna@ypf.com</v>
      </c>
      <c r="L117" s="43" t="str">
        <f>IFERROR(__xludf.DUMMYFUNCTION("""COMPUTED_VALUE"""),"Masculino")</f>
        <v>Masculino</v>
      </c>
      <c r="M117" s="43" t="str">
        <f>IFERROR(__xludf.DUMMYFUNCTION("""COMPUTED_VALUE"""),"CRLP")</f>
        <v>CRLP</v>
      </c>
      <c r="N117" s="43"/>
      <c r="O117" s="43" t="str">
        <f>IFERROR(__xludf.DUMMYFUNCTION("""COMPUTED_VALUE"""),"OPTIMIST TIMONELES")</f>
        <v>OPTIMIST TIMONELES</v>
      </c>
      <c r="P117" s="43"/>
      <c r="Q117" s="7" t="str">
        <f>IFERROR(__xludf.DUMMYFUNCTION("""COMPUTED_VALUE"""),"ARG3785")</f>
        <v>ARG3785</v>
      </c>
      <c r="R117" s="45"/>
      <c r="S117" s="45"/>
      <c r="T117" s="45"/>
      <c r="U117" s="45"/>
      <c r="V117" s="45"/>
      <c r="W117" s="45"/>
      <c r="X117" s="45"/>
      <c r="Y117" s="45" t="str">
        <f>IFERROR(__xludf.DUMMYFUNCTION("""COMPUTED_VALUE"""),"OSDE")</f>
        <v>OSDE</v>
      </c>
      <c r="Z117" s="7" t="str">
        <f>IFERROR(__xludf.DUMMYFUNCTION("""COMPUTED_VALUE"""),"Si")</f>
        <v>Si</v>
      </c>
      <c r="AA117" s="7" t="str">
        <f>IFERROR(__xludf.DUMMYFUNCTION("""COMPUTED_VALUE"""),"Acepto")</f>
        <v>Acepto</v>
      </c>
      <c r="AB117" s="7" t="str">
        <f>IFERROR(__xludf.DUMMYFUNCTION("""COMPUTED_VALUE"""),"Terminado")</f>
        <v>Terminado</v>
      </c>
      <c r="AC117" s="7">
        <f>IFERROR(__xludf.DUMMYFUNCTION("""COMPUTED_VALUE"""),50000.0)</f>
        <v>50000</v>
      </c>
      <c r="AD117" s="7">
        <f>IFERROR(__xludf.DUMMYFUNCTION("""COMPUTED_VALUE"""),205092.0)</f>
        <v>205092</v>
      </c>
      <c r="AE117" s="45" t="str">
        <f>IFERROR(__xludf.DUMMYFUNCTION("""COMPUTED_VALUE"""),"TRF 30-08")</f>
        <v>TRF 30-08</v>
      </c>
      <c r="AF117" s="7" t="str">
        <f>IFERROR(__xludf.DUMMYFUNCTION("""COMPUTED_VALUE"""),"OK")</f>
        <v>OK</v>
      </c>
      <c r="AG117" s="7"/>
      <c r="AH117" s="7"/>
      <c r="AI117" s="7"/>
    </row>
    <row r="118">
      <c r="B118" s="84">
        <f>IFERROR(__xludf.DUMMYFUNCTION("""COMPUTED_VALUE"""),45534.78320664352)</f>
        <v>45534.78321</v>
      </c>
      <c r="C118" s="43" t="str">
        <f>IFERROR(__xludf.DUMMYFUNCTION("""COMPUTED_VALUE"""),"Santiago")</f>
        <v>Santiago</v>
      </c>
      <c r="D118" s="43" t="str">
        <f>IFERROR(__xludf.DUMMYFUNCTION("""COMPUTED_VALUE"""),"Viale")</f>
        <v>Viale</v>
      </c>
      <c r="E118" s="43" t="str">
        <f>IFERROR(__xludf.DUMMYFUNCTION("""COMPUTED_VALUE"""),"San isidro")</f>
        <v>San isidro</v>
      </c>
      <c r="F118" s="43" t="str">
        <f>IFERROR(__xludf.DUMMYFUNCTION("""COMPUTED_VALUE"""),"ARG")</f>
        <v>ARG</v>
      </c>
      <c r="G118" s="43">
        <f>IFERROR(__xludf.DUMMYFUNCTION("""COMPUTED_VALUE"""),5.0434935E7)</f>
        <v>50434935</v>
      </c>
      <c r="H118" s="85">
        <f>IFERROR(__xludf.DUMMYFUNCTION("""COMPUTED_VALUE"""),40376.0)</f>
        <v>40376</v>
      </c>
      <c r="I118" s="43">
        <f>IFERROR(__xludf.DUMMYFUNCTION("""COMPUTED_VALUE"""),1.15320732E9)</f>
        <v>1153207320</v>
      </c>
      <c r="J118" s="43">
        <f>IFERROR(__xludf.DUMMYFUNCTION("""COMPUTED_VALUE"""),1.15320732E9)</f>
        <v>1153207320</v>
      </c>
      <c r="K118" s="43" t="str">
        <f>IFERROR(__xludf.DUMMYFUNCTION("""COMPUTED_VALUE"""),"monicaponzo@gmail.com")</f>
        <v>monicaponzo@gmail.com</v>
      </c>
      <c r="L118" s="43" t="str">
        <f>IFERROR(__xludf.DUMMYFUNCTION("""COMPUTED_VALUE"""),"Masculino")</f>
        <v>Masculino</v>
      </c>
      <c r="M118" s="43" t="str">
        <f>IFERROR(__xludf.DUMMYFUNCTION("""COMPUTED_VALUE"""),"CVB")</f>
        <v>CVB</v>
      </c>
      <c r="N118" s="43"/>
      <c r="O118" s="43" t="str">
        <f>IFERROR(__xludf.DUMMYFUNCTION("""COMPUTED_VALUE"""),"OPTIMIST TIMONELES")</f>
        <v>OPTIMIST TIMONELES</v>
      </c>
      <c r="P118" s="43"/>
      <c r="Q118" s="7">
        <f>IFERROR(__xludf.DUMMYFUNCTION("""COMPUTED_VALUE"""),4101.0)</f>
        <v>4101</v>
      </c>
      <c r="R118" s="45"/>
      <c r="S118" s="45"/>
      <c r="T118" s="45"/>
      <c r="U118" s="45"/>
      <c r="V118" s="45"/>
      <c r="W118" s="45"/>
      <c r="X118" s="45"/>
      <c r="Y118" s="45" t="str">
        <f>IFERROR(__xludf.DUMMYFUNCTION("""COMPUTED_VALUE"""),"Medicus Azul")</f>
        <v>Medicus Azul</v>
      </c>
      <c r="Z118" s="7" t="str">
        <f>IFERROR(__xludf.DUMMYFUNCTION("""COMPUTED_VALUE"""),"No")</f>
        <v>No</v>
      </c>
      <c r="AA118" s="7" t="str">
        <f>IFERROR(__xludf.DUMMYFUNCTION("""COMPUTED_VALUE"""),"Acepto")</f>
        <v>Acepto</v>
      </c>
      <c r="AB118" s="7" t="str">
        <f>IFERROR(__xludf.DUMMYFUNCTION("""COMPUTED_VALUE"""),"Terminado")</f>
        <v>Terminado</v>
      </c>
      <c r="AC118" s="7">
        <f>IFERROR(__xludf.DUMMYFUNCTION("""COMPUTED_VALUE"""),50000.0)</f>
        <v>50000</v>
      </c>
      <c r="AD118" s="7">
        <f>IFERROR(__xludf.DUMMYFUNCTION("""COMPUTED_VALUE"""),205133.0)</f>
        <v>205133</v>
      </c>
      <c r="AE118" s="45" t="str">
        <f>IFERROR(__xludf.DUMMYFUNCTION("""COMPUTED_VALUE"""),"TRF 30-08")</f>
        <v>TRF 30-08</v>
      </c>
      <c r="AF118" s="7" t="str">
        <f>IFERROR(__xludf.DUMMYFUNCTION("""COMPUTED_VALUE"""),"OK")</f>
        <v>OK</v>
      </c>
      <c r="AG118" s="7" t="str">
        <f>IFERROR(__xludf.DUMMYFUNCTION("""COMPUTED_VALUE"""),"SI")</f>
        <v>SI</v>
      </c>
      <c r="AH118" s="7"/>
      <c r="AI118" s="7"/>
    </row>
    <row r="119">
      <c r="B119" s="84">
        <f>IFERROR(__xludf.DUMMYFUNCTION("""COMPUTED_VALUE"""),45536.53777230324)</f>
        <v>45536.53777</v>
      </c>
      <c r="C119" s="43" t="str">
        <f>IFERROR(__xludf.DUMMYFUNCTION("""COMPUTED_VALUE"""),"Yago ")</f>
        <v>Yago </v>
      </c>
      <c r="D119" s="43" t="str">
        <f>IFERROR(__xludf.DUMMYFUNCTION("""COMPUTED_VALUE"""),"Videla Tejo")</f>
        <v>Videla Tejo</v>
      </c>
      <c r="E119" s="43" t="str">
        <f>IFERROR(__xludf.DUMMYFUNCTION("""COMPUTED_VALUE"""),"CABA")</f>
        <v>CABA</v>
      </c>
      <c r="F119" s="43" t="str">
        <f>IFERROR(__xludf.DUMMYFUNCTION("""COMPUTED_VALUE"""),"ARG")</f>
        <v>ARG</v>
      </c>
      <c r="G119" s="43">
        <f>IFERROR(__xludf.DUMMYFUNCTION("""COMPUTED_VALUE"""),5.1073305E7)</f>
        <v>51073305</v>
      </c>
      <c r="H119" s="85">
        <f>IFERROR(__xludf.DUMMYFUNCTION("""COMPUTED_VALUE"""),40638.0)</f>
        <v>40638</v>
      </c>
      <c r="I119" s="43">
        <f>IFERROR(__xludf.DUMMYFUNCTION("""COMPUTED_VALUE"""),1.132266531E9)</f>
        <v>1132266531</v>
      </c>
      <c r="J119" s="43">
        <f>IFERROR(__xludf.DUMMYFUNCTION("""COMPUTED_VALUE"""),1.54406301E8)</f>
        <v>154406301</v>
      </c>
      <c r="K119" s="43" t="str">
        <f>IFERROR(__xludf.DUMMYFUNCTION("""COMPUTED_VALUE"""),"ceciliatejo.ct@gmail.com")</f>
        <v>ceciliatejo.ct@gmail.com</v>
      </c>
      <c r="L119" s="43" t="str">
        <f>IFERROR(__xludf.DUMMYFUNCTION("""COMPUTED_VALUE"""),"Masculino")</f>
        <v>Masculino</v>
      </c>
      <c r="M119" s="43" t="str">
        <f>IFERROR(__xludf.DUMMYFUNCTION("""COMPUTED_VALUE"""),"YCO")</f>
        <v>YCO</v>
      </c>
      <c r="N119" s="43" t="str">
        <f>IFERROR(__xludf.DUMMYFUNCTION("""COMPUTED_VALUE"""),"Interior (Optimist)")</f>
        <v>Interior (Optimist)</v>
      </c>
      <c r="O119" s="43" t="str">
        <f>IFERROR(__xludf.DUMMYFUNCTION("""COMPUTED_VALUE"""),"OPTIMIST TIMONELES")</f>
        <v>OPTIMIST TIMONELES</v>
      </c>
      <c r="P119" s="43"/>
      <c r="Q119" s="7">
        <f>IFERROR(__xludf.DUMMYFUNCTION("""COMPUTED_VALUE"""),4028.0)</f>
        <v>4028</v>
      </c>
      <c r="R119" s="45"/>
      <c r="S119" s="45"/>
      <c r="T119" s="45"/>
      <c r="U119" s="45"/>
      <c r="V119" s="45"/>
      <c r="W119" s="45"/>
      <c r="X119" s="45"/>
      <c r="Y119" s="45" t="str">
        <f>IFERROR(__xludf.DUMMYFUNCTION("""COMPUTED_VALUE"""),"OSDE")</f>
        <v>OSDE</v>
      </c>
      <c r="Z119" s="7" t="str">
        <f>IFERROR(__xludf.DUMMYFUNCTION("""COMPUTED_VALUE"""),"Si")</f>
        <v>Si</v>
      </c>
      <c r="AA119" s="7" t="str">
        <f>IFERROR(__xludf.DUMMYFUNCTION("""COMPUTED_VALUE"""),"Acepto")</f>
        <v>Acepto</v>
      </c>
      <c r="AB119" s="7" t="str">
        <f>IFERROR(__xludf.DUMMYFUNCTION("""COMPUTED_VALUE"""),"Terminado")</f>
        <v>Terminado</v>
      </c>
      <c r="AC119" s="7">
        <f>IFERROR(__xludf.DUMMYFUNCTION("""COMPUTED_VALUE"""),50000.0)</f>
        <v>50000</v>
      </c>
      <c r="AD119" s="7">
        <f>IFERROR(__xludf.DUMMYFUNCTION("""COMPUTED_VALUE"""),205402.0)</f>
        <v>205402</v>
      </c>
      <c r="AE119" s="45" t="str">
        <f>IFERROR(__xludf.DUMMYFUNCTION("""COMPUTED_VALUE"""),"TRF 02-09")</f>
        <v>TRF 02-09</v>
      </c>
      <c r="AF119" s="7" t="str">
        <f>IFERROR(__xludf.DUMMYFUNCTION("""COMPUTED_VALUE"""),"OK")</f>
        <v>OK</v>
      </c>
      <c r="AG119" s="7"/>
      <c r="AH119" s="7"/>
      <c r="AI119" s="7"/>
    </row>
    <row r="120">
      <c r="B120" s="84">
        <f>IFERROR(__xludf.DUMMYFUNCTION("""COMPUTED_VALUE"""),45534.645651597224)</f>
        <v>45534.64565</v>
      </c>
      <c r="C120" s="43" t="str">
        <f>IFERROR(__xludf.DUMMYFUNCTION("""COMPUTED_VALUE"""),"Valentino")</f>
        <v>Valentino</v>
      </c>
      <c r="D120" s="43" t="str">
        <f>IFERROR(__xludf.DUMMYFUNCTION("""COMPUTED_VALUE"""),"Wenzel")</f>
        <v>Wenzel</v>
      </c>
      <c r="E120" s="43" t="str">
        <f>IFERROR(__xludf.DUMMYFUNCTION("""COMPUTED_VALUE"""),"La plata")</f>
        <v>La plata</v>
      </c>
      <c r="F120" s="43" t="str">
        <f>IFERROR(__xludf.DUMMYFUNCTION("""COMPUTED_VALUE"""),"ARG")</f>
        <v>ARG</v>
      </c>
      <c r="G120" s="43">
        <f>IFERROR(__xludf.DUMMYFUNCTION("""COMPUTED_VALUE"""),5.0609852E7)</f>
        <v>50609852</v>
      </c>
      <c r="H120" s="85">
        <f>IFERROR(__xludf.DUMMYFUNCTION("""COMPUTED_VALUE"""),40415.0)</f>
        <v>40415</v>
      </c>
      <c r="I120" s="43">
        <f>IFERROR(__xludf.DUMMYFUNCTION("""COMPUTED_VALUE"""),2.215485768E9)</f>
        <v>2215485768</v>
      </c>
      <c r="J120" s="43">
        <f>IFERROR(__xludf.DUMMYFUNCTION("""COMPUTED_VALUE"""),2.215033161E9)</f>
        <v>2215033161</v>
      </c>
      <c r="K120" s="43" t="str">
        <f>IFERROR(__xludf.DUMMYFUNCTION("""COMPUTED_VALUE"""),"Mariw_palumbo@hotmail.com")</f>
        <v>Mariw_palumbo@hotmail.com</v>
      </c>
      <c r="L120" s="43" t="str">
        <f>IFERROR(__xludf.DUMMYFUNCTION("""COMPUTED_VALUE"""),"Masculino")</f>
        <v>Masculino</v>
      </c>
      <c r="M120" s="43" t="str">
        <f>IFERROR(__xludf.DUMMYFUNCTION("""COMPUTED_VALUE"""),"CRLP")</f>
        <v>CRLP</v>
      </c>
      <c r="N120" s="43" t="str">
        <f>IFERROR(__xludf.DUMMYFUNCTION("""COMPUTED_VALUE"""),"Interior (Optimist)")</f>
        <v>Interior (Optimist)</v>
      </c>
      <c r="O120" s="43" t="str">
        <f>IFERROR(__xludf.DUMMYFUNCTION("""COMPUTED_VALUE"""),"OPTIMIST TIMONELES")</f>
        <v>OPTIMIST TIMONELES</v>
      </c>
      <c r="P120" s="43"/>
      <c r="Q120" s="7">
        <f>IFERROR(__xludf.DUMMYFUNCTION("""COMPUTED_VALUE"""),3529.0)</f>
        <v>3529</v>
      </c>
      <c r="R120" s="45"/>
      <c r="S120" s="45"/>
      <c r="T120" s="45"/>
      <c r="U120" s="45"/>
      <c r="V120" s="45"/>
      <c r="W120" s="45"/>
      <c r="X120" s="45"/>
      <c r="Y120" s="45" t="str">
        <f>IFERROR(__xludf.DUMMYFUNCTION("""COMPUTED_VALUE"""),"Ioma ")</f>
        <v>Ioma </v>
      </c>
      <c r="Z120" s="7" t="str">
        <f>IFERROR(__xludf.DUMMYFUNCTION("""COMPUTED_VALUE"""),"Si")</f>
        <v>Si</v>
      </c>
      <c r="AA120" s="7" t="str">
        <f>IFERROR(__xludf.DUMMYFUNCTION("""COMPUTED_VALUE"""),"Acepto")</f>
        <v>Acepto</v>
      </c>
      <c r="AB120" s="7" t="str">
        <f>IFERROR(__xludf.DUMMYFUNCTION("""COMPUTED_VALUE"""),"Terminado")</f>
        <v>Terminado</v>
      </c>
      <c r="AC120" s="7">
        <f>IFERROR(__xludf.DUMMYFUNCTION("""COMPUTED_VALUE"""),50000.0)</f>
        <v>50000</v>
      </c>
      <c r="AD120" s="7">
        <f>IFERROR(__xludf.DUMMYFUNCTION("""COMPUTED_VALUE"""),205098.0)</f>
        <v>205098</v>
      </c>
      <c r="AE120" s="45" t="str">
        <f>IFERROR(__xludf.DUMMYFUNCTION("""COMPUTED_VALUE"""),"TRF 30-08 MP")</f>
        <v>TRF 30-08 MP</v>
      </c>
      <c r="AF120" s="7" t="str">
        <f>IFERROR(__xludf.DUMMYFUNCTION("""COMPUTED_VALUE"""),"OK")</f>
        <v>OK</v>
      </c>
      <c r="AG120" s="7"/>
      <c r="AH120" s="7"/>
      <c r="AI120" s="7"/>
    </row>
    <row r="121">
      <c r="B121" s="84">
        <f>IFERROR(__xludf.DUMMYFUNCTION("""COMPUTED_VALUE"""),45534.76405247685)</f>
        <v>45534.76405</v>
      </c>
      <c r="C121" s="43" t="str">
        <f>IFERROR(__xludf.DUMMYFUNCTION("""COMPUTED_VALUE"""),"Facundo")</f>
        <v>Facundo</v>
      </c>
      <c r="D121" s="43" t="str">
        <f>IFERROR(__xludf.DUMMYFUNCTION("""COMPUTED_VALUE"""),"Zorraquin")</f>
        <v>Zorraquin</v>
      </c>
      <c r="E121" s="43" t="str">
        <f>IFERROR(__xludf.DUMMYFUNCTION("""COMPUTED_VALUE"""),"Buenos aires")</f>
        <v>Buenos aires</v>
      </c>
      <c r="F121" s="43" t="str">
        <f>IFERROR(__xludf.DUMMYFUNCTION("""COMPUTED_VALUE"""),"ARG")</f>
        <v>ARG</v>
      </c>
      <c r="G121" s="43">
        <f>IFERROR(__xludf.DUMMYFUNCTION("""COMPUTED_VALUE"""),5.007519E7)</f>
        <v>50075190</v>
      </c>
      <c r="H121" s="85">
        <f>IFERROR(__xludf.DUMMYFUNCTION("""COMPUTED_VALUE"""),40199.0)</f>
        <v>40199</v>
      </c>
      <c r="I121" s="43">
        <f>IFERROR(__xludf.DUMMYFUNCTION("""COMPUTED_VALUE"""),1.149365363E9)</f>
        <v>1149365363</v>
      </c>
      <c r="J121" s="43">
        <f>IFERROR(__xludf.DUMMYFUNCTION("""COMPUTED_VALUE"""),1.141773096E9)</f>
        <v>1141773096</v>
      </c>
      <c r="K121" s="43" t="str">
        <f>IFERROR(__xludf.DUMMYFUNCTION("""COMPUTED_VALUE"""),"gzorraquin@gmail.com")</f>
        <v>gzorraquin@gmail.com</v>
      </c>
      <c r="L121" s="43" t="str">
        <f>IFERROR(__xludf.DUMMYFUNCTION("""COMPUTED_VALUE"""),"Masculino")</f>
        <v>Masculino</v>
      </c>
      <c r="M121" s="43" t="str">
        <f>IFERROR(__xludf.DUMMYFUNCTION("""COMPUTED_VALUE"""),"CNSI")</f>
        <v>CNSI</v>
      </c>
      <c r="N121" s="43" t="str">
        <f>IFERROR(__xludf.DUMMYFUNCTION("""COMPUTED_VALUE"""),"Interior (Optimist)")</f>
        <v>Interior (Optimist)</v>
      </c>
      <c r="O121" s="43" t="str">
        <f>IFERROR(__xludf.DUMMYFUNCTION("""COMPUTED_VALUE"""),"OPTIMIST TIMONELES")</f>
        <v>OPTIMIST TIMONELES</v>
      </c>
      <c r="P121" s="43"/>
      <c r="Q121" s="7">
        <f>IFERROR(__xludf.DUMMYFUNCTION("""COMPUTED_VALUE"""),4113.0)</f>
        <v>4113</v>
      </c>
      <c r="R121" s="45"/>
      <c r="S121" s="45"/>
      <c r="T121" s="45"/>
      <c r="U121" s="45"/>
      <c r="V121" s="45"/>
      <c r="W121" s="45"/>
      <c r="X121" s="45"/>
      <c r="Y121" s="45" t="str">
        <f>IFERROR(__xludf.DUMMYFUNCTION("""COMPUTED_VALUE"""),"Osde")</f>
        <v>Osde</v>
      </c>
      <c r="Z121" s="7" t="str">
        <f>IFERROR(__xludf.DUMMYFUNCTION("""COMPUTED_VALUE"""),"Si")</f>
        <v>Si</v>
      </c>
      <c r="AA121" s="7" t="str">
        <f>IFERROR(__xludf.DUMMYFUNCTION("""COMPUTED_VALUE"""),"Acepto")</f>
        <v>Acepto</v>
      </c>
      <c r="AB121" s="7" t="str">
        <f>IFERROR(__xludf.DUMMYFUNCTION("""COMPUTED_VALUE"""),"Terminado")</f>
        <v>Terminado</v>
      </c>
      <c r="AC121" s="7">
        <f>IFERROR(__xludf.DUMMYFUNCTION("""COMPUTED_VALUE"""),50000.0)</f>
        <v>50000</v>
      </c>
      <c r="AD121" s="7">
        <f>IFERROR(__xludf.DUMMYFUNCTION("""COMPUTED_VALUE"""),205130.0)</f>
        <v>205130</v>
      </c>
      <c r="AE121" s="45" t="str">
        <f>IFERROR(__xludf.DUMMYFUNCTION("""COMPUTED_VALUE"""),"TRF 30-08")</f>
        <v>TRF 30-08</v>
      </c>
      <c r="AF121" s="7" t="str">
        <f>IFERROR(__xludf.DUMMYFUNCTION("""COMPUTED_VALUE"""),"OK")</f>
        <v>OK</v>
      </c>
      <c r="AG121" s="7"/>
      <c r="AH121" s="7"/>
      <c r="AI121" s="7"/>
    </row>
    <row r="122">
      <c r="B122" s="84">
        <f>IFERROR(__xludf.DUMMYFUNCTION("""COMPUTED_VALUE"""),45541.312523518514)</f>
        <v>45541.31252</v>
      </c>
      <c r="C122" s="43" t="str">
        <f>IFERROR(__xludf.DUMMYFUNCTION("""COMPUTED_VALUE"""),"Felipe ")</f>
        <v>Felipe </v>
      </c>
      <c r="D122" s="43" t="str">
        <f>IFERROR(__xludf.DUMMYFUNCTION("""COMPUTED_VALUE"""),"Blas")</f>
        <v>Blas</v>
      </c>
      <c r="E122" s="43" t="str">
        <f>IFERROR(__xludf.DUMMYFUNCTION("""COMPUTED_VALUE"""),"San Pedro ")</f>
        <v>San Pedro </v>
      </c>
      <c r="F122" s="43" t="str">
        <f>IFERROR(__xludf.DUMMYFUNCTION("""COMPUTED_VALUE"""),"ARG")</f>
        <v>ARG</v>
      </c>
      <c r="G122" s="43">
        <f>IFERROR(__xludf.DUMMYFUNCTION("""COMPUTED_VALUE"""),5.2003396E7)</f>
        <v>52003396</v>
      </c>
      <c r="H122" s="85">
        <f>IFERROR(__xludf.DUMMYFUNCTION("""COMPUTED_VALUE"""),40952.0)</f>
        <v>40952</v>
      </c>
      <c r="I122" s="43">
        <f>IFERROR(__xludf.DUMMYFUNCTION("""COMPUTED_VALUE"""),3.329640146E9)</f>
        <v>3329640146</v>
      </c>
      <c r="J122" s="43">
        <f>IFERROR(__xludf.DUMMYFUNCTION("""COMPUTED_VALUE"""),3.329566454E9)</f>
        <v>3329566454</v>
      </c>
      <c r="K122" s="43" t="str">
        <f>IFERROR(__xludf.DUMMYFUNCTION("""COMPUTED_VALUE"""),"marucenturion1989@gmail.com")</f>
        <v>marucenturion1989@gmail.com</v>
      </c>
      <c r="L122" s="43" t="str">
        <f>IFERROR(__xludf.DUMMYFUNCTION("""COMPUTED_VALUE"""),"Masculino")</f>
        <v>Masculino</v>
      </c>
      <c r="M122" s="43" t="str">
        <f>IFERROR(__xludf.DUMMYFUNCTION("""COMPUTED_VALUE"""),"CNSP")</f>
        <v>CNSP</v>
      </c>
      <c r="N122" s="43" t="str">
        <f>IFERROR(__xludf.DUMMYFUNCTION("""COMPUTED_VALUE"""),"Interior (Optimist)")</f>
        <v>Interior (Optimist)</v>
      </c>
      <c r="O122" s="43" t="str">
        <f>IFERROR(__xludf.DUMMYFUNCTION("""COMPUTED_VALUE"""),"OPTIMIST TIMONELES")</f>
        <v>OPTIMIST TIMONELES</v>
      </c>
      <c r="P122" s="43"/>
      <c r="Q122" s="7">
        <f>IFERROR(__xludf.DUMMYFUNCTION("""COMPUTED_VALUE"""),4152.0)</f>
        <v>4152</v>
      </c>
      <c r="R122" s="45"/>
      <c r="S122" s="45"/>
      <c r="T122" s="45"/>
      <c r="U122" s="45"/>
      <c r="V122" s="45"/>
      <c r="W122" s="45"/>
      <c r="X122" s="45"/>
      <c r="Y122" s="45" t="str">
        <f>IFERROR(__xludf.DUMMYFUNCTION("""COMPUTED_VALUE"""),"Ioma")</f>
        <v>Ioma</v>
      </c>
      <c r="Z122" s="7" t="str">
        <f>IFERROR(__xludf.DUMMYFUNCTION("""COMPUTED_VALUE"""),"Si")</f>
        <v>Si</v>
      </c>
      <c r="AA122" s="7" t="str">
        <f>IFERROR(__xludf.DUMMYFUNCTION("""COMPUTED_VALUE"""),"Acepto")</f>
        <v>Acepto</v>
      </c>
      <c r="AB122" s="7" t="str">
        <f>IFERROR(__xludf.DUMMYFUNCTION("""COMPUTED_VALUE"""),"Terminado")</f>
        <v>Terminado</v>
      </c>
      <c r="AC122" s="7">
        <f>IFERROR(__xludf.DUMMYFUNCTION("""COMPUTED_VALUE"""),42500.0)</f>
        <v>42500</v>
      </c>
      <c r="AD122" s="7">
        <f>IFERROR(__xludf.DUMMYFUNCTION("""COMPUTED_VALUE"""),205543.0)</f>
        <v>205543</v>
      </c>
      <c r="AE122" s="45" t="str">
        <f>IFERROR(__xludf.DUMMYFUNCTION("""COMPUTED_VALUE"""),"TRF 06-09")</f>
        <v>TRF 06-09</v>
      </c>
      <c r="AF122" s="7" t="str">
        <f>IFERROR(__xludf.DUMMYFUNCTION("""COMPUTED_VALUE"""),"OK")</f>
        <v>OK</v>
      </c>
      <c r="AG122" s="7"/>
      <c r="AH122" s="7"/>
      <c r="AI122" s="7"/>
    </row>
    <row r="123">
      <c r="B123" s="42">
        <f>IFERROR(__xludf.DUMMYFUNCTION("""COMPUTED_VALUE"""),45541.470252430554)</f>
        <v>45541.47025</v>
      </c>
      <c r="C123" s="7" t="str">
        <f>IFERROR(__xludf.DUMMYFUNCTION("""COMPUTED_VALUE"""),"Santiago")</f>
        <v>Santiago</v>
      </c>
      <c r="D123" s="7" t="str">
        <f>IFERROR(__xludf.DUMMYFUNCTION("""COMPUTED_VALUE"""),"Fabris")</f>
        <v>Fabris</v>
      </c>
      <c r="E123" s="7" t="str">
        <f>IFERROR(__xludf.DUMMYFUNCTION("""COMPUTED_VALUE"""),"Buenos Aires")</f>
        <v>Buenos Aires</v>
      </c>
      <c r="F123" s="45" t="str">
        <f>IFERROR(__xludf.DUMMYFUNCTION("""COMPUTED_VALUE"""),"ARG")</f>
        <v>ARG</v>
      </c>
      <c r="G123" s="7">
        <f>IFERROR(__xludf.DUMMYFUNCTION("""COMPUTED_VALUE"""),5.0416545E7)</f>
        <v>50416545</v>
      </c>
      <c r="H123" s="44">
        <f>IFERROR(__xludf.DUMMYFUNCTION("""COMPUTED_VALUE"""),40367.0)</f>
        <v>40367</v>
      </c>
      <c r="I123" s="45" t="str">
        <f>IFERROR(__xludf.DUMMYFUNCTION("""COMPUTED_VALUE"""),"+5491132008803")</f>
        <v>+5491132008803</v>
      </c>
      <c r="J123" s="45" t="str">
        <f>IFERROR(__xludf.DUMMYFUNCTION("""COMPUTED_VALUE"""),"+5491132008803")</f>
        <v>+5491132008803</v>
      </c>
      <c r="K123" s="45" t="str">
        <f>IFERROR(__xludf.DUMMYFUNCTION("""COMPUTED_VALUE"""),"german0669@gmail.com")</f>
        <v>german0669@gmail.com</v>
      </c>
      <c r="L123" s="45" t="str">
        <f>IFERROR(__xludf.DUMMYFUNCTION("""COMPUTED_VALUE"""),"Masculino")</f>
        <v>Masculino</v>
      </c>
      <c r="M123" s="45" t="str">
        <f>IFERROR(__xludf.DUMMYFUNCTION("""COMPUTED_VALUE"""),"YCCN")</f>
        <v>YCCN</v>
      </c>
      <c r="N123" s="45" t="str">
        <f>IFERROR(__xludf.DUMMYFUNCTION("""COMPUTED_VALUE"""),"Optimist - Timonel")</f>
        <v>Optimist - Timonel</v>
      </c>
      <c r="O123" s="45" t="str">
        <f>IFERROR(__xludf.DUMMYFUNCTION("""COMPUTED_VALUE"""),"OPTIMIST TIMONELES")</f>
        <v>OPTIMIST TIMONELES</v>
      </c>
      <c r="P123" s="45"/>
      <c r="Q123" s="7">
        <f>IFERROR(__xludf.DUMMYFUNCTION("""COMPUTED_VALUE"""),3642.0)</f>
        <v>3642</v>
      </c>
      <c r="R123" s="45"/>
      <c r="S123" s="45"/>
      <c r="T123" s="45"/>
      <c r="U123" s="45"/>
      <c r="V123" s="45"/>
      <c r="W123" s="45"/>
      <c r="X123" s="45"/>
      <c r="Y123" s="45" t="str">
        <f>IFERROR(__xludf.DUMMYFUNCTION("""COMPUTED_VALUE"""),"OSDE")</f>
        <v>OSDE</v>
      </c>
      <c r="Z123" s="7" t="str">
        <f>IFERROR(__xludf.DUMMYFUNCTION("""COMPUTED_VALUE"""),"No")</f>
        <v>No</v>
      </c>
      <c r="AA123" s="7" t="str">
        <f>IFERROR(__xludf.DUMMYFUNCTION("""COMPUTED_VALUE"""),"Acepto")</f>
        <v>Acepto</v>
      </c>
      <c r="AB123" s="7" t="str">
        <f>IFERROR(__xludf.DUMMYFUNCTION("""COMPUTED_VALUE"""),"Terminado")</f>
        <v>Terminado</v>
      </c>
      <c r="AC123" s="7">
        <f>IFERROR(__xludf.DUMMYFUNCTION("""COMPUTED_VALUE"""),50000.0)</f>
        <v>50000</v>
      </c>
      <c r="AD123" s="7">
        <f>IFERROR(__xludf.DUMMYFUNCTION("""COMPUTED_VALUE"""),205534.0)</f>
        <v>205534</v>
      </c>
      <c r="AE123" s="45" t="str">
        <f>IFERROR(__xludf.DUMMYFUNCTION("""COMPUTED_VALUE"""),"TRF 06-09")</f>
        <v>TRF 06-09</v>
      </c>
      <c r="AF123" s="7" t="str">
        <f>IFERROR(__xludf.DUMMYFUNCTION("""COMPUTED_VALUE"""),"OK")</f>
        <v>OK</v>
      </c>
      <c r="AG123" s="7"/>
      <c r="AH123" s="7"/>
      <c r="AI123" s="7"/>
    </row>
    <row r="124">
      <c r="B124" s="42">
        <f>IFERROR(__xludf.DUMMYFUNCTION("""COMPUTED_VALUE"""),45541.61351056713)</f>
        <v>45541.61351</v>
      </c>
      <c r="C124" s="7" t="str">
        <f>IFERROR(__xludf.DUMMYFUNCTION("""COMPUTED_VALUE"""),"Tomás ")</f>
        <v>Tomás </v>
      </c>
      <c r="D124" s="7" t="str">
        <f>IFERROR(__xludf.DUMMYFUNCTION("""COMPUTED_VALUE"""),"Calvo")</f>
        <v>Calvo</v>
      </c>
      <c r="E124" s="7" t="str">
        <f>IFERROR(__xludf.DUMMYFUNCTION("""COMPUTED_VALUE"""),"Victoria")</f>
        <v>Victoria</v>
      </c>
      <c r="F124" s="45" t="str">
        <f>IFERROR(__xludf.DUMMYFUNCTION("""COMPUTED_VALUE"""),"ARG")</f>
        <v>ARG</v>
      </c>
      <c r="G124" s="7">
        <f>IFERROR(__xludf.DUMMYFUNCTION("""COMPUTED_VALUE"""),5.1431844E7)</f>
        <v>51431844</v>
      </c>
      <c r="H124" s="44">
        <f>IFERROR(__xludf.DUMMYFUNCTION("""COMPUTED_VALUE"""),40828.0)</f>
        <v>40828</v>
      </c>
      <c r="I124" s="45">
        <f>IFERROR(__xludf.DUMMYFUNCTION("""COMPUTED_VALUE"""),9.1159278173E10)</f>
        <v>91159278173</v>
      </c>
      <c r="J124" s="45">
        <f>IFERROR(__xludf.DUMMYFUNCTION("""COMPUTED_VALUE"""),9.1159278173E10)</f>
        <v>91159278173</v>
      </c>
      <c r="K124" s="45" t="str">
        <f>IFERROR(__xludf.DUMMYFUNCTION("""COMPUTED_VALUE"""),"sabhidalgo21@gmail.com")</f>
        <v>sabhidalgo21@gmail.com</v>
      </c>
      <c r="L124" s="45" t="str">
        <f>IFERROR(__xludf.DUMMYFUNCTION("""COMPUTED_VALUE"""),"Masculino")</f>
        <v>Masculino</v>
      </c>
      <c r="M124" s="45" t="str">
        <f>IFERROR(__xludf.DUMMYFUNCTION("""COMPUTED_VALUE"""),"CVB")</f>
        <v>CVB</v>
      </c>
      <c r="N124" s="45" t="str">
        <f>IFERROR(__xludf.DUMMYFUNCTION("""COMPUTED_VALUE"""),"Interior (Optimist)")</f>
        <v>Interior (Optimist)</v>
      </c>
      <c r="O124" s="45" t="str">
        <f>IFERROR(__xludf.DUMMYFUNCTION("""COMPUTED_VALUE"""),"OPTIMIST TIMONELES")</f>
        <v>OPTIMIST TIMONELES</v>
      </c>
      <c r="P124" s="45"/>
      <c r="Q124" s="7">
        <f>IFERROR(__xludf.DUMMYFUNCTION("""COMPUTED_VALUE"""),4133.0)</f>
        <v>4133</v>
      </c>
      <c r="R124" s="45"/>
      <c r="S124" s="45"/>
      <c r="T124" s="45"/>
      <c r="U124" s="45"/>
      <c r="V124" s="45"/>
      <c r="W124" s="45"/>
      <c r="X124" s="45"/>
      <c r="Y124" s="45" t="str">
        <f>IFERROR(__xludf.DUMMYFUNCTION("""COMPUTED_VALUE"""),"61 790187 1 02")</f>
        <v>61 790187 1 02</v>
      </c>
      <c r="Z124" s="7" t="str">
        <f>IFERROR(__xludf.DUMMYFUNCTION("""COMPUTED_VALUE"""),"Si")</f>
        <v>Si</v>
      </c>
      <c r="AA124" s="7" t="str">
        <f>IFERROR(__xludf.DUMMYFUNCTION("""COMPUTED_VALUE"""),"Acepto")</f>
        <v>Acepto</v>
      </c>
      <c r="AB124" s="7" t="str">
        <f>IFERROR(__xludf.DUMMYFUNCTION("""COMPUTED_VALUE"""),"Terminado")</f>
        <v>Terminado</v>
      </c>
      <c r="AC124" s="7">
        <f>IFERROR(__xludf.DUMMYFUNCTION("""COMPUTED_VALUE"""),50000.0)</f>
        <v>50000</v>
      </c>
      <c r="AD124" s="7">
        <f>IFERROR(__xludf.DUMMYFUNCTION("""COMPUTED_VALUE"""),205539.0)</f>
        <v>205539</v>
      </c>
      <c r="AE124" s="45" t="str">
        <f>IFERROR(__xludf.DUMMYFUNCTION("""COMPUTED_VALUE"""),"Tarj 06-09")</f>
        <v>Tarj 06-09</v>
      </c>
      <c r="AF124" s="7" t="str">
        <f>IFERROR(__xludf.DUMMYFUNCTION("""COMPUTED_VALUE"""),"OK")</f>
        <v>OK</v>
      </c>
      <c r="AG124" s="7" t="str">
        <f>IFERROR(__xludf.DUMMYFUNCTION("""COMPUTED_VALUE"""),"SI")</f>
        <v>SI</v>
      </c>
      <c r="AH124" s="7"/>
      <c r="AI124" s="7"/>
    </row>
    <row r="125">
      <c r="B125" s="42">
        <f>IFERROR(__xludf.DUMMYFUNCTION("""COMPUTED_VALUE"""),45541.66109850694)</f>
        <v>45541.6611</v>
      </c>
      <c r="C125" s="7" t="str">
        <f>IFERROR(__xludf.DUMMYFUNCTION("""COMPUTED_VALUE"""),"EMILIA")</f>
        <v>EMILIA</v>
      </c>
      <c r="D125" s="7" t="str">
        <f>IFERROR(__xludf.DUMMYFUNCTION("""COMPUTED_VALUE"""),"VUGDELIJA")</f>
        <v>VUGDELIJA</v>
      </c>
      <c r="E125" s="7" t="str">
        <f>IFERROR(__xludf.DUMMYFUNCTION("""COMPUTED_VALUE"""),"CABA")</f>
        <v>CABA</v>
      </c>
      <c r="F125" s="45" t="str">
        <f>IFERROR(__xludf.DUMMYFUNCTION("""COMPUTED_VALUE"""),"ARG")</f>
        <v>ARG</v>
      </c>
      <c r="G125" s="7">
        <f>IFERROR(__xludf.DUMMYFUNCTION("""COMPUTED_VALUE"""),5.3083955E7)</f>
        <v>53083955</v>
      </c>
      <c r="H125" s="44">
        <f>IFERROR(__xludf.DUMMYFUNCTION("""COMPUTED_VALUE"""),41342.0)</f>
        <v>41342</v>
      </c>
      <c r="I125" s="45">
        <f>IFERROR(__xludf.DUMMYFUNCTION("""COMPUTED_VALUE"""),1.140304773E9)</f>
        <v>1140304773</v>
      </c>
      <c r="J125" s="45">
        <f>IFERROR(__xludf.DUMMYFUNCTION("""COMPUTED_VALUE"""),1.140304773E9)</f>
        <v>1140304773</v>
      </c>
      <c r="K125" s="45" t="str">
        <f>IFERROR(__xludf.DUMMYFUNCTION("""COMPUTED_VALUE"""),"ppvugde@gmail.com")</f>
        <v>ppvugde@gmail.com</v>
      </c>
      <c r="L125" s="45" t="str">
        <f>IFERROR(__xludf.DUMMYFUNCTION("""COMPUTED_VALUE"""),"Femenino")</f>
        <v>Femenino</v>
      </c>
      <c r="M125" s="45" t="str">
        <f>IFERROR(__xludf.DUMMYFUNCTION("""COMPUTED_VALUE"""),"CUBA")</f>
        <v>CUBA</v>
      </c>
      <c r="N125" s="45" t="str">
        <f>IFERROR(__xludf.DUMMYFUNCTION("""COMPUTED_VALUE"""),"Femenino")</f>
        <v>Femenino</v>
      </c>
      <c r="O125" s="45" t="str">
        <f>IFERROR(__xludf.DUMMYFUNCTION("""COMPUTED_VALUE"""),"OPTIMIST TIMONELES")</f>
        <v>OPTIMIST TIMONELES</v>
      </c>
      <c r="P125" s="45"/>
      <c r="Q125" s="7">
        <f>IFERROR(__xludf.DUMMYFUNCTION("""COMPUTED_VALUE"""),3872.0)</f>
        <v>3872</v>
      </c>
      <c r="R125" s="45"/>
      <c r="S125" s="45"/>
      <c r="T125" s="45"/>
      <c r="U125" s="45"/>
      <c r="V125" s="45"/>
      <c r="W125" s="45"/>
      <c r="X125" s="45"/>
      <c r="Y125" s="45" t="str">
        <f>IFERROR(__xludf.DUMMYFUNCTION("""COMPUTED_VALUE"""),"OESDE  61 472762 5 02")</f>
        <v>OESDE  61 472762 5 02</v>
      </c>
      <c r="Z125" s="7" t="str">
        <f>IFERROR(__xludf.DUMMYFUNCTION("""COMPUTED_VALUE"""),"Si")</f>
        <v>Si</v>
      </c>
      <c r="AA125" s="7" t="str">
        <f>IFERROR(__xludf.DUMMYFUNCTION("""COMPUTED_VALUE"""),"Acepto")</f>
        <v>Acepto</v>
      </c>
      <c r="AB125" s="7" t="str">
        <f>IFERROR(__xludf.DUMMYFUNCTION("""COMPUTED_VALUE"""),"Terminado")</f>
        <v>Terminado</v>
      </c>
      <c r="AC125" s="7">
        <f>IFERROR(__xludf.DUMMYFUNCTION("""COMPUTED_VALUE"""),50000.0)</f>
        <v>50000</v>
      </c>
      <c r="AD125" s="7">
        <f>IFERROR(__xludf.DUMMYFUNCTION("""COMPUTED_VALUE"""),205547.0)</f>
        <v>205547</v>
      </c>
      <c r="AE125" s="45" t="str">
        <f>IFERROR(__xludf.DUMMYFUNCTION("""COMPUTED_VALUE"""),"TRF 06-09")</f>
        <v>TRF 06-09</v>
      </c>
      <c r="AF125" s="7" t="str">
        <f>IFERROR(__xludf.DUMMYFUNCTION("""COMPUTED_VALUE"""),"OK")</f>
        <v>OK</v>
      </c>
      <c r="AG125" s="7"/>
      <c r="AH125" s="7"/>
      <c r="AI125" s="7"/>
    </row>
    <row r="126">
      <c r="B126" s="42">
        <f>IFERROR(__xludf.DUMMYFUNCTION("""COMPUTED_VALUE"""),45541.69972192129)</f>
        <v>45541.69972</v>
      </c>
      <c r="C126" s="7" t="str">
        <f>IFERROR(__xludf.DUMMYFUNCTION("""COMPUTED_VALUE"""),"Joaquin ")</f>
        <v>Joaquin </v>
      </c>
      <c r="D126" s="7" t="str">
        <f>IFERROR(__xludf.DUMMYFUNCTION("""COMPUTED_VALUE"""),"Dono")</f>
        <v>Dono</v>
      </c>
      <c r="E126" s="7" t="str">
        <f>IFERROR(__xludf.DUMMYFUNCTION("""COMPUTED_VALUE"""),"Bs As")</f>
        <v>Bs As</v>
      </c>
      <c r="F126" s="45" t="str">
        <f>IFERROR(__xludf.DUMMYFUNCTION("""COMPUTED_VALUE"""),"ARG")</f>
        <v>ARG</v>
      </c>
      <c r="G126" s="7">
        <f>IFERROR(__xludf.DUMMYFUNCTION("""COMPUTED_VALUE"""),5.0320674E7)</f>
        <v>50320674</v>
      </c>
      <c r="H126" s="44">
        <f>IFERROR(__xludf.DUMMYFUNCTION("""COMPUTED_VALUE"""),40341.0)</f>
        <v>40341</v>
      </c>
      <c r="I126" s="45">
        <f>IFERROR(__xludf.DUMMYFUNCTION("""COMPUTED_VALUE"""),1.165078788E9)</f>
        <v>1165078788</v>
      </c>
      <c r="J126" s="45">
        <f>IFERROR(__xludf.DUMMYFUNCTION("""COMPUTED_VALUE"""),1.165078788E9)</f>
        <v>1165078788</v>
      </c>
      <c r="K126" s="45" t="str">
        <f>IFERROR(__xludf.DUMMYFUNCTION("""COMPUTED_VALUE"""),"hechi2000@yahoo.com.ar ")</f>
        <v>hechi2000@yahoo.com.ar </v>
      </c>
      <c r="L126" s="45" t="str">
        <f>IFERROR(__xludf.DUMMYFUNCTION("""COMPUTED_VALUE"""),"Masculino")</f>
        <v>Masculino</v>
      </c>
      <c r="M126" s="45" t="str">
        <f>IFERROR(__xludf.DUMMYFUNCTION("""COMPUTED_VALUE"""),"CVSI")</f>
        <v>CVSI</v>
      </c>
      <c r="N126" s="45"/>
      <c r="O126" s="45" t="str">
        <f>IFERROR(__xludf.DUMMYFUNCTION("""COMPUTED_VALUE"""),"OPTIMIST TIMONELES")</f>
        <v>OPTIMIST TIMONELES</v>
      </c>
      <c r="P126" s="45"/>
      <c r="Q126" s="7">
        <f>IFERROR(__xludf.DUMMYFUNCTION("""COMPUTED_VALUE"""),3713.0)</f>
        <v>3713</v>
      </c>
      <c r="R126" s="45"/>
      <c r="S126" s="45"/>
      <c r="T126" s="45"/>
      <c r="U126" s="45"/>
      <c r="V126" s="45"/>
      <c r="W126" s="45"/>
      <c r="X126" s="45"/>
      <c r="Y126" s="45" t="str">
        <f>IFERROR(__xludf.DUMMYFUNCTION("""COMPUTED_VALUE"""),"Accord salud")</f>
        <v>Accord salud</v>
      </c>
      <c r="Z126" s="7" t="str">
        <f>IFERROR(__xludf.DUMMYFUNCTION("""COMPUTED_VALUE"""),"No")</f>
        <v>No</v>
      </c>
      <c r="AA126" s="7" t="str">
        <f>IFERROR(__xludf.DUMMYFUNCTION("""COMPUTED_VALUE"""),"Acepto")</f>
        <v>Acepto</v>
      </c>
      <c r="AB126" s="7" t="str">
        <f>IFERROR(__xludf.DUMMYFUNCTION("""COMPUTED_VALUE"""),"Terminado")</f>
        <v>Terminado</v>
      </c>
      <c r="AC126" s="7">
        <f>IFERROR(__xludf.DUMMYFUNCTION("""COMPUTED_VALUE"""),50000.0)</f>
        <v>50000</v>
      </c>
      <c r="AD126" s="7">
        <f>IFERROR(__xludf.DUMMYFUNCTION("""COMPUTED_VALUE"""),205556.0)</f>
        <v>205556</v>
      </c>
      <c r="AE126" s="45" t="str">
        <f>IFERROR(__xludf.DUMMYFUNCTION("""COMPUTED_VALUE"""),"TRF 06-09")</f>
        <v>TRF 06-09</v>
      </c>
      <c r="AF126" s="7" t="str">
        <f>IFERROR(__xludf.DUMMYFUNCTION("""COMPUTED_VALUE"""),"OK")</f>
        <v>OK</v>
      </c>
      <c r="AG126" s="7"/>
      <c r="AH126" s="7"/>
      <c r="AI126" s="7"/>
    </row>
    <row r="127">
      <c r="B127" s="42">
        <f>IFERROR(__xludf.DUMMYFUNCTION("""COMPUTED_VALUE"""),45541.7099878125)</f>
        <v>45541.70999</v>
      </c>
      <c r="C127" s="7" t="str">
        <f>IFERROR(__xludf.DUMMYFUNCTION("""COMPUTED_VALUE"""),"Manu")</f>
        <v>Manu</v>
      </c>
      <c r="D127" s="7" t="str">
        <f>IFERROR(__xludf.DUMMYFUNCTION("""COMPUTED_VALUE"""),"Cichowolski")</f>
        <v>Cichowolski</v>
      </c>
      <c r="E127" s="7" t="str">
        <f>IFERROR(__xludf.DUMMYFUNCTION("""COMPUTED_VALUE"""),"CABA")</f>
        <v>CABA</v>
      </c>
      <c r="F127" s="45" t="str">
        <f>IFERROR(__xludf.DUMMYFUNCTION("""COMPUTED_VALUE"""),"ARG")</f>
        <v>ARG</v>
      </c>
      <c r="G127" s="7">
        <f>IFERROR(__xludf.DUMMYFUNCTION("""COMPUTED_VALUE"""),5.0155666E7)</f>
        <v>50155666</v>
      </c>
      <c r="H127" s="44">
        <f>IFERROR(__xludf.DUMMYFUNCTION("""COMPUTED_VALUE"""),40202.0)</f>
        <v>40202</v>
      </c>
      <c r="I127" s="45">
        <f>IFERROR(__xludf.DUMMYFUNCTION("""COMPUTED_VALUE"""),1.132341376E9)</f>
        <v>1132341376</v>
      </c>
      <c r="J127" s="45">
        <f>IFERROR(__xludf.DUMMYFUNCTION("""COMPUTED_VALUE"""),1.156419068E9)</f>
        <v>1156419068</v>
      </c>
      <c r="K127" s="45" t="str">
        <f>IFERROR(__xludf.DUMMYFUNCTION("""COMPUTED_VALUE"""),"miguelcicho@gmail.com")</f>
        <v>miguelcicho@gmail.com</v>
      </c>
      <c r="L127" s="45" t="str">
        <f>IFERROR(__xludf.DUMMYFUNCTION("""COMPUTED_VALUE"""),"Masculino")</f>
        <v>Masculino</v>
      </c>
      <c r="M127" s="45" t="str">
        <f>IFERROR(__xludf.DUMMYFUNCTION("""COMPUTED_VALUE"""),"CPNLB")</f>
        <v>CPNLB</v>
      </c>
      <c r="N127" s="45"/>
      <c r="O127" s="45" t="str">
        <f>IFERROR(__xludf.DUMMYFUNCTION("""COMPUTED_VALUE"""),"OPTIMIST TIMONELES")</f>
        <v>OPTIMIST TIMONELES</v>
      </c>
      <c r="P127" s="45"/>
      <c r="Q127" s="7">
        <f>IFERROR(__xludf.DUMMYFUNCTION("""COMPUTED_VALUE"""),3889.0)</f>
        <v>3889</v>
      </c>
      <c r="R127" s="45"/>
      <c r="S127" s="45"/>
      <c r="T127" s="45"/>
      <c r="U127" s="45"/>
      <c r="V127" s="45"/>
      <c r="W127" s="45"/>
      <c r="X127" s="45"/>
      <c r="Y127" s="45" t="str">
        <f>IFERROR(__xludf.DUMMYFUNCTION("""COMPUTED_VALUE"""),"Dosuba")</f>
        <v>Dosuba</v>
      </c>
      <c r="Z127" s="7" t="str">
        <f>IFERROR(__xludf.DUMMYFUNCTION("""COMPUTED_VALUE"""),"Si")</f>
        <v>Si</v>
      </c>
      <c r="AA127" s="7" t="str">
        <f>IFERROR(__xludf.DUMMYFUNCTION("""COMPUTED_VALUE"""),"Acepto")</f>
        <v>Acepto</v>
      </c>
      <c r="AB127" s="7" t="str">
        <f>IFERROR(__xludf.DUMMYFUNCTION("""COMPUTED_VALUE"""),"Terminado")</f>
        <v>Terminado</v>
      </c>
      <c r="AC127" s="7">
        <f>IFERROR(__xludf.DUMMYFUNCTION("""COMPUTED_VALUE"""),50000.0)</f>
        <v>50000</v>
      </c>
      <c r="AD127" s="7">
        <f>IFERROR(__xludf.DUMMYFUNCTION("""COMPUTED_VALUE"""),205557.0)</f>
        <v>205557</v>
      </c>
      <c r="AE127" s="45" t="str">
        <f>IFERROR(__xludf.DUMMYFUNCTION("""COMPUTED_VALUE"""),"TRF 06-09")</f>
        <v>TRF 06-09</v>
      </c>
      <c r="AF127" s="7" t="str">
        <f>IFERROR(__xludf.DUMMYFUNCTION("""COMPUTED_VALUE"""),"Pendiente")</f>
        <v>Pendiente</v>
      </c>
      <c r="AG127" s="7" t="str">
        <f>IFERROR(__xludf.DUMMYFUNCTION("""COMPUTED_VALUE"""),"SI")</f>
        <v>SI</v>
      </c>
      <c r="AH127" s="7"/>
      <c r="AI127" s="7"/>
    </row>
    <row r="128">
      <c r="B128" s="42">
        <f>IFERROR(__xludf.DUMMYFUNCTION("""COMPUTED_VALUE"""),45541.711307488426)</f>
        <v>45541.71131</v>
      </c>
      <c r="C128" s="7" t="str">
        <f>IFERROR(__xludf.DUMMYFUNCTION("""COMPUTED_VALUE"""),"Santi")</f>
        <v>Santi</v>
      </c>
      <c r="D128" s="7" t="str">
        <f>IFERROR(__xludf.DUMMYFUNCTION("""COMPUTED_VALUE"""),"Cichowolski")</f>
        <v>Cichowolski</v>
      </c>
      <c r="E128" s="7" t="str">
        <f>IFERROR(__xludf.DUMMYFUNCTION("""COMPUTED_VALUE"""),"caba")</f>
        <v>caba</v>
      </c>
      <c r="F128" s="45" t="str">
        <f>IFERROR(__xludf.DUMMYFUNCTION("""COMPUTED_VALUE"""),"ARG")</f>
        <v>ARG</v>
      </c>
      <c r="G128" s="7">
        <f>IFERROR(__xludf.DUMMYFUNCTION("""COMPUTED_VALUE"""),5.3236907E7)</f>
        <v>53236907</v>
      </c>
      <c r="H128" s="44">
        <f>IFERROR(__xludf.DUMMYFUNCTION("""COMPUTED_VALUE"""),41375.0)</f>
        <v>41375</v>
      </c>
      <c r="I128" s="45">
        <f>IFERROR(__xludf.DUMMYFUNCTION("""COMPUTED_VALUE"""),1.132341376E9)</f>
        <v>1132341376</v>
      </c>
      <c r="J128" s="45">
        <f>IFERROR(__xludf.DUMMYFUNCTION("""COMPUTED_VALUE"""),1.156419068E9)</f>
        <v>1156419068</v>
      </c>
      <c r="K128" s="45" t="str">
        <f>IFERROR(__xludf.DUMMYFUNCTION("""COMPUTED_VALUE"""),"miguelcicho@gmail.com")</f>
        <v>miguelcicho@gmail.com</v>
      </c>
      <c r="L128" s="45" t="str">
        <f>IFERROR(__xludf.DUMMYFUNCTION("""COMPUTED_VALUE"""),"Masculino")</f>
        <v>Masculino</v>
      </c>
      <c r="M128" s="45" t="str">
        <f>IFERROR(__xludf.DUMMYFUNCTION("""COMPUTED_VALUE"""),"CPNLB")</f>
        <v>CPNLB</v>
      </c>
      <c r="N128" s="45"/>
      <c r="O128" s="45" t="str">
        <f>IFERROR(__xludf.DUMMYFUNCTION("""COMPUTED_VALUE"""),"OPTIMIST TIMONELES")</f>
        <v>OPTIMIST TIMONELES</v>
      </c>
      <c r="P128" s="45"/>
      <c r="Q128" s="7">
        <f>IFERROR(__xludf.DUMMYFUNCTION("""COMPUTED_VALUE"""),3992.0)</f>
        <v>3992</v>
      </c>
      <c r="R128" s="45"/>
      <c r="S128" s="45"/>
      <c r="T128" s="45"/>
      <c r="U128" s="45"/>
      <c r="V128" s="45"/>
      <c r="W128" s="45"/>
      <c r="X128" s="45"/>
      <c r="Y128" s="45" t="str">
        <f>IFERROR(__xludf.DUMMYFUNCTION("""COMPUTED_VALUE"""),"Dosuba")</f>
        <v>Dosuba</v>
      </c>
      <c r="Z128" s="7" t="str">
        <f>IFERROR(__xludf.DUMMYFUNCTION("""COMPUTED_VALUE"""),"Si")</f>
        <v>Si</v>
      </c>
      <c r="AA128" s="7" t="str">
        <f>IFERROR(__xludf.DUMMYFUNCTION("""COMPUTED_VALUE"""),"Acepto")</f>
        <v>Acepto</v>
      </c>
      <c r="AB128" s="7" t="str">
        <f>IFERROR(__xludf.DUMMYFUNCTION("""COMPUTED_VALUE"""),"Terminado")</f>
        <v>Terminado</v>
      </c>
      <c r="AC128" s="7">
        <f>IFERROR(__xludf.DUMMYFUNCTION("""COMPUTED_VALUE"""),50000.0)</f>
        <v>50000</v>
      </c>
      <c r="AD128" s="7">
        <f>IFERROR(__xludf.DUMMYFUNCTION("""COMPUTED_VALUE"""),205557.0)</f>
        <v>205557</v>
      </c>
      <c r="AE128" s="45" t="str">
        <f>IFERROR(__xludf.DUMMYFUNCTION("""COMPUTED_VALUE"""),"TRF 06-09")</f>
        <v>TRF 06-09</v>
      </c>
      <c r="AF128" s="7" t="str">
        <f>IFERROR(__xludf.DUMMYFUNCTION("""COMPUTED_VALUE"""),"OK")</f>
        <v>OK</v>
      </c>
      <c r="AG128" s="7" t="str">
        <f>IFERROR(__xludf.DUMMYFUNCTION("""COMPUTED_VALUE"""),"SI")</f>
        <v>SI</v>
      </c>
      <c r="AH128" s="7"/>
      <c r="AI128" s="7"/>
    </row>
    <row r="129">
      <c r="B129" s="42">
        <f>IFERROR(__xludf.DUMMYFUNCTION("""COMPUTED_VALUE"""),45541.771075833334)</f>
        <v>45541.77108</v>
      </c>
      <c r="C129" s="7" t="str">
        <f>IFERROR(__xludf.DUMMYFUNCTION("""COMPUTED_VALUE"""),"Abril")</f>
        <v>Abril</v>
      </c>
      <c r="D129" s="7" t="str">
        <f>IFERROR(__xludf.DUMMYFUNCTION("""COMPUTED_VALUE"""),"Baldi")</f>
        <v>Baldi</v>
      </c>
      <c r="E129" s="7" t="str">
        <f>IFERROR(__xludf.DUMMYFUNCTION("""COMPUTED_VALUE"""),"CABA")</f>
        <v>CABA</v>
      </c>
      <c r="F129" s="45" t="str">
        <f>IFERROR(__xludf.DUMMYFUNCTION("""COMPUTED_VALUE"""),"ARG")</f>
        <v>ARG</v>
      </c>
      <c r="G129" s="7">
        <f>IFERROR(__xludf.DUMMYFUNCTION("""COMPUTED_VALUE"""),5.1123601E7)</f>
        <v>51123601</v>
      </c>
      <c r="H129" s="44">
        <f>IFERROR(__xludf.DUMMYFUNCTION("""COMPUTED_VALUE"""),40658.0)</f>
        <v>40658</v>
      </c>
      <c r="I129" s="45">
        <f>IFERROR(__xludf.DUMMYFUNCTION("""COMPUTED_VALUE"""),5.61273635E8)</f>
        <v>561273635</v>
      </c>
      <c r="J129" s="45">
        <f>IFERROR(__xludf.DUMMYFUNCTION("""COMPUTED_VALUE"""),5.61273635E8)</f>
        <v>561273635</v>
      </c>
      <c r="K129" s="45" t="str">
        <f>IFERROR(__xludf.DUMMYFUNCTION("""COMPUTED_VALUE"""),"baldijulio@hotmail.com")</f>
        <v>baldijulio@hotmail.com</v>
      </c>
      <c r="L129" s="45" t="str">
        <f>IFERROR(__xludf.DUMMYFUNCTION("""COMPUTED_VALUE"""),"Femenino")</f>
        <v>Femenino</v>
      </c>
      <c r="M129" s="45" t="str">
        <f>IFERROR(__xludf.DUMMYFUNCTION("""COMPUTED_VALUE"""),"YCA")</f>
        <v>YCA</v>
      </c>
      <c r="N129" s="45" t="str">
        <f>IFERROR(__xludf.DUMMYFUNCTION("""COMPUTED_VALUE"""),"Femenino")</f>
        <v>Femenino</v>
      </c>
      <c r="O129" s="45" t="str">
        <f>IFERROR(__xludf.DUMMYFUNCTION("""COMPUTED_VALUE"""),"OPTIMIST TIMONELES")</f>
        <v>OPTIMIST TIMONELES</v>
      </c>
      <c r="P129" s="45"/>
      <c r="Q129" s="7">
        <f>IFERROR(__xludf.DUMMYFUNCTION("""COMPUTED_VALUE"""),4082.0)</f>
        <v>4082</v>
      </c>
      <c r="R129" s="45" t="str">
        <f>IFERROR(__xludf.DUMMYFUNCTION("""COMPUTED_VALUE"""),"Madame Queen")</f>
        <v>Madame Queen</v>
      </c>
      <c r="S129" s="45"/>
      <c r="T129" s="45"/>
      <c r="U129" s="45"/>
      <c r="V129" s="45"/>
      <c r="W129" s="45"/>
      <c r="X129" s="45"/>
      <c r="Y129" s="45" t="str">
        <f>IFERROR(__xludf.DUMMYFUNCTION("""COMPUTED_VALUE"""),"DOSUBA")</f>
        <v>DOSUBA</v>
      </c>
      <c r="Z129" s="7" t="str">
        <f>IFERROR(__xludf.DUMMYFUNCTION("""COMPUTED_VALUE"""),"No")</f>
        <v>No</v>
      </c>
      <c r="AA129" s="7" t="str">
        <f>IFERROR(__xludf.DUMMYFUNCTION("""COMPUTED_VALUE"""),"Acepto")</f>
        <v>Acepto</v>
      </c>
      <c r="AB129" s="7" t="str">
        <f>IFERROR(__xludf.DUMMYFUNCTION("""COMPUTED_VALUE"""),"Terminado")</f>
        <v>Terminado</v>
      </c>
      <c r="AC129" s="7">
        <f>IFERROR(__xludf.DUMMYFUNCTION("""COMPUTED_VALUE"""),50000.0)</f>
        <v>50000</v>
      </c>
      <c r="AD129" s="7">
        <f>IFERROR(__xludf.DUMMYFUNCTION("""COMPUTED_VALUE"""),205558.0)</f>
        <v>205558</v>
      </c>
      <c r="AE129" s="45" t="str">
        <f>IFERROR(__xludf.DUMMYFUNCTION("""COMPUTED_VALUE"""),"TRF 06-09")</f>
        <v>TRF 06-09</v>
      </c>
      <c r="AF129" s="7" t="str">
        <f>IFERROR(__xludf.DUMMYFUNCTION("""COMPUTED_VALUE"""),"OK")</f>
        <v>OK</v>
      </c>
      <c r="AG129" s="7"/>
      <c r="AH129" s="7"/>
      <c r="AI129" s="7"/>
    </row>
    <row r="130">
      <c r="B130" s="42">
        <f>IFERROR(__xludf.DUMMYFUNCTION("""COMPUTED_VALUE"""),45541.82541612269)</f>
        <v>45541.82542</v>
      </c>
      <c r="C130" s="7" t="str">
        <f>IFERROR(__xludf.DUMMYFUNCTION("""COMPUTED_VALUE"""),"Catalina")</f>
        <v>Catalina</v>
      </c>
      <c r="D130" s="7" t="str">
        <f>IFERROR(__xludf.DUMMYFUNCTION("""COMPUTED_VALUE"""),"Gomez")</f>
        <v>Gomez</v>
      </c>
      <c r="E130" s="7" t="str">
        <f>IFERROR(__xludf.DUMMYFUNCTION("""COMPUTED_VALUE"""),"San Pedro")</f>
        <v>San Pedro</v>
      </c>
      <c r="F130" s="45" t="str">
        <f>IFERROR(__xludf.DUMMYFUNCTION("""COMPUTED_VALUE"""),"ARG")</f>
        <v>ARG</v>
      </c>
      <c r="G130" s="7">
        <f>IFERROR(__xludf.DUMMYFUNCTION("""COMPUTED_VALUE"""),5.1049622E7)</f>
        <v>51049622</v>
      </c>
      <c r="H130" s="44">
        <f>IFERROR(__xludf.DUMMYFUNCTION("""COMPUTED_VALUE"""),40751.0)</f>
        <v>40751</v>
      </c>
      <c r="I130" s="45">
        <f>IFERROR(__xludf.DUMMYFUNCTION("""COMPUTED_VALUE"""),3.329310498E9)</f>
        <v>3329310498</v>
      </c>
      <c r="J130" s="45">
        <f>IFERROR(__xludf.DUMMYFUNCTION("""COMPUTED_VALUE"""),1.5605497E7)</f>
        <v>15605497</v>
      </c>
      <c r="K130" s="45" t="str">
        <f>IFERROR(__xludf.DUMMYFUNCTION("""COMPUTED_VALUE"""),"noelmuntane@yahoo.es")</f>
        <v>noelmuntane@yahoo.es</v>
      </c>
      <c r="L130" s="45" t="str">
        <f>IFERROR(__xludf.DUMMYFUNCTION("""COMPUTED_VALUE"""),"Femenino")</f>
        <v>Femenino</v>
      </c>
      <c r="M130" s="45" t="str">
        <f>IFERROR(__xludf.DUMMYFUNCTION("""COMPUTED_VALUE"""),"CNSP")</f>
        <v>CNSP</v>
      </c>
      <c r="N130" s="45" t="str">
        <f>IFERROR(__xludf.DUMMYFUNCTION("""COMPUTED_VALUE"""),"Femenino, Interior (Optimist)")</f>
        <v>Femenino, Interior (Optimist)</v>
      </c>
      <c r="O130" s="45" t="str">
        <f>IFERROR(__xludf.DUMMYFUNCTION("""COMPUTED_VALUE"""),"OPTIMIST TIMONELES")</f>
        <v>OPTIMIST TIMONELES</v>
      </c>
      <c r="P130" s="45"/>
      <c r="Q130" s="7">
        <f>IFERROR(__xludf.DUMMYFUNCTION("""COMPUTED_VALUE"""),3954.0)</f>
        <v>3954</v>
      </c>
      <c r="R130" s="45"/>
      <c r="S130" s="45"/>
      <c r="T130" s="45"/>
      <c r="U130" s="45"/>
      <c r="V130" s="45"/>
      <c r="W130" s="45"/>
      <c r="X130" s="45"/>
      <c r="Y130" s="45">
        <f>IFERROR(__xludf.DUMMYFUNCTION("""COMPUTED_VALUE"""),2.26524238203E11)</f>
        <v>226524238203</v>
      </c>
      <c r="Z130" s="7" t="str">
        <f>IFERROR(__xludf.DUMMYFUNCTION("""COMPUTED_VALUE"""),"Si")</f>
        <v>Si</v>
      </c>
      <c r="AA130" s="7" t="str">
        <f>IFERROR(__xludf.DUMMYFUNCTION("""COMPUTED_VALUE"""),"Acepto")</f>
        <v>Acepto</v>
      </c>
      <c r="AB130" s="7" t="str">
        <f>IFERROR(__xludf.DUMMYFUNCTION("""COMPUTED_VALUE"""),"Terminado")</f>
        <v>Terminado</v>
      </c>
      <c r="AC130" s="7">
        <f>IFERROR(__xludf.DUMMYFUNCTION("""COMPUTED_VALUE"""),42500.0)</f>
        <v>42500</v>
      </c>
      <c r="AD130" s="7">
        <f>IFERROR(__xludf.DUMMYFUNCTION("""COMPUTED_VALUE"""),205574.0)</f>
        <v>205574</v>
      </c>
      <c r="AE130" s="45" t="str">
        <f>IFERROR(__xludf.DUMMYFUNCTION("""COMPUTED_VALUE"""),"TRF 07-09")</f>
        <v>TRF 07-09</v>
      </c>
      <c r="AF130" s="7" t="str">
        <f>IFERROR(__xludf.DUMMYFUNCTION("""COMPUTED_VALUE"""),"OK")</f>
        <v>OK</v>
      </c>
      <c r="AG130" s="7"/>
      <c r="AH130" s="7"/>
      <c r="AI130" s="7"/>
    </row>
    <row r="131">
      <c r="B131" s="42">
        <f>IFERROR(__xludf.DUMMYFUNCTION("""COMPUTED_VALUE"""),45542.798295995366)</f>
        <v>45542.7983</v>
      </c>
      <c r="C131" s="7" t="str">
        <f>IFERROR(__xludf.DUMMYFUNCTION("""COMPUTED_VALUE"""),"ASTOR")</f>
        <v>ASTOR</v>
      </c>
      <c r="D131" s="7" t="str">
        <f>IFERROR(__xludf.DUMMYFUNCTION("""COMPUTED_VALUE"""),"CUESTAS")</f>
        <v>CUESTAS</v>
      </c>
      <c r="E131" s="7" t="str">
        <f>IFERROR(__xludf.DUMMYFUNCTION("""COMPUTED_VALUE"""),"SAN NICOLAS DE LOS ARROYOS")</f>
        <v>SAN NICOLAS DE LOS ARROYOS</v>
      </c>
      <c r="F131" s="45" t="str">
        <f>IFERROR(__xludf.DUMMYFUNCTION("""COMPUTED_VALUE"""),"ARG")</f>
        <v>ARG</v>
      </c>
      <c r="G131" s="7">
        <f>IFERROR(__xludf.DUMMYFUNCTION("""COMPUTED_VALUE"""),5.2118147E7)</f>
        <v>52118147</v>
      </c>
      <c r="H131" s="44">
        <f>IFERROR(__xludf.DUMMYFUNCTION("""COMPUTED_VALUE"""),40986.0)</f>
        <v>40986</v>
      </c>
      <c r="I131" s="45">
        <f>IFERROR(__xludf.DUMMYFUNCTION("""COMPUTED_VALUE"""),3.364580195E9)</f>
        <v>3364580195</v>
      </c>
      <c r="J131" s="45">
        <f>IFERROR(__xludf.DUMMYFUNCTION("""COMPUTED_VALUE"""),3.36459924E9)</f>
        <v>3364599240</v>
      </c>
      <c r="K131" s="45" t="str">
        <f>IFERROR(__xludf.DUMMYFUNCTION("""COMPUTED_VALUE"""),"m.a.cuestas@live.com.ar")</f>
        <v>m.a.cuestas@live.com.ar</v>
      </c>
      <c r="L131" s="45" t="str">
        <f>IFERROR(__xludf.DUMMYFUNCTION("""COMPUTED_VALUE"""),"Masculino")</f>
        <v>Masculino</v>
      </c>
      <c r="M131" s="45" t="str">
        <f>IFERROR(__xludf.DUMMYFUNCTION("""COMPUTED_VALUE"""),"CRSN-CVR")</f>
        <v>CRSN-CVR</v>
      </c>
      <c r="N131" s="45" t="str">
        <f>IFERROR(__xludf.DUMMYFUNCTION("""COMPUTED_VALUE"""),"Interior (Optimist)")</f>
        <v>Interior (Optimist)</v>
      </c>
      <c r="O131" s="45" t="str">
        <f>IFERROR(__xludf.DUMMYFUNCTION("""COMPUTED_VALUE"""),"OPTIMIST TIMONELES")</f>
        <v>OPTIMIST TIMONELES</v>
      </c>
      <c r="P131" s="45"/>
      <c r="Q131" s="7">
        <f>IFERROR(__xludf.DUMMYFUNCTION("""COMPUTED_VALUE"""),3793.0)</f>
        <v>3793</v>
      </c>
      <c r="R131" s="45" t="str">
        <f>IFERROR(__xludf.DUMMYFUNCTION("""COMPUTED_VALUE"""),"ASTOR")</f>
        <v>ASTOR</v>
      </c>
      <c r="S131" s="45"/>
      <c r="T131" s="45"/>
      <c r="U131" s="45"/>
      <c r="V131" s="45"/>
      <c r="W131" s="45"/>
      <c r="X131" s="45"/>
      <c r="Y131" s="45" t="str">
        <f>IFERROR(__xludf.DUMMYFUNCTION("""COMPUTED_VALUE"""),"IOMA / MEDIFE")</f>
        <v>IOMA / MEDIFE</v>
      </c>
      <c r="Z131" s="7" t="str">
        <f>IFERROR(__xludf.DUMMYFUNCTION("""COMPUTED_VALUE"""),"Si")</f>
        <v>Si</v>
      </c>
      <c r="AA131" s="7" t="str">
        <f>IFERROR(__xludf.DUMMYFUNCTION("""COMPUTED_VALUE"""),"Acepto")</f>
        <v>Acepto</v>
      </c>
      <c r="AB131" s="7" t="str">
        <f>IFERROR(__xludf.DUMMYFUNCTION("""COMPUTED_VALUE"""),"Terminado")</f>
        <v>Terminado</v>
      </c>
      <c r="AC131" s="7">
        <f>IFERROR(__xludf.DUMMYFUNCTION("""COMPUTED_VALUE"""),42500.0)</f>
        <v>42500</v>
      </c>
      <c r="AD131" s="7">
        <f>IFERROR(__xludf.DUMMYFUNCTION("""COMPUTED_VALUE"""),205578.0)</f>
        <v>205578</v>
      </c>
      <c r="AE131" s="45" t="str">
        <f>IFERROR(__xludf.DUMMYFUNCTION("""COMPUTED_VALUE"""),"TRF 07-09")</f>
        <v>TRF 07-09</v>
      </c>
      <c r="AF131" s="7" t="str">
        <f>IFERROR(__xludf.DUMMYFUNCTION("""COMPUTED_VALUE"""),"OK")</f>
        <v>OK</v>
      </c>
      <c r="AG131" s="7"/>
      <c r="AH131" s="7"/>
      <c r="AI131" s="7"/>
    </row>
    <row r="132">
      <c r="B132" s="42">
        <f>IFERROR(__xludf.DUMMYFUNCTION("""COMPUTED_VALUE"""),45542.92700847222)</f>
        <v>45542.92701</v>
      </c>
      <c r="C132" s="7" t="str">
        <f>IFERROR(__xludf.DUMMYFUNCTION("""COMPUTED_VALUE"""),"Lolo")</f>
        <v>Lolo</v>
      </c>
      <c r="D132" s="7" t="str">
        <f>IFERROR(__xludf.DUMMYFUNCTION("""COMPUTED_VALUE"""),"Roccatagliata ")</f>
        <v>Roccatagliata </v>
      </c>
      <c r="E132" s="7" t="str">
        <f>IFERROR(__xludf.DUMMYFUNCTION("""COMPUTED_VALUE"""),"Caba")</f>
        <v>Caba</v>
      </c>
      <c r="F132" s="45" t="str">
        <f>IFERROR(__xludf.DUMMYFUNCTION("""COMPUTED_VALUE"""),"ARG")</f>
        <v>ARG</v>
      </c>
      <c r="G132" s="7">
        <f>IFERROR(__xludf.DUMMYFUNCTION("""COMPUTED_VALUE"""),5.2647669E7)</f>
        <v>52647669</v>
      </c>
      <c r="H132" s="44">
        <f>IFERROR(__xludf.DUMMYFUNCTION("""COMPUTED_VALUE"""),41136.0)</f>
        <v>41136</v>
      </c>
      <c r="I132" s="45">
        <f>IFERROR(__xludf.DUMMYFUNCTION("""COMPUTED_VALUE"""),1.165373499E9)</f>
        <v>1165373499</v>
      </c>
      <c r="J132" s="45">
        <f>IFERROR(__xludf.DUMMYFUNCTION("""COMPUTED_VALUE"""),1.156373499E9)</f>
        <v>1156373499</v>
      </c>
      <c r="K132" s="45" t="str">
        <f>IFERROR(__xludf.DUMMYFUNCTION("""COMPUTED_VALUE"""),"miaschmitz@gmail.com")</f>
        <v>miaschmitz@gmail.com</v>
      </c>
      <c r="L132" s="45" t="str">
        <f>IFERROR(__xludf.DUMMYFUNCTION("""COMPUTED_VALUE"""),"Masculino")</f>
        <v>Masculino</v>
      </c>
      <c r="M132" s="45" t="str">
        <f>IFERROR(__xludf.DUMMYFUNCTION("""COMPUTED_VALUE"""),"CUBA")</f>
        <v>CUBA</v>
      </c>
      <c r="N132" s="45"/>
      <c r="O132" s="45" t="str">
        <f>IFERROR(__xludf.DUMMYFUNCTION("""COMPUTED_VALUE"""),"OPTIMIST TIMONELES")</f>
        <v>OPTIMIST TIMONELES</v>
      </c>
      <c r="P132" s="45"/>
      <c r="Q132" s="7">
        <f>IFERROR(__xludf.DUMMYFUNCTION("""COMPUTED_VALUE"""),3795.0)</f>
        <v>3795</v>
      </c>
      <c r="R132" s="45"/>
      <c r="S132" s="45"/>
      <c r="T132" s="45"/>
      <c r="U132" s="45"/>
      <c r="V132" s="45"/>
      <c r="W132" s="45"/>
      <c r="X132" s="45"/>
      <c r="Y132" s="45" t="str">
        <f>IFERROR(__xludf.DUMMYFUNCTION("""COMPUTED_VALUE"""),"Swiss Medical")</f>
        <v>Swiss Medical</v>
      </c>
      <c r="Z132" s="7" t="str">
        <f>IFERROR(__xludf.DUMMYFUNCTION("""COMPUTED_VALUE"""),"Si")</f>
        <v>Si</v>
      </c>
      <c r="AA132" s="7" t="str">
        <f>IFERROR(__xludf.DUMMYFUNCTION("""COMPUTED_VALUE"""),"Acepto")</f>
        <v>Acepto</v>
      </c>
      <c r="AB132" s="7" t="str">
        <f>IFERROR(__xludf.DUMMYFUNCTION("""COMPUTED_VALUE"""),"Terminado")</f>
        <v>Terminado</v>
      </c>
      <c r="AC132" s="7">
        <f>IFERROR(__xludf.DUMMYFUNCTION("""COMPUTED_VALUE"""),50000.0)</f>
        <v>50000</v>
      </c>
      <c r="AD132" s="7"/>
      <c r="AE132" s="45" t="str">
        <f>IFERROR(__xludf.DUMMYFUNCTION("""COMPUTED_VALUE"""),"TRF 07-09")</f>
        <v>TRF 07-09</v>
      </c>
      <c r="AF132" s="7" t="str">
        <f>IFERROR(__xludf.DUMMYFUNCTION("""COMPUTED_VALUE"""),"OK")</f>
        <v>OK</v>
      </c>
      <c r="AG132" s="7"/>
      <c r="AH132" s="7"/>
      <c r="AI132" s="7"/>
    </row>
    <row r="133">
      <c r="B133" s="42">
        <f>IFERROR(__xludf.DUMMYFUNCTION("""COMPUTED_VALUE"""),45543.36194070602)</f>
        <v>45543.36194</v>
      </c>
      <c r="C133" s="7" t="str">
        <f>IFERROR(__xludf.DUMMYFUNCTION("""COMPUTED_VALUE"""),"Cami")</f>
        <v>Cami</v>
      </c>
      <c r="D133" s="7" t="str">
        <f>IFERROR(__xludf.DUMMYFUNCTION("""COMPUTED_VALUE"""),"García Laborde")</f>
        <v>García Laborde</v>
      </c>
      <c r="E133" s="7" t="str">
        <f>IFERROR(__xludf.DUMMYFUNCTION("""COMPUTED_VALUE"""),"CABA")</f>
        <v>CABA</v>
      </c>
      <c r="F133" s="45" t="str">
        <f>IFERROR(__xludf.DUMMYFUNCTION("""COMPUTED_VALUE"""),"ARG")</f>
        <v>ARG</v>
      </c>
      <c r="G133" s="7">
        <f>IFERROR(__xludf.DUMMYFUNCTION("""COMPUTED_VALUE"""),2.7728004E7)</f>
        <v>27728004</v>
      </c>
      <c r="H133" s="44">
        <f>IFERROR(__xludf.DUMMYFUNCTION("""COMPUTED_VALUE"""),41218.0)</f>
        <v>41218</v>
      </c>
      <c r="I133" s="45">
        <f>IFERROR(__xludf.DUMMYFUNCTION("""COMPUTED_VALUE"""),1.140624064E9)</f>
        <v>1140624064</v>
      </c>
      <c r="J133" s="45">
        <f>IFERROR(__xludf.DUMMYFUNCTION("""COMPUTED_VALUE"""),1.140624064E9)</f>
        <v>1140624064</v>
      </c>
      <c r="K133" s="45" t="str">
        <f>IFERROR(__xludf.DUMMYFUNCTION("""COMPUTED_VALUE"""),"Igarcialaborde@gmail.com")</f>
        <v>Igarcialaborde@gmail.com</v>
      </c>
      <c r="L133" s="45" t="str">
        <f>IFERROR(__xludf.DUMMYFUNCTION("""COMPUTED_VALUE"""),"Femenino")</f>
        <v>Femenino</v>
      </c>
      <c r="M133" s="45" t="str">
        <f>IFERROR(__xludf.DUMMYFUNCTION("""COMPUTED_VALUE"""),"CNSI")</f>
        <v>CNSI</v>
      </c>
      <c r="N133" s="45" t="str">
        <f>IFERROR(__xludf.DUMMYFUNCTION("""COMPUTED_VALUE"""),"Femenino")</f>
        <v>Femenino</v>
      </c>
      <c r="O133" s="45" t="str">
        <f>IFERROR(__xludf.DUMMYFUNCTION("""COMPUTED_VALUE"""),"OPTIMIST TIMONELES")</f>
        <v>OPTIMIST TIMONELES</v>
      </c>
      <c r="P133" s="45"/>
      <c r="Q133" s="7" t="str">
        <f>IFERROR(__xludf.DUMMYFUNCTION("""COMPUTED_VALUE"""),"ARG 4100")</f>
        <v>ARG 4100</v>
      </c>
      <c r="R133" s="45"/>
      <c r="S133" s="45"/>
      <c r="T133" s="45"/>
      <c r="U133" s="45"/>
      <c r="V133" s="45"/>
      <c r="W133" s="45"/>
      <c r="X133" s="45"/>
      <c r="Y133" s="45" t="str">
        <f>IFERROR(__xludf.DUMMYFUNCTION("""COMPUTED_VALUE"""),"Swiss Medical ")</f>
        <v>Swiss Medical </v>
      </c>
      <c r="Z133" s="7" t="str">
        <f>IFERROR(__xludf.DUMMYFUNCTION("""COMPUTED_VALUE"""),"Si")</f>
        <v>Si</v>
      </c>
      <c r="AA133" s="7" t="str">
        <f>IFERROR(__xludf.DUMMYFUNCTION("""COMPUTED_VALUE"""),"Acepto")</f>
        <v>Acepto</v>
      </c>
      <c r="AB133" s="7" t="str">
        <f>IFERROR(__xludf.DUMMYFUNCTION("""COMPUTED_VALUE"""),"Pendiente")</f>
        <v>Pendiente</v>
      </c>
      <c r="AC133" s="7"/>
      <c r="AD133" s="7"/>
      <c r="AE133" s="45"/>
      <c r="AF133" s="7" t="str">
        <f>IFERROR(__xludf.DUMMYFUNCTION("""COMPUTED_VALUE"""),"OK")</f>
        <v>OK</v>
      </c>
      <c r="AG133" s="7"/>
      <c r="AH133" s="7"/>
      <c r="AI133" s="7"/>
    </row>
    <row r="134">
      <c r="B134" s="42">
        <f>IFERROR(__xludf.DUMMYFUNCTION("""COMPUTED_VALUE"""),45543.78504030092)</f>
        <v>45543.78504</v>
      </c>
      <c r="C134" s="7" t="str">
        <f>IFERROR(__xludf.DUMMYFUNCTION("""COMPUTED_VALUE"""),"Lucia")</f>
        <v>Lucia</v>
      </c>
      <c r="D134" s="7" t="str">
        <f>IFERROR(__xludf.DUMMYFUNCTION("""COMPUTED_VALUE"""),"Funes de Rioja")</f>
        <v>Funes de Rioja</v>
      </c>
      <c r="E134" s="7" t="str">
        <f>IFERROR(__xludf.DUMMYFUNCTION("""COMPUTED_VALUE"""),"Buenos Aires")</f>
        <v>Buenos Aires</v>
      </c>
      <c r="F134" s="45" t="str">
        <f>IFERROR(__xludf.DUMMYFUNCTION("""COMPUTED_VALUE"""),"ARG")</f>
        <v>ARG</v>
      </c>
      <c r="G134" s="7">
        <f>IFERROR(__xludf.DUMMYFUNCTION("""COMPUTED_VALUE"""),5.0670497E7)</f>
        <v>50670497</v>
      </c>
      <c r="H134" s="44">
        <f>IFERROR(__xludf.DUMMYFUNCTION("""COMPUTED_VALUE"""),40549.0)</f>
        <v>40549</v>
      </c>
      <c r="I134" s="45">
        <f>IFERROR(__xludf.DUMMYFUNCTION("""COMPUTED_VALUE"""),1.140834086E9)</f>
        <v>1140834086</v>
      </c>
      <c r="J134" s="45">
        <f>IFERROR(__xludf.DUMMYFUNCTION("""COMPUTED_VALUE"""),1.153103194E9)</f>
        <v>1153103194</v>
      </c>
      <c r="K134" s="45" t="str">
        <f>IFERROR(__xludf.DUMMYFUNCTION("""COMPUTED_VALUE"""),"ifr@funes.com.ar")</f>
        <v>ifr@funes.com.ar</v>
      </c>
      <c r="L134" s="45" t="str">
        <f>IFERROR(__xludf.DUMMYFUNCTION("""COMPUTED_VALUE"""),"Femenino")</f>
        <v>Femenino</v>
      </c>
      <c r="M134" s="45" t="str">
        <f>IFERROR(__xludf.DUMMYFUNCTION("""COMPUTED_VALUE"""),"YCA")</f>
        <v>YCA</v>
      </c>
      <c r="N134" s="45" t="str">
        <f>IFERROR(__xludf.DUMMYFUNCTION("""COMPUTED_VALUE"""),"Femenino")</f>
        <v>Femenino</v>
      </c>
      <c r="O134" s="45" t="str">
        <f>IFERROR(__xludf.DUMMYFUNCTION("""COMPUTED_VALUE"""),"OPTIMIST TIMONELES")</f>
        <v>OPTIMIST TIMONELES</v>
      </c>
      <c r="P134" s="45"/>
      <c r="Q134" s="7">
        <f>IFERROR(__xludf.DUMMYFUNCTION("""COMPUTED_VALUE"""),3936.0)</f>
        <v>3936</v>
      </c>
      <c r="R134" s="45"/>
      <c r="S134" s="45"/>
      <c r="T134" s="45"/>
      <c r="U134" s="45"/>
      <c r="V134" s="45"/>
      <c r="W134" s="45"/>
      <c r="X134" s="45"/>
      <c r="Y134" s="45" t="str">
        <f>IFERROR(__xludf.DUMMYFUNCTION("""COMPUTED_VALUE"""),"Osde")</f>
        <v>Osde</v>
      </c>
      <c r="Z134" s="7" t="str">
        <f>IFERROR(__xludf.DUMMYFUNCTION("""COMPUTED_VALUE"""),"Si")</f>
        <v>Si</v>
      </c>
      <c r="AA134" s="7" t="str">
        <f>IFERROR(__xludf.DUMMYFUNCTION("""COMPUTED_VALUE"""),"Acepto")</f>
        <v>Acepto</v>
      </c>
      <c r="AB134" s="7" t="str">
        <f>IFERROR(__xludf.DUMMYFUNCTION("""COMPUTED_VALUE"""),"Terminado")</f>
        <v>Terminado</v>
      </c>
      <c r="AC134" s="7">
        <f>IFERROR(__xludf.DUMMYFUNCTION("""COMPUTED_VALUE"""),70000.0)</f>
        <v>70000</v>
      </c>
      <c r="AD134" s="7">
        <f>IFERROR(__xludf.DUMMYFUNCTION("""COMPUTED_VALUE"""),205610.0)</f>
        <v>205610</v>
      </c>
      <c r="AE134" s="45" t="str">
        <f>IFERROR(__xludf.DUMMYFUNCTION("""COMPUTED_VALUE"""),"TRF 09-09")</f>
        <v>TRF 09-09</v>
      </c>
      <c r="AF134" s="7" t="str">
        <f>IFERROR(__xludf.DUMMYFUNCTION("""COMPUTED_VALUE"""),"OK")</f>
        <v>OK</v>
      </c>
      <c r="AG134" s="7"/>
      <c r="AH134" s="7"/>
      <c r="AI134" s="7"/>
    </row>
    <row r="135">
      <c r="B135" s="42">
        <f>IFERROR(__xludf.DUMMYFUNCTION("""COMPUTED_VALUE"""),45543.81460370371)</f>
        <v>45543.8146</v>
      </c>
      <c r="C135" s="7" t="str">
        <f>IFERROR(__xludf.DUMMYFUNCTION("""COMPUTED_VALUE"""),"Lucia")</f>
        <v>Lucia</v>
      </c>
      <c r="D135" s="7" t="str">
        <f>IFERROR(__xludf.DUMMYFUNCTION("""COMPUTED_VALUE"""),"Ferrante")</f>
        <v>Ferrante</v>
      </c>
      <c r="E135" s="7" t="str">
        <f>IFERROR(__xludf.DUMMYFUNCTION("""COMPUTED_VALUE"""),"San Isidro")</f>
        <v>San Isidro</v>
      </c>
      <c r="F135" s="45" t="str">
        <f>IFERROR(__xludf.DUMMYFUNCTION("""COMPUTED_VALUE"""),"ARG")</f>
        <v>ARG</v>
      </c>
      <c r="G135" s="7">
        <f>IFERROR(__xludf.DUMMYFUNCTION("""COMPUTED_VALUE"""),4.9932601E7)</f>
        <v>49932601</v>
      </c>
      <c r="H135" s="44">
        <f>IFERROR(__xludf.DUMMYFUNCTION("""COMPUTED_VALUE"""),40147.0)</f>
        <v>40147</v>
      </c>
      <c r="I135" s="45">
        <f>IFERROR(__xludf.DUMMYFUNCTION("""COMPUTED_VALUE"""),1.154206644E9)</f>
        <v>1154206644</v>
      </c>
      <c r="J135" s="45">
        <f>IFERROR(__xludf.DUMMYFUNCTION("""COMPUTED_VALUE"""),1.132723553E9)</f>
        <v>1132723553</v>
      </c>
      <c r="K135" s="45" t="str">
        <f>IFERROR(__xludf.DUMMYFUNCTION("""COMPUTED_VALUE"""),"ferrante3011@gmail.com")</f>
        <v>ferrante3011@gmail.com</v>
      </c>
      <c r="L135" s="45" t="str">
        <f>IFERROR(__xludf.DUMMYFUNCTION("""COMPUTED_VALUE"""),"Femenino")</f>
        <v>Femenino</v>
      </c>
      <c r="M135" s="45" t="str">
        <f>IFERROR(__xludf.DUMMYFUNCTION("""COMPUTED_VALUE"""),"CUBA")</f>
        <v>CUBA</v>
      </c>
      <c r="N135" s="45" t="str">
        <f>IFERROR(__xludf.DUMMYFUNCTION("""COMPUTED_VALUE"""),"Femenino")</f>
        <v>Femenino</v>
      </c>
      <c r="O135" s="45" t="str">
        <f>IFERROR(__xludf.DUMMYFUNCTION("""COMPUTED_VALUE"""),"OPTIMIST TIMONELES")</f>
        <v>OPTIMIST TIMONELES</v>
      </c>
      <c r="P135" s="45"/>
      <c r="Q135" s="7">
        <f>IFERROR(__xludf.DUMMYFUNCTION("""COMPUTED_VALUE"""),4073.0)</f>
        <v>4073</v>
      </c>
      <c r="R135" s="45"/>
      <c r="S135" s="45"/>
      <c r="T135" s="45"/>
      <c r="U135" s="45"/>
      <c r="V135" s="45"/>
      <c r="W135" s="45"/>
      <c r="X135" s="45"/>
      <c r="Y135" s="45" t="str">
        <f>IFERROR(__xludf.DUMMYFUNCTION("""COMPUTED_VALUE"""),"OSDE 410")</f>
        <v>OSDE 410</v>
      </c>
      <c r="Z135" s="7" t="str">
        <f>IFERROR(__xludf.DUMMYFUNCTION("""COMPUTED_VALUE"""),"Si")</f>
        <v>Si</v>
      </c>
      <c r="AA135" s="7" t="str">
        <f>IFERROR(__xludf.DUMMYFUNCTION("""COMPUTED_VALUE"""),"Acepto")</f>
        <v>Acepto</v>
      </c>
      <c r="AB135" s="7" t="str">
        <f>IFERROR(__xludf.DUMMYFUNCTION("""COMPUTED_VALUE"""),"Terminado")</f>
        <v>Terminado</v>
      </c>
      <c r="AC135" s="7">
        <f>IFERROR(__xludf.DUMMYFUNCTION("""COMPUTED_VALUE"""),50000.0)</f>
        <v>50000</v>
      </c>
      <c r="AD135" s="7">
        <f>IFERROR(__xludf.DUMMYFUNCTION("""COMPUTED_VALUE"""),205611.0)</f>
        <v>205611</v>
      </c>
      <c r="AE135" s="45" t="str">
        <f>IFERROR(__xludf.DUMMYFUNCTION("""COMPUTED_VALUE"""),"TRF 09-09")</f>
        <v>TRF 09-09</v>
      </c>
      <c r="AF135" s="7" t="str">
        <f>IFERROR(__xludf.DUMMYFUNCTION("""COMPUTED_VALUE"""),"OK")</f>
        <v>OK</v>
      </c>
      <c r="AG135" s="7"/>
      <c r="AH135" s="7"/>
      <c r="AI135" s="7"/>
    </row>
    <row r="136">
      <c r="B136" s="42">
        <f>IFERROR(__xludf.DUMMYFUNCTION("""COMPUTED_VALUE"""),45544.03219407407)</f>
        <v>45544.03219</v>
      </c>
      <c r="C136" s="7" t="str">
        <f>IFERROR(__xludf.DUMMYFUNCTION("""COMPUTED_VALUE"""),"Celina María")</f>
        <v>Celina María</v>
      </c>
      <c r="D136" s="7" t="str">
        <f>IFERROR(__xludf.DUMMYFUNCTION("""COMPUTED_VALUE"""),"Galeano")</f>
        <v>Galeano</v>
      </c>
      <c r="E136" s="7" t="str">
        <f>IFERROR(__xludf.DUMMYFUNCTION("""COMPUTED_VALUE"""),"CABA")</f>
        <v>CABA</v>
      </c>
      <c r="F136" s="45" t="str">
        <f>IFERROR(__xludf.DUMMYFUNCTION("""COMPUTED_VALUE"""),"ARG")</f>
        <v>ARG</v>
      </c>
      <c r="G136" s="7">
        <f>IFERROR(__xludf.DUMMYFUNCTION("""COMPUTED_VALUE"""),5.0030847E7)</f>
        <v>50030847</v>
      </c>
      <c r="H136" s="44">
        <f>IFERROR(__xludf.DUMMYFUNCTION("""COMPUTED_VALUE"""),40231.0)</f>
        <v>40231</v>
      </c>
      <c r="I136" s="45">
        <f>IFERROR(__xludf.DUMMYFUNCTION("""COMPUTED_VALUE"""),1.559709376E9)</f>
        <v>1559709376</v>
      </c>
      <c r="J136" s="45">
        <f>IFERROR(__xludf.DUMMYFUNCTION("""COMPUTED_VALUE"""),1.559709376E9)</f>
        <v>1559709376</v>
      </c>
      <c r="K136" s="45" t="str">
        <f>IFERROR(__xludf.DUMMYFUNCTION("""COMPUTED_VALUE"""),"jjgaleano1974@gmail.com")</f>
        <v>jjgaleano1974@gmail.com</v>
      </c>
      <c r="L136" s="45" t="str">
        <f>IFERROR(__xludf.DUMMYFUNCTION("""COMPUTED_VALUE"""),"Femenino")</f>
        <v>Femenino</v>
      </c>
      <c r="M136" s="45" t="str">
        <f>IFERROR(__xludf.DUMMYFUNCTION("""COMPUTED_VALUE"""),"CUBA")</f>
        <v>CUBA</v>
      </c>
      <c r="N136" s="45" t="str">
        <f>IFERROR(__xludf.DUMMYFUNCTION("""COMPUTED_VALUE"""),"Femenino")</f>
        <v>Femenino</v>
      </c>
      <c r="O136" s="45" t="str">
        <f>IFERROR(__xludf.DUMMYFUNCTION("""COMPUTED_VALUE"""),"OPTIMIST TIMONELES")</f>
        <v>OPTIMIST TIMONELES</v>
      </c>
      <c r="P136" s="45"/>
      <c r="Q136" s="7">
        <f>IFERROR(__xludf.DUMMYFUNCTION("""COMPUTED_VALUE"""),4123.0)</f>
        <v>4123</v>
      </c>
      <c r="R136" s="45" t="str">
        <f>IFERROR(__xludf.DUMMYFUNCTION("""COMPUTED_VALUE"""),"-")</f>
        <v>-</v>
      </c>
      <c r="S136" s="45"/>
      <c r="T136" s="45"/>
      <c r="U136" s="45"/>
      <c r="V136" s="45"/>
      <c r="W136" s="45"/>
      <c r="X136" s="45"/>
      <c r="Y136" s="45" t="str">
        <f>IFERROR(__xludf.DUMMYFUNCTION("""COMPUTED_VALUE"""),"Obra Social del Poder Judicial. N° 44221/32")</f>
        <v>Obra Social del Poder Judicial. N° 44221/32</v>
      </c>
      <c r="Z136" s="7" t="str">
        <f>IFERROR(__xludf.DUMMYFUNCTION("""COMPUTED_VALUE"""),"Si")</f>
        <v>Si</v>
      </c>
      <c r="AA136" s="7" t="str">
        <f>IFERROR(__xludf.DUMMYFUNCTION("""COMPUTED_VALUE"""),"Acepto")</f>
        <v>Acepto</v>
      </c>
      <c r="AB136" s="7" t="str">
        <f>IFERROR(__xludf.DUMMYFUNCTION("""COMPUTED_VALUE"""),"Terminado")</f>
        <v>Terminado</v>
      </c>
      <c r="AC136" s="7">
        <f>IFERROR(__xludf.DUMMYFUNCTION("""COMPUTED_VALUE"""),50000.0)</f>
        <v>50000</v>
      </c>
      <c r="AD136" s="7">
        <f>IFERROR(__xludf.DUMMYFUNCTION("""COMPUTED_VALUE"""),205613.0)</f>
        <v>205613</v>
      </c>
      <c r="AE136" s="45" t="str">
        <f>IFERROR(__xludf.DUMMYFUNCTION("""COMPUTED_VALUE"""),"TRF 09-09")</f>
        <v>TRF 09-09</v>
      </c>
      <c r="AF136" s="7" t="str">
        <f>IFERROR(__xludf.DUMMYFUNCTION("""COMPUTED_VALUE"""),"OK")</f>
        <v>OK</v>
      </c>
      <c r="AG136" s="7"/>
      <c r="AH136" s="7"/>
      <c r="AI136" s="7"/>
    </row>
    <row r="137">
      <c r="B137" s="42">
        <f>IFERROR(__xludf.DUMMYFUNCTION("""COMPUTED_VALUE"""),45544.25686517361)</f>
        <v>45544.25687</v>
      </c>
      <c r="C137" s="7" t="str">
        <f>IFERROR(__xludf.DUMMYFUNCTION("""COMPUTED_VALUE"""),"Micaela")</f>
        <v>Micaela</v>
      </c>
      <c r="D137" s="7" t="str">
        <f>IFERROR(__xludf.DUMMYFUNCTION("""COMPUTED_VALUE"""),"Finsterbusch")</f>
        <v>Finsterbusch</v>
      </c>
      <c r="E137" s="7" t="str">
        <f>IFERROR(__xludf.DUMMYFUNCTION("""COMPUTED_VALUE"""),"Buenos Aires")</f>
        <v>Buenos Aires</v>
      </c>
      <c r="F137" s="45" t="str">
        <f>IFERROR(__xludf.DUMMYFUNCTION("""COMPUTED_VALUE"""),"ARG")</f>
        <v>ARG</v>
      </c>
      <c r="G137" s="7">
        <f>IFERROR(__xludf.DUMMYFUNCTION("""COMPUTED_VALUE"""),5.0869078E7)</f>
        <v>50869078</v>
      </c>
      <c r="H137" s="44">
        <f>IFERROR(__xludf.DUMMYFUNCTION("""COMPUTED_VALUE"""),40871.0)</f>
        <v>40871</v>
      </c>
      <c r="I137" s="45">
        <f>IFERROR(__xludf.DUMMYFUNCTION("""COMPUTED_VALUE"""),1.532103308E9)</f>
        <v>1532103308</v>
      </c>
      <c r="J137" s="45">
        <f>IFERROR(__xludf.DUMMYFUNCTION("""COMPUTED_VALUE"""),1.532103308E9)</f>
        <v>1532103308</v>
      </c>
      <c r="K137" s="45" t="str">
        <f>IFERROR(__xludf.DUMMYFUNCTION("""COMPUTED_VALUE"""),"Robuenaventura78@gmail.com")</f>
        <v>Robuenaventura78@gmail.com</v>
      </c>
      <c r="L137" s="45" t="str">
        <f>IFERROR(__xludf.DUMMYFUNCTION("""COMPUTED_VALUE"""),"Femenino")</f>
        <v>Femenino</v>
      </c>
      <c r="M137" s="45" t="str">
        <f>IFERROR(__xludf.DUMMYFUNCTION("""COMPUTED_VALUE"""),"CVSI")</f>
        <v>CVSI</v>
      </c>
      <c r="N137" s="45" t="str">
        <f>IFERROR(__xludf.DUMMYFUNCTION("""COMPUTED_VALUE"""),"Femenino")</f>
        <v>Femenino</v>
      </c>
      <c r="O137" s="45" t="str">
        <f>IFERROR(__xludf.DUMMYFUNCTION("""COMPUTED_VALUE"""),"OPTIMIST TIMONELES")</f>
        <v>OPTIMIST TIMONELES</v>
      </c>
      <c r="P137" s="45"/>
      <c r="Q137" s="7">
        <f>IFERROR(__xludf.DUMMYFUNCTION("""COMPUTED_VALUE"""),4153.0)</f>
        <v>4153</v>
      </c>
      <c r="R137" s="45"/>
      <c r="S137" s="45"/>
      <c r="T137" s="45"/>
      <c r="U137" s="45"/>
      <c r="V137" s="45"/>
      <c r="W137" s="45"/>
      <c r="X137" s="45"/>
      <c r="Y137" s="45" t="str">
        <f>IFERROR(__xludf.DUMMYFUNCTION("""COMPUTED_VALUE"""),"OSDE")</f>
        <v>OSDE</v>
      </c>
      <c r="Z137" s="7" t="str">
        <f>IFERROR(__xludf.DUMMYFUNCTION("""COMPUTED_VALUE"""),"Si")</f>
        <v>Si</v>
      </c>
      <c r="AA137" s="7" t="str">
        <f>IFERROR(__xludf.DUMMYFUNCTION("""COMPUTED_VALUE"""),"Acepto")</f>
        <v>Acepto</v>
      </c>
      <c r="AB137" s="7" t="str">
        <f>IFERROR(__xludf.DUMMYFUNCTION("""COMPUTED_VALUE"""),"Terminado")</f>
        <v>Terminado</v>
      </c>
      <c r="AC137" s="7">
        <f>IFERROR(__xludf.DUMMYFUNCTION("""COMPUTED_VALUE"""),50000.0)</f>
        <v>50000</v>
      </c>
      <c r="AD137" s="7">
        <f>IFERROR(__xludf.DUMMYFUNCTION("""COMPUTED_VALUE"""),205625.0)</f>
        <v>205625</v>
      </c>
      <c r="AE137" s="45" t="str">
        <f>IFERROR(__xludf.DUMMYFUNCTION("""COMPUTED_VALUE"""),"TRF 09-09")</f>
        <v>TRF 09-09</v>
      </c>
      <c r="AF137" s="7" t="str">
        <f>IFERROR(__xludf.DUMMYFUNCTION("""COMPUTED_VALUE"""),"OK")</f>
        <v>OK</v>
      </c>
      <c r="AG137" s="7"/>
      <c r="AH137" s="7"/>
      <c r="AI137" s="7"/>
    </row>
    <row r="138">
      <c r="B138" s="42">
        <f>IFERROR(__xludf.DUMMYFUNCTION("""COMPUTED_VALUE"""),45544.3539521875)</f>
        <v>45544.35395</v>
      </c>
      <c r="C138" s="7" t="str">
        <f>IFERROR(__xludf.DUMMYFUNCTION("""COMPUTED_VALUE"""),"Matias")</f>
        <v>Matias</v>
      </c>
      <c r="D138" s="7" t="str">
        <f>IFERROR(__xludf.DUMMYFUNCTION("""COMPUTED_VALUE"""),"Jochoian ")</f>
        <v>Jochoian </v>
      </c>
      <c r="E138" s="7" t="str">
        <f>IFERROR(__xludf.DUMMYFUNCTION("""COMPUTED_VALUE"""),"Escobar ")</f>
        <v>Escobar </v>
      </c>
      <c r="F138" s="45" t="str">
        <f>IFERROR(__xludf.DUMMYFUNCTION("""COMPUTED_VALUE"""),"ARG")</f>
        <v>ARG</v>
      </c>
      <c r="G138" s="7">
        <f>IFERROR(__xludf.DUMMYFUNCTION("""COMPUTED_VALUE"""),5.0805496E7)</f>
        <v>50805496</v>
      </c>
      <c r="H138" s="44">
        <f>IFERROR(__xludf.DUMMYFUNCTION("""COMPUTED_VALUE"""),40564.0)</f>
        <v>40564</v>
      </c>
      <c r="I138" s="45">
        <f>IFERROR(__xludf.DUMMYFUNCTION("""COMPUTED_VALUE"""),1.168046314E9)</f>
        <v>1168046314</v>
      </c>
      <c r="J138" s="45">
        <f>IFERROR(__xludf.DUMMYFUNCTION("""COMPUTED_VALUE"""),1.15052599E9)</f>
        <v>1150525990</v>
      </c>
      <c r="K138" s="45" t="str">
        <f>IFERROR(__xludf.DUMMYFUNCTION("""COMPUTED_VALUE"""),"alejochoian@gmail.com")</f>
        <v>alejochoian@gmail.com</v>
      </c>
      <c r="L138" s="45" t="str">
        <f>IFERROR(__xludf.DUMMYFUNCTION("""COMPUTED_VALUE"""),"Masculino")</f>
        <v>Masculino</v>
      </c>
      <c r="M138" s="45" t="str">
        <f>IFERROR(__xludf.DUMMYFUNCTION("""COMPUTED_VALUE"""),"YCA")</f>
        <v>YCA</v>
      </c>
      <c r="N138" s="45" t="str">
        <f>IFERROR(__xludf.DUMMYFUNCTION("""COMPUTED_VALUE"""),"Interior (Optimist)")</f>
        <v>Interior (Optimist)</v>
      </c>
      <c r="O138" s="45" t="str">
        <f>IFERROR(__xludf.DUMMYFUNCTION("""COMPUTED_VALUE"""),"OPTIMIST TIMONELES")</f>
        <v>OPTIMIST TIMONELES</v>
      </c>
      <c r="P138" s="45"/>
      <c r="Q138" s="7">
        <f>IFERROR(__xludf.DUMMYFUNCTION("""COMPUTED_VALUE"""),4121.0)</f>
        <v>4121</v>
      </c>
      <c r="R138" s="45" t="str">
        <f>IFERROR(__xludf.DUMMYFUNCTION("""COMPUTED_VALUE"""),"ARG 4121")</f>
        <v>ARG 4121</v>
      </c>
      <c r="S138" s="45"/>
      <c r="T138" s="45"/>
      <c r="U138" s="45"/>
      <c r="V138" s="45"/>
      <c r="W138" s="45"/>
      <c r="X138" s="45"/>
      <c r="Y138" s="45" t="str">
        <f>IFERROR(__xludf.DUMMYFUNCTION("""COMPUTED_VALUE"""),"Swiss medical 800006148402204")</f>
        <v>Swiss medical 800006148402204</v>
      </c>
      <c r="Z138" s="7" t="str">
        <f>IFERROR(__xludf.DUMMYFUNCTION("""COMPUTED_VALUE"""),"No")</f>
        <v>No</v>
      </c>
      <c r="AA138" s="7" t="str">
        <f>IFERROR(__xludf.DUMMYFUNCTION("""COMPUTED_VALUE"""),"Acepto")</f>
        <v>Acepto</v>
      </c>
      <c r="AB138" s="7" t="str">
        <f>IFERROR(__xludf.DUMMYFUNCTION("""COMPUTED_VALUE"""),"Terminado")</f>
        <v>Terminado</v>
      </c>
      <c r="AC138" s="7">
        <f>IFERROR(__xludf.DUMMYFUNCTION("""COMPUTED_VALUE"""),50000.0)</f>
        <v>50000</v>
      </c>
      <c r="AD138" s="7">
        <f>IFERROR(__xludf.DUMMYFUNCTION("""COMPUTED_VALUE"""),205624.0)</f>
        <v>205624</v>
      </c>
      <c r="AE138" s="45" t="str">
        <f>IFERROR(__xludf.DUMMYFUNCTION("""COMPUTED_VALUE"""),"TRF 09-09")</f>
        <v>TRF 09-09</v>
      </c>
      <c r="AF138" s="7" t="str">
        <f>IFERROR(__xludf.DUMMYFUNCTION("""COMPUTED_VALUE"""),"OK")</f>
        <v>OK</v>
      </c>
      <c r="AG138" s="7"/>
      <c r="AH138" s="7"/>
      <c r="AI138" s="7"/>
    </row>
    <row r="139">
      <c r="B139" s="42">
        <f>IFERROR(__xludf.DUMMYFUNCTION("""COMPUTED_VALUE"""),45544.36892123843)</f>
        <v>45544.36892</v>
      </c>
      <c r="C139" s="7" t="str">
        <f>IFERROR(__xludf.DUMMYFUNCTION("""COMPUTED_VALUE"""),"MATEO")</f>
        <v>MATEO</v>
      </c>
      <c r="D139" s="7" t="str">
        <f>IFERROR(__xludf.DUMMYFUNCTION("""COMPUTED_VALUE"""),"DURAÑONA ")</f>
        <v>DURAÑONA </v>
      </c>
      <c r="E139" s="7" t="str">
        <f>IFERROR(__xludf.DUMMYFUNCTION("""COMPUTED_VALUE"""),"Boulogne")</f>
        <v>Boulogne</v>
      </c>
      <c r="F139" s="45" t="str">
        <f>IFERROR(__xludf.DUMMYFUNCTION("""COMPUTED_VALUE"""),"ARG")</f>
        <v>ARG</v>
      </c>
      <c r="G139" s="7">
        <f>IFERROR(__xludf.DUMMYFUNCTION("""COMPUTED_VALUE"""),5.015553E7)</f>
        <v>50155530</v>
      </c>
      <c r="H139" s="44">
        <f>IFERROR(__xludf.DUMMYFUNCTION("""COMPUTED_VALUE"""),40218.0)</f>
        <v>40218</v>
      </c>
      <c r="I139" s="45">
        <f>IFERROR(__xludf.DUMMYFUNCTION("""COMPUTED_VALUE"""),1.140276302E9)</f>
        <v>1140276302</v>
      </c>
      <c r="J139" s="45">
        <f>IFERROR(__xludf.DUMMYFUNCTION("""COMPUTED_VALUE"""),1.140276303E9)</f>
        <v>1140276303</v>
      </c>
      <c r="K139" s="45" t="str">
        <f>IFERROR(__xludf.DUMMYFUNCTION("""COMPUTED_VALUE"""),"fduranonav@gmail.com")</f>
        <v>fduranonav@gmail.com</v>
      </c>
      <c r="L139" s="45" t="str">
        <f>IFERROR(__xludf.DUMMYFUNCTION("""COMPUTED_VALUE"""),"Masculino")</f>
        <v>Masculino</v>
      </c>
      <c r="M139" s="45" t="str">
        <f>IFERROR(__xludf.DUMMYFUNCTION("""COMPUTED_VALUE"""),"YCA")</f>
        <v>YCA</v>
      </c>
      <c r="N139" s="45"/>
      <c r="O139" s="45" t="str">
        <f>IFERROR(__xludf.DUMMYFUNCTION("""COMPUTED_VALUE"""),"OPTIMIST TIMONELES")</f>
        <v>OPTIMIST TIMONELES</v>
      </c>
      <c r="P139" s="45"/>
      <c r="Q139" s="7">
        <f>IFERROR(__xludf.DUMMYFUNCTION("""COMPUTED_VALUE"""),3891.0)</f>
        <v>3891</v>
      </c>
      <c r="R139" s="45"/>
      <c r="S139" s="45"/>
      <c r="T139" s="45"/>
      <c r="U139" s="45"/>
      <c r="V139" s="45"/>
      <c r="W139" s="45"/>
      <c r="X139" s="45"/>
      <c r="Y139" s="45">
        <f>IFERROR(__xludf.DUMMYFUNCTION("""COMPUTED_VALUE"""),6.2184993503E10)</f>
        <v>62184993503</v>
      </c>
      <c r="Z139" s="7" t="str">
        <f>IFERROR(__xludf.DUMMYFUNCTION("""COMPUTED_VALUE"""),"No")</f>
        <v>No</v>
      </c>
      <c r="AA139" s="7" t="str">
        <f>IFERROR(__xludf.DUMMYFUNCTION("""COMPUTED_VALUE"""),"Acepto")</f>
        <v>Acepto</v>
      </c>
      <c r="AB139" s="7" t="str">
        <f>IFERROR(__xludf.DUMMYFUNCTION("""COMPUTED_VALUE"""),"Terminado")</f>
        <v>Terminado</v>
      </c>
      <c r="AC139" s="7">
        <f>IFERROR(__xludf.DUMMYFUNCTION("""COMPUTED_VALUE"""),50000.0)</f>
        <v>50000</v>
      </c>
      <c r="AD139" s="7">
        <f>IFERROR(__xludf.DUMMYFUNCTION("""COMPUTED_VALUE"""),205640.0)</f>
        <v>205640</v>
      </c>
      <c r="AE139" s="45" t="str">
        <f>IFERROR(__xludf.DUMMYFUNCTION("""COMPUTED_VALUE"""),"TRF 09-09")</f>
        <v>TRF 09-09</v>
      </c>
      <c r="AF139" s="7" t="str">
        <f>IFERROR(__xludf.DUMMYFUNCTION("""COMPUTED_VALUE"""),"OK")</f>
        <v>OK</v>
      </c>
      <c r="AG139" s="7"/>
      <c r="AH139" s="7"/>
      <c r="AI139" s="7"/>
    </row>
    <row r="140">
      <c r="B140" s="42">
        <f>IFERROR(__xludf.DUMMYFUNCTION("""COMPUTED_VALUE"""),45544.50813341435)</f>
        <v>45544.50813</v>
      </c>
      <c r="C140" s="7" t="str">
        <f>IFERROR(__xludf.DUMMYFUNCTION("""COMPUTED_VALUE"""),"Titi ")</f>
        <v>Titi </v>
      </c>
      <c r="D140" s="7" t="str">
        <f>IFERROR(__xludf.DUMMYFUNCTION("""COMPUTED_VALUE"""),"Korendij")</f>
        <v>Korendij</v>
      </c>
      <c r="E140" s="7" t="str">
        <f>IFERROR(__xludf.DUMMYFUNCTION("""COMPUTED_VALUE"""),"Capital Federal ")</f>
        <v>Capital Federal </v>
      </c>
      <c r="F140" s="45" t="str">
        <f>IFERROR(__xludf.DUMMYFUNCTION("""COMPUTED_VALUE"""),"ARG")</f>
        <v>ARG</v>
      </c>
      <c r="G140" s="7">
        <f>IFERROR(__xludf.DUMMYFUNCTION("""COMPUTED_VALUE"""),5.2958381E7)</f>
        <v>52958381</v>
      </c>
      <c r="H140" s="44">
        <f>IFERROR(__xludf.DUMMYFUNCTION("""COMPUTED_VALUE"""),41310.0)</f>
        <v>41310</v>
      </c>
      <c r="I140" s="45" t="str">
        <f>IFERROR(__xludf.DUMMYFUNCTION("""COMPUTED_VALUE"""),"+5491132719080")</f>
        <v>+5491132719080</v>
      </c>
      <c r="J140" s="45" t="str">
        <f>IFERROR(__xludf.DUMMYFUNCTION("""COMPUTED_VALUE"""),"+5491149749379")</f>
        <v>+5491149749379</v>
      </c>
      <c r="K140" s="45" t="str">
        <f>IFERROR(__xludf.DUMMYFUNCTION("""COMPUTED_VALUE"""),"xfermin@yahoo.com.ar")</f>
        <v>xfermin@yahoo.com.ar</v>
      </c>
      <c r="L140" s="45" t="str">
        <f>IFERROR(__xludf.DUMMYFUNCTION("""COMPUTED_VALUE"""),"Masculino")</f>
        <v>Masculino</v>
      </c>
      <c r="M140" s="45" t="str">
        <f>IFERROR(__xludf.DUMMYFUNCTION("""COMPUTED_VALUE"""),"CVSI")</f>
        <v>CVSI</v>
      </c>
      <c r="N140" s="45" t="str">
        <f>IFERROR(__xludf.DUMMYFUNCTION("""COMPUTED_VALUE"""),"Femenino")</f>
        <v>Femenino</v>
      </c>
      <c r="O140" s="45" t="str">
        <f>IFERROR(__xludf.DUMMYFUNCTION("""COMPUTED_VALUE"""),"OPTIMIST TIMONELES")</f>
        <v>OPTIMIST TIMONELES</v>
      </c>
      <c r="P140" s="45"/>
      <c r="Q140" s="7">
        <f>IFERROR(__xludf.DUMMYFUNCTION("""COMPUTED_VALUE"""),4098.0)</f>
        <v>4098</v>
      </c>
      <c r="R140" s="45"/>
      <c r="S140" s="45"/>
      <c r="T140" s="45"/>
      <c r="U140" s="45"/>
      <c r="V140" s="45"/>
      <c r="W140" s="45"/>
      <c r="X140" s="45"/>
      <c r="Y140" s="45" t="str">
        <f>IFERROR(__xludf.DUMMYFUNCTION("""COMPUTED_VALUE"""),"OSDE ")</f>
        <v>OSDE </v>
      </c>
      <c r="Z140" s="7" t="str">
        <f>IFERROR(__xludf.DUMMYFUNCTION("""COMPUTED_VALUE"""),"No")</f>
        <v>No</v>
      </c>
      <c r="AA140" s="7" t="str">
        <f>IFERROR(__xludf.DUMMYFUNCTION("""COMPUTED_VALUE"""),"Acepto")</f>
        <v>Acepto</v>
      </c>
      <c r="AB140" s="7" t="str">
        <f>IFERROR(__xludf.DUMMYFUNCTION("""COMPUTED_VALUE"""),"Terminado")</f>
        <v>Terminado</v>
      </c>
      <c r="AC140" s="7">
        <f>IFERROR(__xludf.DUMMYFUNCTION("""COMPUTED_VALUE"""),50000.0)</f>
        <v>50000</v>
      </c>
      <c r="AD140" s="7">
        <f>IFERROR(__xludf.DUMMYFUNCTION("""COMPUTED_VALUE"""),205619.0)</f>
        <v>205619</v>
      </c>
      <c r="AE140" s="45" t="str">
        <f>IFERROR(__xludf.DUMMYFUNCTION("""COMPUTED_VALUE"""),"TRF 09-09")</f>
        <v>TRF 09-09</v>
      </c>
      <c r="AF140" s="7" t="str">
        <f>IFERROR(__xludf.DUMMYFUNCTION("""COMPUTED_VALUE"""),"OK")</f>
        <v>OK</v>
      </c>
      <c r="AG140" s="7"/>
    </row>
    <row r="141">
      <c r="B141" s="42">
        <f>IFERROR(__xludf.DUMMYFUNCTION("""COMPUTED_VALUE"""),45544.51797079861)</f>
        <v>45544.51797</v>
      </c>
      <c r="C141" s="7" t="str">
        <f>IFERROR(__xludf.DUMMYFUNCTION("""COMPUTED_VALUE"""),"Galo")</f>
        <v>Galo</v>
      </c>
      <c r="D141" s="7" t="str">
        <f>IFERROR(__xludf.DUMMYFUNCTION("""COMPUTED_VALUE"""),"Serafini")</f>
        <v>Serafini</v>
      </c>
      <c r="E141" s="7" t="str">
        <f>IFERROR(__xludf.DUMMYFUNCTION("""COMPUTED_VALUE"""),"Rosario")</f>
        <v>Rosario</v>
      </c>
      <c r="F141" s="45" t="str">
        <f>IFERROR(__xludf.DUMMYFUNCTION("""COMPUTED_VALUE"""),"ARG")</f>
        <v>ARG</v>
      </c>
      <c r="G141" s="7">
        <f>IFERROR(__xludf.DUMMYFUNCTION("""COMPUTED_VALUE"""),5.119331E7)</f>
        <v>51193310</v>
      </c>
      <c r="H141" s="44">
        <f>IFERROR(__xludf.DUMMYFUNCTION("""COMPUTED_VALUE"""),40681.0)</f>
        <v>40681</v>
      </c>
      <c r="I141" s="45">
        <f>IFERROR(__xludf.DUMMYFUNCTION("""COMPUTED_VALUE"""),3.415147919E9)</f>
        <v>3415147919</v>
      </c>
      <c r="J141" s="45">
        <f>IFERROR(__xludf.DUMMYFUNCTION("""COMPUTED_VALUE"""),3.412158945E9)</f>
        <v>3412158945</v>
      </c>
      <c r="K141" s="45" t="str">
        <f>IFERROR(__xludf.DUMMYFUNCTION("""COMPUTED_VALUE"""),"alejandraraineri78@gmail.com")</f>
        <v>alejandraraineri78@gmail.com</v>
      </c>
      <c r="L141" s="45" t="str">
        <f>IFERROR(__xludf.DUMMYFUNCTION("""COMPUTED_VALUE"""),"Masculino")</f>
        <v>Masculino</v>
      </c>
      <c r="M141" s="45" t="str">
        <f>IFERROR(__xludf.DUMMYFUNCTION("""COMPUTED_VALUE"""),"CVR")</f>
        <v>CVR</v>
      </c>
      <c r="N141" s="45" t="str">
        <f>IFERROR(__xludf.DUMMYFUNCTION("""COMPUTED_VALUE"""),"Interior (Optimist)")</f>
        <v>Interior (Optimist)</v>
      </c>
      <c r="O141" s="45" t="str">
        <f>IFERROR(__xludf.DUMMYFUNCTION("""COMPUTED_VALUE"""),"OPTIMIST TIMONELES")</f>
        <v>OPTIMIST TIMONELES</v>
      </c>
      <c r="P141" s="45"/>
      <c r="Q141" s="7">
        <f>IFERROR(__xludf.DUMMYFUNCTION("""COMPUTED_VALUE"""),3718.0)</f>
        <v>3718</v>
      </c>
      <c r="R141" s="45"/>
      <c r="S141" s="45"/>
      <c r="T141" s="45"/>
      <c r="U141" s="45"/>
      <c r="V141" s="45"/>
      <c r="W141" s="45"/>
      <c r="X141" s="45"/>
      <c r="Y141" s="45" t="str">
        <f>IFERROR(__xludf.DUMMYFUNCTION("""COMPUTED_VALUE"""),"IAPOS 51193310")</f>
        <v>IAPOS 51193310</v>
      </c>
      <c r="Z141" s="7" t="str">
        <f>IFERROR(__xludf.DUMMYFUNCTION("""COMPUTED_VALUE"""),"No")</f>
        <v>No</v>
      </c>
      <c r="AA141" s="7" t="str">
        <f>IFERROR(__xludf.DUMMYFUNCTION("""COMPUTED_VALUE"""),"Acepto")</f>
        <v>Acepto</v>
      </c>
      <c r="AB141" s="7" t="str">
        <f>IFERROR(__xludf.DUMMYFUNCTION("""COMPUTED_VALUE"""),"Terminado")</f>
        <v>Terminado</v>
      </c>
      <c r="AC141" s="7">
        <f>IFERROR(__xludf.DUMMYFUNCTION("""COMPUTED_VALUE"""),42500.0)</f>
        <v>42500</v>
      </c>
      <c r="AD141" s="7">
        <f>IFERROR(__xludf.DUMMYFUNCTION("""COMPUTED_VALUE"""),205622.0)</f>
        <v>205622</v>
      </c>
      <c r="AE141" s="45" t="str">
        <f>IFERROR(__xludf.DUMMYFUNCTION("""COMPUTED_VALUE"""),"TRF 09-09")</f>
        <v>TRF 09-09</v>
      </c>
      <c r="AF141" s="7" t="str">
        <f>IFERROR(__xludf.DUMMYFUNCTION("""COMPUTED_VALUE"""),"OK")</f>
        <v>OK</v>
      </c>
      <c r="AG141" s="7"/>
    </row>
    <row r="142">
      <c r="B142" s="42">
        <f>IFERROR(__xludf.DUMMYFUNCTION("""COMPUTED_VALUE"""),45544.55294958333)</f>
        <v>45544.55295</v>
      </c>
      <c r="C142" s="7" t="str">
        <f>IFERROR(__xludf.DUMMYFUNCTION("""COMPUTED_VALUE"""),"Galo")</f>
        <v>Galo</v>
      </c>
      <c r="D142" s="7" t="str">
        <f>IFERROR(__xludf.DUMMYFUNCTION("""COMPUTED_VALUE"""),"Serafini")</f>
        <v>Serafini</v>
      </c>
      <c r="E142" s="7" t="str">
        <f>IFERROR(__xludf.DUMMYFUNCTION("""COMPUTED_VALUE"""),"Rosario")</f>
        <v>Rosario</v>
      </c>
      <c r="F142" s="45" t="str">
        <f>IFERROR(__xludf.DUMMYFUNCTION("""COMPUTED_VALUE"""),"ARG")</f>
        <v>ARG</v>
      </c>
      <c r="G142" s="7">
        <f>IFERROR(__xludf.DUMMYFUNCTION("""COMPUTED_VALUE"""),5.119331E7)</f>
        <v>51193310</v>
      </c>
      <c r="H142" s="44">
        <f>IFERROR(__xludf.DUMMYFUNCTION("""COMPUTED_VALUE"""),40681.0)</f>
        <v>40681</v>
      </c>
      <c r="I142" s="45">
        <f>IFERROR(__xludf.DUMMYFUNCTION("""COMPUTED_VALUE"""),3.415147919E9)</f>
        <v>3415147919</v>
      </c>
      <c r="J142" s="45">
        <f>IFERROR(__xludf.DUMMYFUNCTION("""COMPUTED_VALUE"""),3.412158945E9)</f>
        <v>3412158945</v>
      </c>
      <c r="K142" s="45" t="str">
        <f>IFERROR(__xludf.DUMMYFUNCTION("""COMPUTED_VALUE"""),"alejandraraineri78@gmail.com")</f>
        <v>alejandraraineri78@gmail.com</v>
      </c>
      <c r="L142" s="45" t="str">
        <f>IFERROR(__xludf.DUMMYFUNCTION("""COMPUTED_VALUE"""),"Masculino")</f>
        <v>Masculino</v>
      </c>
      <c r="M142" s="45" t="str">
        <f>IFERROR(__xludf.DUMMYFUNCTION("""COMPUTED_VALUE"""),"CVR")</f>
        <v>CVR</v>
      </c>
      <c r="N142" s="45" t="str">
        <f>IFERROR(__xludf.DUMMYFUNCTION("""COMPUTED_VALUE"""),"Interior (Optimist)")</f>
        <v>Interior (Optimist)</v>
      </c>
      <c r="O142" s="45" t="str">
        <f>IFERROR(__xludf.DUMMYFUNCTION("""COMPUTED_VALUE"""),"OPTIMIST TIMONELES")</f>
        <v>OPTIMIST TIMONELES</v>
      </c>
      <c r="P142" s="45"/>
      <c r="Q142" s="7">
        <f>IFERROR(__xludf.DUMMYFUNCTION("""COMPUTED_VALUE"""),3718.0)</f>
        <v>3718</v>
      </c>
      <c r="R142" s="45"/>
      <c r="S142" s="45"/>
      <c r="T142" s="45"/>
      <c r="U142" s="45"/>
      <c r="V142" s="45"/>
      <c r="W142" s="45"/>
      <c r="X142" s="45"/>
      <c r="Y142" s="45">
        <f>IFERROR(__xludf.DUMMYFUNCTION("""COMPUTED_VALUE"""),5.119331E7)</f>
        <v>51193310</v>
      </c>
      <c r="Z142" s="7" t="str">
        <f>IFERROR(__xludf.DUMMYFUNCTION("""COMPUTED_VALUE"""),"Si")</f>
        <v>Si</v>
      </c>
      <c r="AA142" s="7" t="str">
        <f>IFERROR(__xludf.DUMMYFUNCTION("""COMPUTED_VALUE"""),"Acepto")</f>
        <v>Acepto</v>
      </c>
      <c r="AB142" s="7" t="str">
        <f>IFERROR(__xludf.DUMMYFUNCTION("""COMPUTED_VALUE"""),"Repetido")</f>
        <v>Repetido</v>
      </c>
      <c r="AC142" s="7"/>
      <c r="AD142" s="7"/>
      <c r="AE142" s="45"/>
      <c r="AF142" s="7" t="str">
        <f>IFERROR(__xludf.DUMMYFUNCTION("""COMPUTED_VALUE"""),"OK")</f>
        <v>OK</v>
      </c>
      <c r="AG142" s="7"/>
    </row>
    <row r="143">
      <c r="B143" s="42">
        <f>IFERROR(__xludf.DUMMYFUNCTION("""COMPUTED_VALUE"""),45544.68406986111)</f>
        <v>45544.68407</v>
      </c>
      <c r="C143" s="7" t="str">
        <f>IFERROR(__xludf.DUMMYFUNCTION("""COMPUTED_VALUE"""),"Juany")</f>
        <v>Juany</v>
      </c>
      <c r="D143" s="7" t="str">
        <f>IFERROR(__xludf.DUMMYFUNCTION("""COMPUTED_VALUE"""),"Cernadas")</f>
        <v>Cernadas</v>
      </c>
      <c r="E143" s="7" t="str">
        <f>IFERROR(__xludf.DUMMYFUNCTION("""COMPUTED_VALUE"""),"CABA")</f>
        <v>CABA</v>
      </c>
      <c r="F143" s="45" t="str">
        <f>IFERROR(__xludf.DUMMYFUNCTION("""COMPUTED_VALUE"""),"ARG")</f>
        <v>ARG</v>
      </c>
      <c r="G143" s="7">
        <f>IFERROR(__xludf.DUMMYFUNCTION("""COMPUTED_VALUE"""),5.0438192E7)</f>
        <v>50438192</v>
      </c>
      <c r="H143" s="44">
        <f>IFERROR(__xludf.DUMMYFUNCTION("""COMPUTED_VALUE"""),40409.0)</f>
        <v>40409</v>
      </c>
      <c r="I143" s="45" t="str">
        <f>IFERROR(__xludf.DUMMYFUNCTION("""COMPUTED_VALUE"""),"+5491157395545")</f>
        <v>+5491157395545</v>
      </c>
      <c r="J143" s="45" t="str">
        <f>IFERROR(__xludf.DUMMYFUNCTION("""COMPUTED_VALUE"""),"+5491161224200")</f>
        <v>+5491161224200</v>
      </c>
      <c r="K143" s="45" t="str">
        <f>IFERROR(__xludf.DUMMYFUNCTION("""COMPUTED_VALUE"""),"juanycernadas2010@gmail.com")</f>
        <v>juanycernadas2010@gmail.com</v>
      </c>
      <c r="L143" s="45" t="str">
        <f>IFERROR(__xludf.DUMMYFUNCTION("""COMPUTED_VALUE"""),"Masculino")</f>
        <v>Masculino</v>
      </c>
      <c r="M143" s="45" t="str">
        <f>IFERROR(__xludf.DUMMYFUNCTION("""COMPUTED_VALUE"""),"YCA")</f>
        <v>YCA</v>
      </c>
      <c r="N143" s="45" t="str">
        <f>IFERROR(__xludf.DUMMYFUNCTION("""COMPUTED_VALUE"""),"Interior (Optimist)")</f>
        <v>Interior (Optimist)</v>
      </c>
      <c r="O143" s="45" t="str">
        <f>IFERROR(__xludf.DUMMYFUNCTION("""COMPUTED_VALUE"""),"OPTIMIST TIMONELES")</f>
        <v>OPTIMIST TIMONELES</v>
      </c>
      <c r="P143" s="45" t="str">
        <f>IFERROR(__xludf.DUMMYFUNCTION("""COMPUTED_VALUE"""),"-")</f>
        <v>-</v>
      </c>
      <c r="Q143" s="7">
        <f>IFERROR(__xludf.DUMMYFUNCTION("""COMPUTED_VALUE"""),4048.0)</f>
        <v>4048</v>
      </c>
      <c r="R143" s="45" t="str">
        <f>IFERROR(__xludf.DUMMYFUNCTION("""COMPUTED_VALUE"""),"-")</f>
        <v>-</v>
      </c>
      <c r="S143" s="45" t="str">
        <f>IFERROR(__xludf.DUMMYFUNCTION("""COMPUTED_VALUE"""),"-")</f>
        <v>-</v>
      </c>
      <c r="T143" s="45" t="str">
        <f>IFERROR(__xludf.DUMMYFUNCTION("""COMPUTED_VALUE"""),"-")</f>
        <v>-</v>
      </c>
      <c r="U143" s="45" t="str">
        <f>IFERROR(__xludf.DUMMYFUNCTION("""COMPUTED_VALUE"""),"-")</f>
        <v>-</v>
      </c>
      <c r="V143" s="45" t="str">
        <f>IFERROR(__xludf.DUMMYFUNCTION("""COMPUTED_VALUE"""),"-")</f>
        <v>-</v>
      </c>
      <c r="W143" s="45" t="str">
        <f>IFERROR(__xludf.DUMMYFUNCTION("""COMPUTED_VALUE"""),"-")</f>
        <v>-</v>
      </c>
      <c r="X143" s="45" t="str">
        <f>IFERROR(__xludf.DUMMYFUNCTION("""COMPUTED_VALUE"""),"-")</f>
        <v>-</v>
      </c>
      <c r="Y143" s="45" t="str">
        <f>IFERROR(__xludf.DUMMYFUNCTION("""COMPUTED_VALUE"""),"OSDE")</f>
        <v>OSDE</v>
      </c>
      <c r="Z143" s="7" t="str">
        <f>IFERROR(__xludf.DUMMYFUNCTION("""COMPUTED_VALUE"""),"No")</f>
        <v>No</v>
      </c>
      <c r="AA143" s="7" t="str">
        <f>IFERROR(__xludf.DUMMYFUNCTION("""COMPUTED_VALUE"""),"Acepto")</f>
        <v>Acepto</v>
      </c>
      <c r="AB143" s="7" t="str">
        <f>IFERROR(__xludf.DUMMYFUNCTION("""COMPUTED_VALUE"""),"Pendiente")</f>
        <v>Pendiente</v>
      </c>
      <c r="AC143" s="7"/>
      <c r="AD143" s="7"/>
      <c r="AE143" s="45"/>
      <c r="AF143" s="7" t="str">
        <f>IFERROR(__xludf.DUMMYFUNCTION("""COMPUTED_VALUE"""),"OK")</f>
        <v>OK</v>
      </c>
      <c r="AG143" s="7"/>
    </row>
    <row r="144">
      <c r="B144" s="42">
        <f>IFERROR(__xludf.DUMMYFUNCTION("""COMPUTED_VALUE"""),45544.79371363426)</f>
        <v>45544.79371</v>
      </c>
      <c r="C144" s="7" t="str">
        <f>IFERROR(__xludf.DUMMYFUNCTION("""COMPUTED_VALUE"""),"Gregorio")</f>
        <v>Gregorio</v>
      </c>
      <c r="D144" s="7" t="str">
        <f>IFERROR(__xludf.DUMMYFUNCTION("""COMPUTED_VALUE"""),"Belli")</f>
        <v>Belli</v>
      </c>
      <c r="E144" s="7" t="str">
        <f>IFERROR(__xludf.DUMMYFUNCTION("""COMPUTED_VALUE"""),"Tigre, Buenos Aires")</f>
        <v>Tigre, Buenos Aires</v>
      </c>
      <c r="F144" s="45" t="str">
        <f>IFERROR(__xludf.DUMMYFUNCTION("""COMPUTED_VALUE"""),"ARG")</f>
        <v>ARG</v>
      </c>
      <c r="G144" s="7">
        <f>IFERROR(__xludf.DUMMYFUNCTION("""COMPUTED_VALUE"""),5.0154722E7)</f>
        <v>50154722</v>
      </c>
      <c r="H144" s="44">
        <f>IFERROR(__xludf.DUMMYFUNCTION("""COMPUTED_VALUE"""),40239.0)</f>
        <v>40239</v>
      </c>
      <c r="I144" s="45">
        <f>IFERROR(__xludf.DUMMYFUNCTION("""COMPUTED_VALUE"""),1.161271977E9)</f>
        <v>1161271977</v>
      </c>
      <c r="J144" s="45">
        <f>IFERROR(__xludf.DUMMYFUNCTION("""COMPUTED_VALUE"""),1.161271977E9)</f>
        <v>1161271977</v>
      </c>
      <c r="K144" s="45" t="str">
        <f>IFERROR(__xludf.DUMMYFUNCTION("""COMPUTED_VALUE"""),"diegobelli@yahoo.com")</f>
        <v>diegobelli@yahoo.com</v>
      </c>
      <c r="L144" s="45" t="str">
        <f>IFERROR(__xludf.DUMMYFUNCTION("""COMPUTED_VALUE"""),"Masculino")</f>
        <v>Masculino</v>
      </c>
      <c r="M144" s="45" t="str">
        <f>IFERROR(__xludf.DUMMYFUNCTION("""COMPUTED_VALUE"""),"YCA")</f>
        <v>YCA</v>
      </c>
      <c r="N144" s="45"/>
      <c r="O144" s="45" t="str">
        <f>IFERROR(__xludf.DUMMYFUNCTION("""COMPUTED_VALUE"""),"OPTIMIST TIMONELES")</f>
        <v>OPTIMIST TIMONELES</v>
      </c>
      <c r="P144" s="45"/>
      <c r="Q144" s="7">
        <f>IFERROR(__xludf.DUMMYFUNCTION("""COMPUTED_VALUE"""),4085.0)</f>
        <v>4085</v>
      </c>
      <c r="R144" s="45"/>
      <c r="S144" s="45"/>
      <c r="T144" s="45"/>
      <c r="U144" s="45"/>
      <c r="V144" s="45"/>
      <c r="W144" s="45"/>
      <c r="X144" s="45"/>
      <c r="Y144" s="45" t="str">
        <f>IFERROR(__xludf.DUMMYFUNCTION("""COMPUTED_VALUE"""),"OSDE")</f>
        <v>OSDE</v>
      </c>
      <c r="Z144" s="7" t="str">
        <f>IFERROR(__xludf.DUMMYFUNCTION("""COMPUTED_VALUE"""),"Si")</f>
        <v>Si</v>
      </c>
      <c r="AA144" s="7" t="str">
        <f>IFERROR(__xludf.DUMMYFUNCTION("""COMPUTED_VALUE"""),"Acepto")</f>
        <v>Acepto</v>
      </c>
      <c r="AB144" s="7" t="str">
        <f>IFERROR(__xludf.DUMMYFUNCTION("""COMPUTED_VALUE"""),"Terminado")</f>
        <v>Terminado</v>
      </c>
      <c r="AC144" s="7">
        <f>IFERROR(__xludf.DUMMYFUNCTION("""COMPUTED_VALUE"""),50000.0)</f>
        <v>50000</v>
      </c>
      <c r="AD144" s="7">
        <f>IFERROR(__xludf.DUMMYFUNCTION("""COMPUTED_VALUE"""),205629.0)</f>
        <v>205629</v>
      </c>
      <c r="AE144" s="45" t="str">
        <f>IFERROR(__xludf.DUMMYFUNCTION("""COMPUTED_VALUE"""),"TRF 09-09")</f>
        <v>TRF 09-09</v>
      </c>
      <c r="AF144" s="7" t="str">
        <f>IFERROR(__xludf.DUMMYFUNCTION("""COMPUTED_VALUE"""),"OK")</f>
        <v>OK</v>
      </c>
      <c r="AG144" s="7"/>
    </row>
    <row r="145">
      <c r="B145" s="42">
        <f>IFERROR(__xludf.DUMMYFUNCTION("""COMPUTED_VALUE"""),45544.79940255787)</f>
        <v>45544.7994</v>
      </c>
      <c r="C145" s="7" t="str">
        <f>IFERROR(__xludf.DUMMYFUNCTION("""COMPUTED_VALUE"""),"Federico ")</f>
        <v>Federico </v>
      </c>
      <c r="D145" s="7" t="str">
        <f>IFERROR(__xludf.DUMMYFUNCTION("""COMPUTED_VALUE"""),"Hormaiztegui ")</f>
        <v>Hormaiztegui </v>
      </c>
      <c r="E145" s="7" t="str">
        <f>IFERROR(__xludf.DUMMYFUNCTION("""COMPUTED_VALUE"""),"Entre rios")</f>
        <v>Entre rios</v>
      </c>
      <c r="F145" s="45" t="str">
        <f>IFERROR(__xludf.DUMMYFUNCTION("""COMPUTED_VALUE"""),"ARG")</f>
        <v>ARG</v>
      </c>
      <c r="G145" s="7">
        <f>IFERROR(__xludf.DUMMYFUNCTION("""COMPUTED_VALUE"""),4.951085E7)</f>
        <v>49510850</v>
      </c>
      <c r="H145" s="44">
        <f>IFERROR(__xludf.DUMMYFUNCTION("""COMPUTED_VALUE"""),39950.0)</f>
        <v>39950</v>
      </c>
      <c r="I145" s="45" t="str">
        <f>IFERROR(__xludf.DUMMYFUNCTION("""COMPUTED_VALUE"""),"3442 643084")</f>
        <v>3442 643084</v>
      </c>
      <c r="J145" s="45">
        <f>IFERROR(__xludf.DUMMYFUNCTION("""COMPUTED_VALUE"""),3.442643084E9)</f>
        <v>3442643084</v>
      </c>
      <c r="K145" s="45" t="str">
        <f>IFERROR(__xludf.DUMMYFUNCTION("""COMPUTED_VALUE"""),"Jorgehormaiztegui@gmail.com")</f>
        <v>Jorgehormaiztegui@gmail.com</v>
      </c>
      <c r="L145" s="45" t="str">
        <f>IFERROR(__xludf.DUMMYFUNCTION("""COMPUTED_VALUE"""),"Masculino")</f>
        <v>Masculino</v>
      </c>
      <c r="M145" s="45" t="str">
        <f>IFERROR(__xludf.DUMMYFUNCTION("""COMPUTED_VALUE"""),"CNP")</f>
        <v>CNP</v>
      </c>
      <c r="N145" s="45" t="str">
        <f>IFERROR(__xludf.DUMMYFUNCTION("""COMPUTED_VALUE"""),"Interior (Optimist)")</f>
        <v>Interior (Optimist)</v>
      </c>
      <c r="O145" s="45" t="str">
        <f>IFERROR(__xludf.DUMMYFUNCTION("""COMPUTED_VALUE"""),"OPTIMIST TIMONELES")</f>
        <v>OPTIMIST TIMONELES</v>
      </c>
      <c r="P145" s="45"/>
      <c r="Q145" s="7" t="str">
        <f>IFERROR(__xludf.DUMMYFUNCTION("""COMPUTED_VALUE"""),"ARG4015")</f>
        <v>ARG4015</v>
      </c>
      <c r="R145" s="45"/>
      <c r="S145" s="45"/>
      <c r="T145" s="45"/>
      <c r="U145" s="45"/>
      <c r="V145" s="45"/>
      <c r="W145" s="45"/>
      <c r="X145" s="45"/>
      <c r="Y145" s="45" t="str">
        <f>IFERROR(__xludf.DUMMYFUNCTION("""COMPUTED_VALUE"""),"Ospe")</f>
        <v>Ospe</v>
      </c>
      <c r="Z145" s="7" t="str">
        <f>IFERROR(__xludf.DUMMYFUNCTION("""COMPUTED_VALUE"""),"Si")</f>
        <v>Si</v>
      </c>
      <c r="AA145" s="7" t="str">
        <f>IFERROR(__xludf.DUMMYFUNCTION("""COMPUTED_VALUE"""),"Acepto")</f>
        <v>Acepto</v>
      </c>
      <c r="AB145" s="7" t="str">
        <f>IFERROR(__xludf.DUMMYFUNCTION("""COMPUTED_VALUE"""),"Pendiente")</f>
        <v>Pendiente</v>
      </c>
      <c r="AC145" s="7"/>
      <c r="AD145" s="7"/>
      <c r="AE145" s="45"/>
      <c r="AF145" s="7" t="str">
        <f>IFERROR(__xludf.DUMMYFUNCTION("""COMPUTED_VALUE"""),"OK")</f>
        <v>OK</v>
      </c>
      <c r="AG145" s="7"/>
    </row>
    <row r="146">
      <c r="B146" s="42">
        <f>IFERROR(__xludf.DUMMYFUNCTION("""COMPUTED_VALUE"""),45544.90473405093)</f>
        <v>45544.90473</v>
      </c>
      <c r="C146" s="7" t="str">
        <f>IFERROR(__xludf.DUMMYFUNCTION("""COMPUTED_VALUE"""),"Lucia")</f>
        <v>Lucia</v>
      </c>
      <c r="D146" s="7" t="str">
        <f>IFERROR(__xludf.DUMMYFUNCTION("""COMPUTED_VALUE"""),"Romero")</f>
        <v>Romero</v>
      </c>
      <c r="E146" s="7" t="str">
        <f>IFERROR(__xludf.DUMMYFUNCTION("""COMPUTED_VALUE"""),"Buenos Aires")</f>
        <v>Buenos Aires</v>
      </c>
      <c r="F146" s="45" t="str">
        <f>IFERROR(__xludf.DUMMYFUNCTION("""COMPUTED_VALUE"""),"ARG")</f>
        <v>ARG</v>
      </c>
      <c r="G146" s="7">
        <f>IFERROR(__xludf.DUMMYFUNCTION("""COMPUTED_VALUE"""),5.0233618E7)</f>
        <v>50233618</v>
      </c>
      <c r="H146" s="44">
        <f>IFERROR(__xludf.DUMMYFUNCTION("""COMPUTED_VALUE"""),40243.0)</f>
        <v>40243</v>
      </c>
      <c r="I146" s="45">
        <f>IFERROR(__xludf.DUMMYFUNCTION("""COMPUTED_VALUE"""),5.41169786563E11)</f>
        <v>541169786563</v>
      </c>
      <c r="J146" s="45">
        <f>IFERROR(__xludf.DUMMYFUNCTION("""COMPUTED_VALUE"""),5.41169786563E11)</f>
        <v>541169786563</v>
      </c>
      <c r="K146" s="45" t="str">
        <f>IFERROR(__xludf.DUMMYFUNCTION("""COMPUTED_VALUE"""),"tana_oxilia@yahoo.com")</f>
        <v>tana_oxilia@yahoo.com</v>
      </c>
      <c r="L146" s="45" t="str">
        <f>IFERROR(__xludf.DUMMYFUNCTION("""COMPUTED_VALUE"""),"Femenino")</f>
        <v>Femenino</v>
      </c>
      <c r="M146" s="45" t="str">
        <f>IFERROR(__xludf.DUMMYFUNCTION("""COMPUTED_VALUE"""),"CUBA")</f>
        <v>CUBA</v>
      </c>
      <c r="N146" s="45" t="str">
        <f>IFERROR(__xludf.DUMMYFUNCTION("""COMPUTED_VALUE"""),"Femenino")</f>
        <v>Femenino</v>
      </c>
      <c r="O146" s="45" t="str">
        <f>IFERROR(__xludf.DUMMYFUNCTION("""COMPUTED_VALUE"""),"OPTIMIST TIMONELES")</f>
        <v>OPTIMIST TIMONELES</v>
      </c>
      <c r="P146" s="45"/>
      <c r="Q146" s="7">
        <f>IFERROR(__xludf.DUMMYFUNCTION("""COMPUTED_VALUE"""),4040.0)</f>
        <v>4040</v>
      </c>
      <c r="R146" s="45"/>
      <c r="S146" s="45"/>
      <c r="T146" s="45"/>
      <c r="U146" s="45"/>
      <c r="V146" s="45"/>
      <c r="W146" s="45"/>
      <c r="X146" s="45"/>
      <c r="Y146" s="45" t="str">
        <f>IFERROR(__xludf.DUMMYFUNCTION("""COMPUTED_VALUE"""),"OMINT")</f>
        <v>OMINT</v>
      </c>
      <c r="Z146" s="7" t="str">
        <f>IFERROR(__xludf.DUMMYFUNCTION("""COMPUTED_VALUE"""),"Si")</f>
        <v>Si</v>
      </c>
      <c r="AA146" s="7" t="str">
        <f>IFERROR(__xludf.DUMMYFUNCTION("""COMPUTED_VALUE"""),"Acepto")</f>
        <v>Acepto</v>
      </c>
      <c r="AB146" s="7" t="str">
        <f>IFERROR(__xludf.DUMMYFUNCTION("""COMPUTED_VALUE"""),"Terminado")</f>
        <v>Terminado</v>
      </c>
      <c r="AC146" s="7">
        <f>IFERROR(__xludf.DUMMYFUNCTION("""COMPUTED_VALUE"""),50000.0)</f>
        <v>50000</v>
      </c>
      <c r="AD146" s="7">
        <f>IFERROR(__xludf.DUMMYFUNCTION("""COMPUTED_VALUE"""),205647.0)</f>
        <v>205647</v>
      </c>
      <c r="AE146" s="45" t="str">
        <f>IFERROR(__xludf.DUMMYFUNCTION("""COMPUTED_VALUE"""),"TRF 10-09")</f>
        <v>TRF 10-09</v>
      </c>
      <c r="AF146" s="7" t="str">
        <f>IFERROR(__xludf.DUMMYFUNCTION("""COMPUTED_VALUE"""),"Ok")</f>
        <v>Ok</v>
      </c>
      <c r="AG146" s="7"/>
    </row>
    <row r="147">
      <c r="B147" s="42">
        <f>IFERROR(__xludf.DUMMYFUNCTION("""COMPUTED_VALUE"""),45544.91577548611)</f>
        <v>45544.91578</v>
      </c>
      <c r="C147" s="7" t="str">
        <f>IFERROR(__xludf.DUMMYFUNCTION("""COMPUTED_VALUE"""),"Juan ignacio")</f>
        <v>Juan ignacio</v>
      </c>
      <c r="D147" s="7" t="str">
        <f>IFERROR(__xludf.DUMMYFUNCTION("""COMPUTED_VALUE"""),"Estevez")</f>
        <v>Estevez</v>
      </c>
      <c r="E147" s="7" t="str">
        <f>IFERROR(__xludf.DUMMYFUNCTION("""COMPUTED_VALUE"""),"Buenos Aires ")</f>
        <v>Buenos Aires </v>
      </c>
      <c r="F147" s="45" t="str">
        <f>IFERROR(__xludf.DUMMYFUNCTION("""COMPUTED_VALUE"""),"ARG")</f>
        <v>ARG</v>
      </c>
      <c r="G147" s="7">
        <f>IFERROR(__xludf.DUMMYFUNCTION("""COMPUTED_VALUE"""),5.1222406E7)</f>
        <v>51222406</v>
      </c>
      <c r="H147" s="44">
        <f>IFERROR(__xludf.DUMMYFUNCTION("""COMPUTED_VALUE"""),40686.0)</f>
        <v>40686</v>
      </c>
      <c r="I147" s="45">
        <f>IFERROR(__xludf.DUMMYFUNCTION("""COMPUTED_VALUE"""),1.166560022E9)</f>
        <v>1166560022</v>
      </c>
      <c r="J147" s="45"/>
      <c r="K147" s="45" t="str">
        <f>IFERROR(__xludf.DUMMYFUNCTION("""COMPUTED_VALUE"""),"carolauseglio@gmail.com")</f>
        <v>carolauseglio@gmail.com</v>
      </c>
      <c r="L147" s="45" t="str">
        <f>IFERROR(__xludf.DUMMYFUNCTION("""COMPUTED_VALUE"""),"Masculino")</f>
        <v>Masculino</v>
      </c>
      <c r="M147" s="45" t="str">
        <f>IFERROR(__xludf.DUMMYFUNCTION("""COMPUTED_VALUE"""),"CGLNM")</f>
        <v>CGLNM</v>
      </c>
      <c r="N147" s="45" t="str">
        <f>IFERROR(__xludf.DUMMYFUNCTION("""COMPUTED_VALUE"""),"Interior (Optimist)")</f>
        <v>Interior (Optimist)</v>
      </c>
      <c r="O147" s="45" t="str">
        <f>IFERROR(__xludf.DUMMYFUNCTION("""COMPUTED_VALUE"""),"OPTIMIST TIMONELES")</f>
        <v>OPTIMIST TIMONELES</v>
      </c>
      <c r="P147" s="45"/>
      <c r="Q147" s="7">
        <f>IFERROR(__xludf.DUMMYFUNCTION("""COMPUTED_VALUE"""),3185.0)</f>
        <v>3185</v>
      </c>
      <c r="R147" s="45"/>
      <c r="S147" s="45"/>
      <c r="T147" s="45"/>
      <c r="U147" s="45"/>
      <c r="V147" s="45"/>
      <c r="W147" s="45"/>
      <c r="X147" s="45"/>
      <c r="Y147" s="45" t="str">
        <f>IFERROR(__xludf.DUMMYFUNCTION("""COMPUTED_VALUE"""),"OSDE")</f>
        <v>OSDE</v>
      </c>
      <c r="Z147" s="7" t="str">
        <f>IFERROR(__xludf.DUMMYFUNCTION("""COMPUTED_VALUE"""),"Si")</f>
        <v>Si</v>
      </c>
      <c r="AA147" s="7" t="str">
        <f>IFERROR(__xludf.DUMMYFUNCTION("""COMPUTED_VALUE"""),"Acepto")</f>
        <v>Acepto</v>
      </c>
      <c r="AB147" s="7" t="str">
        <f>IFERROR(__xludf.DUMMYFUNCTION("""COMPUTED_VALUE"""),"Terminado")</f>
        <v>Terminado</v>
      </c>
      <c r="AC147" s="7">
        <f>IFERROR(__xludf.DUMMYFUNCTION("""COMPUTED_VALUE"""),50000.0)</f>
        <v>50000</v>
      </c>
      <c r="AD147" s="7">
        <f>IFERROR(__xludf.DUMMYFUNCTION("""COMPUTED_VALUE"""),205649.0)</f>
        <v>205649</v>
      </c>
      <c r="AE147" s="45" t="str">
        <f>IFERROR(__xludf.DUMMYFUNCTION("""COMPUTED_VALUE"""),"TRF 10-09")</f>
        <v>TRF 10-09</v>
      </c>
      <c r="AF147" s="7" t="str">
        <f>IFERROR(__xludf.DUMMYFUNCTION("""COMPUTED_VALUE"""),"OK")</f>
        <v>OK</v>
      </c>
      <c r="AG147" s="7"/>
    </row>
    <row r="148">
      <c r="B148" s="42">
        <f>IFERROR(__xludf.DUMMYFUNCTION("""COMPUTED_VALUE"""),45545.48499912037)</f>
        <v>45545.485</v>
      </c>
      <c r="C148" s="7" t="str">
        <f>IFERROR(__xludf.DUMMYFUNCTION("""COMPUTED_VALUE"""),"Silvio")</f>
        <v>Silvio</v>
      </c>
      <c r="D148" s="7" t="str">
        <f>IFERROR(__xludf.DUMMYFUNCTION("""COMPUTED_VALUE"""),"Folguera")</f>
        <v>Folguera</v>
      </c>
      <c r="E148" s="7" t="str">
        <f>IFERROR(__xludf.DUMMYFUNCTION("""COMPUTED_VALUE"""),"CABA")</f>
        <v>CABA</v>
      </c>
      <c r="F148" s="45" t="str">
        <f>IFERROR(__xludf.DUMMYFUNCTION("""COMPUTED_VALUE"""),"ARG")</f>
        <v>ARG</v>
      </c>
      <c r="G148" s="7">
        <f>IFERROR(__xludf.DUMMYFUNCTION("""COMPUTED_VALUE"""),5.1511518E7)</f>
        <v>51511518</v>
      </c>
      <c r="H148" s="44">
        <f>IFERROR(__xludf.DUMMYFUNCTION("""COMPUTED_VALUE"""),40833.0)</f>
        <v>40833</v>
      </c>
      <c r="I148" s="45">
        <f>IFERROR(__xludf.DUMMYFUNCTION("""COMPUTED_VALUE"""),1.161649489E9)</f>
        <v>1161649489</v>
      </c>
      <c r="J148" s="45" t="str">
        <f>IFERROR(__xludf.DUMMYFUNCTION("""COMPUTED_VALUE"""),"1161649489/1151576844")</f>
        <v>1161649489/1151576844</v>
      </c>
      <c r="K148" s="45" t="str">
        <f>IFERROR(__xludf.DUMMYFUNCTION("""COMPUTED_VALUE"""),"chelcich@gmail.com")</f>
        <v>chelcich@gmail.com</v>
      </c>
      <c r="L148" s="45" t="str">
        <f>IFERROR(__xludf.DUMMYFUNCTION("""COMPUTED_VALUE"""),"Masculino")</f>
        <v>Masculino</v>
      </c>
      <c r="M148" s="45" t="str">
        <f>IFERROR(__xludf.DUMMYFUNCTION("""COMPUTED_VALUE"""),"CPNLB")</f>
        <v>CPNLB</v>
      </c>
      <c r="N148" s="45"/>
      <c r="O148" s="45" t="str">
        <f>IFERROR(__xludf.DUMMYFUNCTION("""COMPUTED_VALUE"""),"OPTIMIST TIMONELES")</f>
        <v>OPTIMIST TIMONELES</v>
      </c>
      <c r="P148" s="45"/>
      <c r="Q148" s="7">
        <f>IFERROR(__xludf.DUMMYFUNCTION("""COMPUTED_VALUE"""),3158.0)</f>
        <v>3158</v>
      </c>
      <c r="R148" s="45"/>
      <c r="S148" s="45"/>
      <c r="T148" s="45"/>
      <c r="U148" s="45"/>
      <c r="V148" s="45"/>
      <c r="W148" s="45"/>
      <c r="X148" s="45"/>
      <c r="Y148" s="45" t="str">
        <f>IFERROR(__xludf.DUMMYFUNCTION("""COMPUTED_VALUE"""),"SMG 800006 0595969 04 0029")</f>
        <v>SMG 800006 0595969 04 0029</v>
      </c>
      <c r="Z148" s="7" t="str">
        <f>IFERROR(__xludf.DUMMYFUNCTION("""COMPUTED_VALUE"""),"Si")</f>
        <v>Si</v>
      </c>
      <c r="AA148" s="7" t="str">
        <f>IFERROR(__xludf.DUMMYFUNCTION("""COMPUTED_VALUE"""),"Acepto")</f>
        <v>Acepto</v>
      </c>
      <c r="AB148" s="7" t="str">
        <f>IFERROR(__xludf.DUMMYFUNCTION("""COMPUTED_VALUE"""),"Terminado")</f>
        <v>Terminado</v>
      </c>
      <c r="AC148" s="7">
        <f>IFERROR(__xludf.DUMMYFUNCTION("""COMPUTED_VALUE"""),50000.0)</f>
        <v>50000</v>
      </c>
      <c r="AD148" s="7">
        <f>IFERROR(__xludf.DUMMYFUNCTION("""COMPUTED_VALUE"""),205652.0)</f>
        <v>205652</v>
      </c>
      <c r="AE148" s="45" t="str">
        <f>IFERROR(__xludf.DUMMYFUNCTION("""COMPUTED_VALUE"""),"TRF 10-09")</f>
        <v>TRF 10-09</v>
      </c>
      <c r="AF148" s="7" t="str">
        <f>IFERROR(__xludf.DUMMYFUNCTION("""COMPUTED_VALUE"""),"OK")</f>
        <v>OK</v>
      </c>
      <c r="AG148" s="7" t="str">
        <f>IFERROR(__xludf.DUMMYFUNCTION("""COMPUTED_VALUE"""),"SI")</f>
        <v>SI</v>
      </c>
    </row>
    <row r="149">
      <c r="B149" s="42">
        <f>IFERROR(__xludf.DUMMYFUNCTION("""COMPUTED_VALUE"""),45545.77545645833)</f>
        <v>45545.77546</v>
      </c>
      <c r="C149" s="7" t="str">
        <f>IFERROR(__xludf.DUMMYFUNCTION("""COMPUTED_VALUE"""),"Thiago ")</f>
        <v>Thiago </v>
      </c>
      <c r="D149" s="7" t="str">
        <f>IFERROR(__xludf.DUMMYFUNCTION("""COMPUTED_VALUE"""),"Lueg ")</f>
        <v>Lueg </v>
      </c>
      <c r="E149" s="7" t="str">
        <f>IFERROR(__xludf.DUMMYFUNCTION("""COMPUTED_VALUE"""),"Buenos Aires ")</f>
        <v>Buenos Aires </v>
      </c>
      <c r="F149" s="45" t="str">
        <f>IFERROR(__xludf.DUMMYFUNCTION("""COMPUTED_VALUE"""),"ARG")</f>
        <v>ARG</v>
      </c>
      <c r="G149" s="7">
        <f>IFERROR(__xludf.DUMMYFUNCTION("""COMPUTED_VALUE"""),4.9825462E7)</f>
        <v>49825462</v>
      </c>
      <c r="H149" s="44">
        <f>IFERROR(__xludf.DUMMYFUNCTION("""COMPUTED_VALUE"""),40539.0)</f>
        <v>40539</v>
      </c>
      <c r="I149" s="45">
        <f>IFERROR(__xludf.DUMMYFUNCTION("""COMPUTED_VALUE"""),1.524973959E9)</f>
        <v>1524973959</v>
      </c>
      <c r="J149" s="45">
        <f>IFERROR(__xludf.DUMMYFUNCTION("""COMPUTED_VALUE"""),1.130107759E9)</f>
        <v>1130107759</v>
      </c>
      <c r="K149" s="45" t="str">
        <f>IFERROR(__xludf.DUMMYFUNCTION("""COMPUTED_VALUE"""),"luegstiftung@yahoo.com.ar")</f>
        <v>luegstiftung@yahoo.com.ar</v>
      </c>
      <c r="L149" s="45" t="str">
        <f>IFERROR(__xludf.DUMMYFUNCTION("""COMPUTED_VALUE"""),"Masculino")</f>
        <v>Masculino</v>
      </c>
      <c r="M149" s="45" t="str">
        <f>IFERROR(__xludf.DUMMYFUNCTION("""COMPUTED_VALUE"""),"Cnsi ")</f>
        <v>Cnsi </v>
      </c>
      <c r="N149" s="45"/>
      <c r="O149" s="45" t="str">
        <f>IFERROR(__xludf.DUMMYFUNCTION("""COMPUTED_VALUE"""),"OPTIMIST TIMONELES")</f>
        <v>OPTIMIST TIMONELES</v>
      </c>
      <c r="P149" s="45"/>
      <c r="Q149" s="7">
        <f>IFERROR(__xludf.DUMMYFUNCTION("""COMPUTED_VALUE"""),3981.0)</f>
        <v>3981</v>
      </c>
      <c r="R149" s="45" t="str">
        <f>IFERROR(__xludf.DUMMYFUNCTION("""COMPUTED_VALUE"""),"Tornado ")</f>
        <v>Tornado </v>
      </c>
      <c r="S149" s="45"/>
      <c r="T149" s="45"/>
      <c r="U149" s="45"/>
      <c r="V149" s="45"/>
      <c r="W149" s="45"/>
      <c r="X149" s="45"/>
      <c r="Y149" s="45">
        <f>IFERROR(__xludf.DUMMYFUNCTION("""COMPUTED_VALUE"""),6.1129936305E10)</f>
        <v>61129936305</v>
      </c>
      <c r="Z149" s="7" t="str">
        <f>IFERROR(__xludf.DUMMYFUNCTION("""COMPUTED_VALUE"""),"Si")</f>
        <v>Si</v>
      </c>
      <c r="AA149" s="7" t="str">
        <f>IFERROR(__xludf.DUMMYFUNCTION("""COMPUTED_VALUE"""),"Acepto")</f>
        <v>Acepto</v>
      </c>
      <c r="AB149" s="7" t="str">
        <f>IFERROR(__xludf.DUMMYFUNCTION("""COMPUTED_VALUE"""),"Terminado")</f>
        <v>Terminado</v>
      </c>
      <c r="AC149" s="7">
        <f>IFERROR(__xludf.DUMMYFUNCTION("""COMPUTED_VALUE"""),50000.0)</f>
        <v>50000</v>
      </c>
      <c r="AD149" s="7">
        <f>IFERROR(__xludf.DUMMYFUNCTION("""COMPUTED_VALUE"""),205665.0)</f>
        <v>205665</v>
      </c>
      <c r="AE149" s="45" t="str">
        <f>IFERROR(__xludf.DUMMYFUNCTION("""COMPUTED_VALUE"""),"TRF 10-09")</f>
        <v>TRF 10-09</v>
      </c>
      <c r="AF149" s="7" t="str">
        <f>IFERROR(__xludf.DUMMYFUNCTION("""COMPUTED_VALUE"""),"OK")</f>
        <v>OK</v>
      </c>
      <c r="AG149" s="7"/>
    </row>
    <row r="150">
      <c r="B150" s="42">
        <f>IFERROR(__xludf.DUMMYFUNCTION("""COMPUTED_VALUE"""),45545.800053750005)</f>
        <v>45545.80005</v>
      </c>
      <c r="C150" s="7" t="str">
        <f>IFERROR(__xludf.DUMMYFUNCTION("""COMPUTED_VALUE"""),"isabel ")</f>
        <v>isabel </v>
      </c>
      <c r="D150" s="7" t="str">
        <f>IFERROR(__xludf.DUMMYFUNCTION("""COMPUTED_VALUE"""),"caranti")</f>
        <v>caranti</v>
      </c>
      <c r="E150" s="7" t="str">
        <f>IFERROR(__xludf.DUMMYFUNCTION("""COMPUTED_VALUE"""),"caba")</f>
        <v>caba</v>
      </c>
      <c r="F150" s="45" t="str">
        <f>IFERROR(__xludf.DUMMYFUNCTION("""COMPUTED_VALUE"""),"ARG")</f>
        <v>ARG</v>
      </c>
      <c r="G150" s="7">
        <f>IFERROR(__xludf.DUMMYFUNCTION("""COMPUTED_VALUE"""),5.2164372E7)</f>
        <v>52164372</v>
      </c>
      <c r="H150" s="44">
        <f>IFERROR(__xludf.DUMMYFUNCTION("""COMPUTED_VALUE"""),40962.0)</f>
        <v>40962</v>
      </c>
      <c r="I150" s="45">
        <f>IFERROR(__xludf.DUMMYFUNCTION("""COMPUTED_VALUE"""),1.132320706E9)</f>
        <v>1132320706</v>
      </c>
      <c r="J150" s="45">
        <f>IFERROR(__xludf.DUMMYFUNCTION("""COMPUTED_VALUE"""),1.132320706E9)</f>
        <v>1132320706</v>
      </c>
      <c r="K150" s="45" t="str">
        <f>IFERROR(__xludf.DUMMYFUNCTION("""COMPUTED_VALUE"""),"carantiisabel@gmail.com")</f>
        <v>carantiisabel@gmail.com</v>
      </c>
      <c r="L150" s="45" t="str">
        <f>IFERROR(__xludf.DUMMYFUNCTION("""COMPUTED_VALUE"""),"Femenino")</f>
        <v>Femenino</v>
      </c>
      <c r="M150" s="45" t="str">
        <f>IFERROR(__xludf.DUMMYFUNCTION("""COMPUTED_VALUE"""),"cnsi")</f>
        <v>cnsi</v>
      </c>
      <c r="N150" s="45" t="str">
        <f>IFERROR(__xludf.DUMMYFUNCTION("""COMPUTED_VALUE"""),"Femenino")</f>
        <v>Femenino</v>
      </c>
      <c r="O150" s="45" t="str">
        <f>IFERROR(__xludf.DUMMYFUNCTION("""COMPUTED_VALUE"""),"OPTIMIST TIMONELES")</f>
        <v>OPTIMIST TIMONELES</v>
      </c>
      <c r="P150" s="45"/>
      <c r="Q150" s="7">
        <f>IFERROR(__xludf.DUMMYFUNCTION("""COMPUTED_VALUE"""),3584.0)</f>
        <v>3584</v>
      </c>
      <c r="R150" s="45"/>
      <c r="S150" s="45"/>
      <c r="T150" s="45"/>
      <c r="U150" s="45"/>
      <c r="V150" s="45"/>
      <c r="W150" s="45"/>
      <c r="X150" s="45"/>
      <c r="Y150" s="45" t="str">
        <f>IFERROR(__xludf.DUMMYFUNCTION("""COMPUTED_VALUE"""),"osde")</f>
        <v>osde</v>
      </c>
      <c r="Z150" s="7" t="str">
        <f>IFERROR(__xludf.DUMMYFUNCTION("""COMPUTED_VALUE"""),"Si")</f>
        <v>Si</v>
      </c>
      <c r="AA150" s="7" t="str">
        <f>IFERROR(__xludf.DUMMYFUNCTION("""COMPUTED_VALUE"""),"Acepto")</f>
        <v>Acepto</v>
      </c>
      <c r="AB150" s="7" t="str">
        <f>IFERROR(__xludf.DUMMYFUNCTION("""COMPUTED_VALUE"""),"Terminado")</f>
        <v>Terminado</v>
      </c>
      <c r="AC150" s="7">
        <f>IFERROR(__xludf.DUMMYFUNCTION("""COMPUTED_VALUE"""),50000.0)</f>
        <v>50000</v>
      </c>
      <c r="AD150" s="7">
        <f>IFERROR(__xludf.DUMMYFUNCTION("""COMPUTED_VALUE"""),205658.0)</f>
        <v>205658</v>
      </c>
      <c r="AE150" s="45" t="str">
        <f>IFERROR(__xludf.DUMMYFUNCTION("""COMPUTED_VALUE"""),"TRF 10-09")</f>
        <v>TRF 10-09</v>
      </c>
      <c r="AF150" s="7" t="str">
        <f>IFERROR(__xludf.DUMMYFUNCTION("""COMPUTED_VALUE"""),"OK")</f>
        <v>OK</v>
      </c>
      <c r="AG150" s="7"/>
    </row>
    <row r="151">
      <c r="B151" s="42">
        <f>IFERROR(__xludf.DUMMYFUNCTION("""COMPUTED_VALUE"""),45545.80259046296)</f>
        <v>45545.80259</v>
      </c>
      <c r="C151" s="7" t="str">
        <f>IFERROR(__xludf.DUMMYFUNCTION("""COMPUTED_VALUE"""),"alejandro")</f>
        <v>alejandro</v>
      </c>
      <c r="D151" s="7" t="str">
        <f>IFERROR(__xludf.DUMMYFUNCTION("""COMPUTED_VALUE"""),"caranti")</f>
        <v>caranti</v>
      </c>
      <c r="E151" s="7" t="str">
        <f>IFERROR(__xludf.DUMMYFUNCTION("""COMPUTED_VALUE"""),"caba")</f>
        <v>caba</v>
      </c>
      <c r="F151" s="45" t="str">
        <f>IFERROR(__xludf.DUMMYFUNCTION("""COMPUTED_VALUE"""),"ARG")</f>
        <v>ARG</v>
      </c>
      <c r="G151" s="7">
        <f>IFERROR(__xludf.DUMMYFUNCTION("""COMPUTED_VALUE"""),4.9192992E7)</f>
        <v>49192992</v>
      </c>
      <c r="H151" s="44">
        <f>IFERROR(__xludf.DUMMYFUNCTION("""COMPUTED_VALUE"""),39825.0)</f>
        <v>39825</v>
      </c>
      <c r="I151" s="45">
        <f>IFERROR(__xludf.DUMMYFUNCTION("""COMPUTED_VALUE"""),1.156404268E9)</f>
        <v>1156404268</v>
      </c>
      <c r="J151" s="45">
        <f>IFERROR(__xludf.DUMMYFUNCTION("""COMPUTED_VALUE"""),1.132320706E9)</f>
        <v>1132320706</v>
      </c>
      <c r="K151" s="45" t="str">
        <f>IFERROR(__xludf.DUMMYFUNCTION("""COMPUTED_VALUE"""),"alexcaranti09@gmail.com")</f>
        <v>alexcaranti09@gmail.com</v>
      </c>
      <c r="L151" s="45" t="str">
        <f>IFERROR(__xludf.DUMMYFUNCTION("""COMPUTED_VALUE"""),"Masculino")</f>
        <v>Masculino</v>
      </c>
      <c r="M151" s="45" t="str">
        <f>IFERROR(__xludf.DUMMYFUNCTION("""COMPUTED_VALUE"""),"cnsi")</f>
        <v>cnsi</v>
      </c>
      <c r="N151" s="45"/>
      <c r="O151" s="45" t="str">
        <f>IFERROR(__xludf.DUMMYFUNCTION("""COMPUTED_VALUE"""),"OPTIMIST TIMONELES")</f>
        <v>OPTIMIST TIMONELES</v>
      </c>
      <c r="P151" s="45"/>
      <c r="Q151" s="7">
        <f>IFERROR(__xludf.DUMMYFUNCTION("""COMPUTED_VALUE"""),4117.0)</f>
        <v>4117</v>
      </c>
      <c r="R151" s="45"/>
      <c r="S151" s="45"/>
      <c r="T151" s="45"/>
      <c r="U151" s="45"/>
      <c r="V151" s="45"/>
      <c r="W151" s="45"/>
      <c r="X151" s="45"/>
      <c r="Y151" s="45" t="str">
        <f>IFERROR(__xludf.DUMMYFUNCTION("""COMPUTED_VALUE"""),"osde")</f>
        <v>osde</v>
      </c>
      <c r="Z151" s="7" t="str">
        <f>IFERROR(__xludf.DUMMYFUNCTION("""COMPUTED_VALUE"""),"Si")</f>
        <v>Si</v>
      </c>
      <c r="AA151" s="7" t="str">
        <f>IFERROR(__xludf.DUMMYFUNCTION("""COMPUTED_VALUE"""),"Acepto")</f>
        <v>Acepto</v>
      </c>
      <c r="AB151" s="7" t="str">
        <f>IFERROR(__xludf.DUMMYFUNCTION("""COMPUTED_VALUE"""),"Terminado")</f>
        <v>Terminado</v>
      </c>
      <c r="AC151" s="7">
        <f>IFERROR(__xludf.DUMMYFUNCTION("""COMPUTED_VALUE"""),50000.0)</f>
        <v>50000</v>
      </c>
      <c r="AD151" s="7">
        <f>IFERROR(__xludf.DUMMYFUNCTION("""COMPUTED_VALUE"""),205658.0)</f>
        <v>205658</v>
      </c>
      <c r="AE151" s="45" t="str">
        <f>IFERROR(__xludf.DUMMYFUNCTION("""COMPUTED_VALUE"""),"TRF 10-09")</f>
        <v>TRF 10-09</v>
      </c>
      <c r="AF151" s="7" t="str">
        <f>IFERROR(__xludf.DUMMYFUNCTION("""COMPUTED_VALUE"""),"OK")</f>
        <v>OK</v>
      </c>
      <c r="AG151" s="7"/>
    </row>
    <row r="152">
      <c r="B152" s="42">
        <f>IFERROR(__xludf.DUMMYFUNCTION("""COMPUTED_VALUE"""),45545.80706760417)</f>
        <v>45545.80707</v>
      </c>
      <c r="C152" s="7" t="str">
        <f>IFERROR(__xludf.DUMMYFUNCTION("""COMPUTED_VALUE"""),"Felipe")</f>
        <v>Felipe</v>
      </c>
      <c r="D152" s="7" t="str">
        <f>IFERROR(__xludf.DUMMYFUNCTION("""COMPUTED_VALUE"""),"Llauro")</f>
        <v>Llauro</v>
      </c>
      <c r="E152" s="7" t="str">
        <f>IFERROR(__xludf.DUMMYFUNCTION("""COMPUTED_VALUE"""),"Tigre")</f>
        <v>Tigre</v>
      </c>
      <c r="F152" s="45" t="str">
        <f>IFERROR(__xludf.DUMMYFUNCTION("""COMPUTED_VALUE"""),"ARG")</f>
        <v>ARG</v>
      </c>
      <c r="G152" s="7">
        <f>IFERROR(__xludf.DUMMYFUNCTION("""COMPUTED_VALUE"""),5.0701994E7)</f>
        <v>50701994</v>
      </c>
      <c r="H152" s="44">
        <f>IFERROR(__xludf.DUMMYFUNCTION("""COMPUTED_VALUE"""),40526.0)</f>
        <v>40526</v>
      </c>
      <c r="I152" s="45" t="str">
        <f>IFERROR(__xludf.DUMMYFUNCTION("""COMPUTED_VALUE"""),"‎‪+54 9 11 2656‑6469‬")</f>
        <v>‎‪+54 9 11 2656‑6469‬</v>
      </c>
      <c r="J152" s="45">
        <f>IFERROR(__xludf.DUMMYFUNCTION("""COMPUTED_VALUE"""),1.162200871E9)</f>
        <v>1162200871</v>
      </c>
      <c r="K152" s="45" t="str">
        <f>IFERROR(__xludf.DUMMYFUNCTION("""COMPUTED_VALUE"""),"Felipellauro@gmail.com")</f>
        <v>Felipellauro@gmail.com</v>
      </c>
      <c r="L152" s="45" t="str">
        <f>IFERROR(__xludf.DUMMYFUNCTION("""COMPUTED_VALUE"""),"Masculino")</f>
        <v>Masculino</v>
      </c>
      <c r="M152" s="45" t="str">
        <f>IFERROR(__xludf.DUMMYFUNCTION("""COMPUTED_VALUE"""),"CNSI")</f>
        <v>CNSI</v>
      </c>
      <c r="N152" s="45" t="str">
        <f>IFERROR(__xludf.DUMMYFUNCTION("""COMPUTED_VALUE"""),"Optimist ")</f>
        <v>Optimist </v>
      </c>
      <c r="O152" s="45" t="str">
        <f>IFERROR(__xludf.DUMMYFUNCTION("""COMPUTED_VALUE"""),"OPTIMIST TIMONELES")</f>
        <v>OPTIMIST TIMONELES</v>
      </c>
      <c r="P152" s="45"/>
      <c r="Q152" s="7">
        <f>IFERROR(__xludf.DUMMYFUNCTION("""COMPUTED_VALUE"""),3534.0)</f>
        <v>3534</v>
      </c>
      <c r="R152" s="45"/>
      <c r="S152" s="45"/>
      <c r="T152" s="45"/>
      <c r="U152" s="45"/>
      <c r="V152" s="45"/>
      <c r="W152" s="45"/>
      <c r="X152" s="45"/>
      <c r="Y152" s="45" t="str">
        <f>IFERROR(__xludf.DUMMYFUNCTION("""COMPUTED_VALUE"""),"Osde 61022833003")</f>
        <v>Osde 61022833003</v>
      </c>
      <c r="Z152" s="7" t="str">
        <f>IFERROR(__xludf.DUMMYFUNCTION("""COMPUTED_VALUE"""),"Si")</f>
        <v>Si</v>
      </c>
      <c r="AA152" s="7" t="str">
        <f>IFERROR(__xludf.DUMMYFUNCTION("""COMPUTED_VALUE"""),"Acepto")</f>
        <v>Acepto</v>
      </c>
      <c r="AB152" s="7" t="str">
        <f>IFERROR(__xludf.DUMMYFUNCTION("""COMPUTED_VALUE"""),"Terminado")</f>
        <v>Terminado</v>
      </c>
      <c r="AC152" s="7">
        <f>IFERROR(__xludf.DUMMYFUNCTION("""COMPUTED_VALUE"""),50000.0)</f>
        <v>50000</v>
      </c>
      <c r="AD152" s="7">
        <f>IFERROR(__xludf.DUMMYFUNCTION("""COMPUTED_VALUE"""),205666.0)</f>
        <v>205666</v>
      </c>
      <c r="AE152" s="45" t="str">
        <f>IFERROR(__xludf.DUMMYFUNCTION("""COMPUTED_VALUE"""),"TRF 10-09")</f>
        <v>TRF 10-09</v>
      </c>
      <c r="AF152" s="7" t="str">
        <f>IFERROR(__xludf.DUMMYFUNCTION("""COMPUTED_VALUE"""),"OK")</f>
        <v>OK</v>
      </c>
      <c r="AG152" s="7"/>
    </row>
    <row r="153">
      <c r="B153" s="42">
        <f>IFERROR(__xludf.DUMMYFUNCTION("""COMPUTED_VALUE"""),45545.85817082176)</f>
        <v>45545.85817</v>
      </c>
      <c r="C153" s="7" t="str">
        <f>IFERROR(__xludf.DUMMYFUNCTION("""COMPUTED_VALUE"""),"JOAQUIN")</f>
        <v>JOAQUIN</v>
      </c>
      <c r="D153" s="7" t="str">
        <f>IFERROR(__xludf.DUMMYFUNCTION("""COMPUTED_VALUE"""),"CARRETTO")</f>
        <v>CARRETTO</v>
      </c>
      <c r="E153" s="7" t="str">
        <f>IFERROR(__xludf.DUMMYFUNCTION("""COMPUTED_VALUE"""),"SAN NICOLAS")</f>
        <v>SAN NICOLAS</v>
      </c>
      <c r="F153" s="45" t="str">
        <f>IFERROR(__xludf.DUMMYFUNCTION("""COMPUTED_VALUE"""),"ARG")</f>
        <v>ARG</v>
      </c>
      <c r="G153" s="7">
        <f>IFERROR(__xludf.DUMMYFUNCTION("""COMPUTED_VALUE"""),5.0899423E7)</f>
        <v>50899423</v>
      </c>
      <c r="H153" s="44">
        <f>IFERROR(__xludf.DUMMYFUNCTION("""COMPUTED_VALUE"""),40689.0)</f>
        <v>40689</v>
      </c>
      <c r="I153" s="45">
        <f>IFERROR(__xludf.DUMMYFUNCTION("""COMPUTED_VALUE"""),3.364511513E9)</f>
        <v>3364511513</v>
      </c>
      <c r="J153" s="45">
        <f>IFERROR(__xludf.DUMMYFUNCTION("""COMPUTED_VALUE"""),3.364511554E9)</f>
        <v>3364511554</v>
      </c>
      <c r="K153" s="45" t="str">
        <f>IFERROR(__xludf.DUMMYFUNCTION("""COMPUTED_VALUE"""),"xtorroba@hotmail.com")</f>
        <v>xtorroba@hotmail.com</v>
      </c>
      <c r="L153" s="45" t="str">
        <f>IFERROR(__xludf.DUMMYFUNCTION("""COMPUTED_VALUE"""),"Masculino")</f>
        <v>Masculino</v>
      </c>
      <c r="M153" s="45" t="str">
        <f>IFERROR(__xludf.DUMMYFUNCTION("""COMPUTED_VALUE"""),"CRSN-CVR")</f>
        <v>CRSN-CVR</v>
      </c>
      <c r="N153" s="45" t="str">
        <f>IFERROR(__xludf.DUMMYFUNCTION("""COMPUTED_VALUE"""),"Interior (Optimist)")</f>
        <v>Interior (Optimist)</v>
      </c>
      <c r="O153" s="45" t="str">
        <f>IFERROR(__xludf.DUMMYFUNCTION("""COMPUTED_VALUE"""),"OPTIMIST TIMONELES")</f>
        <v>OPTIMIST TIMONELES</v>
      </c>
      <c r="P153" s="45"/>
      <c r="Q153" s="7">
        <f>IFERROR(__xludf.DUMMYFUNCTION("""COMPUTED_VALUE"""),3953.0)</f>
        <v>3953</v>
      </c>
      <c r="R153" s="45"/>
      <c r="S153" s="45" t="str">
        <f>IFERROR(__xludf.DUMMYFUNCTION("""COMPUTED_VALUE"""),"JOAQUIN CARRETTO")</f>
        <v>JOAQUIN CARRETTO</v>
      </c>
      <c r="T153" s="45"/>
      <c r="U153" s="45"/>
      <c r="V153" s="45"/>
      <c r="W153" s="45"/>
      <c r="X153" s="45"/>
      <c r="Y153" s="45" t="str">
        <f>IFERROR(__xludf.DUMMYFUNCTION("""COMPUTED_VALUE"""),"IOMA")</f>
        <v>IOMA</v>
      </c>
      <c r="Z153" s="7" t="str">
        <f>IFERROR(__xludf.DUMMYFUNCTION("""COMPUTED_VALUE"""),"Si")</f>
        <v>Si</v>
      </c>
      <c r="AA153" s="7" t="str">
        <f>IFERROR(__xludf.DUMMYFUNCTION("""COMPUTED_VALUE"""),"Acepto")</f>
        <v>Acepto</v>
      </c>
      <c r="AB153" s="7" t="str">
        <f>IFERROR(__xludf.DUMMYFUNCTION("""COMPUTED_VALUE"""),"Terminado")</f>
        <v>Terminado</v>
      </c>
      <c r="AC153" s="7">
        <f>IFERROR(__xludf.DUMMYFUNCTION("""COMPUTED_VALUE"""),42500.0)</f>
        <v>42500</v>
      </c>
      <c r="AD153" s="7">
        <f>IFERROR(__xludf.DUMMYFUNCTION("""COMPUTED_VALUE"""),205659.0)</f>
        <v>205659</v>
      </c>
      <c r="AE153" s="45" t="str">
        <f>IFERROR(__xludf.DUMMYFUNCTION("""COMPUTED_VALUE"""),"TRF 0-09")</f>
        <v>TRF 0-09</v>
      </c>
      <c r="AF153" s="7" t="str">
        <f>IFERROR(__xludf.DUMMYFUNCTION("""COMPUTED_VALUE"""),"OK")</f>
        <v>OK</v>
      </c>
      <c r="AG153" s="7"/>
    </row>
    <row r="154">
      <c r="B154" s="42">
        <f>IFERROR(__xludf.DUMMYFUNCTION("""COMPUTED_VALUE"""),45545.87051865741)</f>
        <v>45545.87052</v>
      </c>
      <c r="C154" s="7" t="str">
        <f>IFERROR(__xludf.DUMMYFUNCTION("""COMPUTED_VALUE"""),"Lucía ")</f>
        <v>Lucía </v>
      </c>
      <c r="D154" s="7" t="str">
        <f>IFERROR(__xludf.DUMMYFUNCTION("""COMPUTED_VALUE"""),"Manrique gasme")</f>
        <v>Manrique gasme</v>
      </c>
      <c r="E154" s="7" t="str">
        <f>IFERROR(__xludf.DUMMYFUNCTION("""COMPUTED_VALUE"""),"Buenos Aires ")</f>
        <v>Buenos Aires </v>
      </c>
      <c r="F154" s="45" t="str">
        <f>IFERROR(__xludf.DUMMYFUNCTION("""COMPUTED_VALUE"""),"ARG")</f>
        <v>ARG</v>
      </c>
      <c r="G154" s="7">
        <f>IFERROR(__xludf.DUMMYFUNCTION("""COMPUTED_VALUE"""),5.0438482E7)</f>
        <v>50438482</v>
      </c>
      <c r="H154" s="44">
        <f>IFERROR(__xludf.DUMMYFUNCTION("""COMPUTED_VALUE"""),40453.0)</f>
        <v>40453</v>
      </c>
      <c r="I154" s="45">
        <f>IFERROR(__xludf.DUMMYFUNCTION("""COMPUTED_VALUE"""),1.565227E9)</f>
        <v>1565227000</v>
      </c>
      <c r="J154" s="45">
        <f>IFERROR(__xludf.DUMMYFUNCTION("""COMPUTED_VALUE"""),1.534690802E9)</f>
        <v>1534690802</v>
      </c>
      <c r="K154" s="45" t="str">
        <f>IFERROR(__xludf.DUMMYFUNCTION("""COMPUTED_VALUE"""),"Egasme@hotmail.com")</f>
        <v>Egasme@hotmail.com</v>
      </c>
      <c r="L154" s="45" t="str">
        <f>IFERROR(__xludf.DUMMYFUNCTION("""COMPUTED_VALUE"""),"Femenino")</f>
        <v>Femenino</v>
      </c>
      <c r="M154" s="45" t="str">
        <f>IFERROR(__xludf.DUMMYFUNCTION("""COMPUTED_VALUE"""),"CVSI")</f>
        <v>CVSI</v>
      </c>
      <c r="N154" s="45" t="str">
        <f>IFERROR(__xludf.DUMMYFUNCTION("""COMPUTED_VALUE"""),"Femenino")</f>
        <v>Femenino</v>
      </c>
      <c r="O154" s="45" t="str">
        <f>IFERROR(__xludf.DUMMYFUNCTION("""COMPUTED_VALUE"""),"OPTIMIST TIMONELES")</f>
        <v>OPTIMIST TIMONELES</v>
      </c>
      <c r="P154" s="45"/>
      <c r="Q154" s="7">
        <f>IFERROR(__xludf.DUMMYFUNCTION("""COMPUTED_VALUE"""),4089.0)</f>
        <v>4089</v>
      </c>
      <c r="R154" s="45" t="str">
        <f>IFERROR(__xludf.DUMMYFUNCTION("""COMPUTED_VALUE"""),"NoPosee")</f>
        <v>NoPosee</v>
      </c>
      <c r="S154" s="45"/>
      <c r="T154" s="45"/>
      <c r="U154" s="45"/>
      <c r="V154" s="45"/>
      <c r="W154" s="45"/>
      <c r="X154" s="45"/>
      <c r="Y154" s="45" t="str">
        <f>IFERROR(__xludf.DUMMYFUNCTION("""COMPUTED_VALUE"""),"Osde")</f>
        <v>Osde</v>
      </c>
      <c r="Z154" s="7" t="str">
        <f>IFERROR(__xludf.DUMMYFUNCTION("""COMPUTED_VALUE"""),"Si")</f>
        <v>Si</v>
      </c>
      <c r="AA154" s="7" t="str">
        <f>IFERROR(__xludf.DUMMYFUNCTION("""COMPUTED_VALUE"""),"Acepto")</f>
        <v>Acepto</v>
      </c>
      <c r="AB154" s="7" t="str">
        <f>IFERROR(__xludf.DUMMYFUNCTION("""COMPUTED_VALUE"""),"Terminado")</f>
        <v>Terminado</v>
      </c>
      <c r="AC154" s="7">
        <f>IFERROR(__xludf.DUMMYFUNCTION("""COMPUTED_VALUE"""),50000.0)</f>
        <v>50000</v>
      </c>
      <c r="AD154" s="7">
        <f>IFERROR(__xludf.DUMMYFUNCTION("""COMPUTED_VALUE"""),205660.0)</f>
        <v>205660</v>
      </c>
      <c r="AE154" s="45" t="str">
        <f>IFERROR(__xludf.DUMMYFUNCTION("""COMPUTED_VALUE"""),"TRF 10-09")</f>
        <v>TRF 10-09</v>
      </c>
      <c r="AF154" s="7" t="str">
        <f>IFERROR(__xludf.DUMMYFUNCTION("""COMPUTED_VALUE"""),"OK")</f>
        <v>OK</v>
      </c>
      <c r="AG154" s="7"/>
    </row>
    <row r="155">
      <c r="B155" s="42">
        <f>IFERROR(__xludf.DUMMYFUNCTION("""COMPUTED_VALUE"""),45546.304781053244)</f>
        <v>45546.30478</v>
      </c>
      <c r="C155" s="7" t="str">
        <f>IFERROR(__xludf.DUMMYFUNCTION("""COMPUTED_VALUE"""),"Renata ")</f>
        <v>Renata </v>
      </c>
      <c r="D155" s="7" t="str">
        <f>IFERROR(__xludf.DUMMYFUNCTION("""COMPUTED_VALUE"""),"Godoy")</f>
        <v>Godoy</v>
      </c>
      <c r="E155" s="7" t="str">
        <f>IFERROR(__xludf.DUMMYFUNCTION("""COMPUTED_VALUE"""),"Parana ")</f>
        <v>Parana </v>
      </c>
      <c r="F155" s="45" t="str">
        <f>IFERROR(__xludf.DUMMYFUNCTION("""COMPUTED_VALUE"""),"ARG")</f>
        <v>ARG</v>
      </c>
      <c r="G155" s="7">
        <f>IFERROR(__xludf.DUMMYFUNCTION("""COMPUTED_VALUE"""),5.1422775E7)</f>
        <v>51422775</v>
      </c>
      <c r="H155" s="44">
        <f>IFERROR(__xludf.DUMMYFUNCTION("""COMPUTED_VALUE"""),40855.0)</f>
        <v>40855</v>
      </c>
      <c r="I155" s="45">
        <f>IFERROR(__xludf.DUMMYFUNCTION("""COMPUTED_VALUE"""),3.435213588E9)</f>
        <v>3435213588</v>
      </c>
      <c r="J155" s="45">
        <f>IFERROR(__xludf.DUMMYFUNCTION("""COMPUTED_VALUE"""),3.435213588E9)</f>
        <v>3435213588</v>
      </c>
      <c r="K155" s="45" t="str">
        <f>IFERROR(__xludf.DUMMYFUNCTION("""COMPUTED_VALUE"""),"Colo.ngk826@gmail.com")</f>
        <v>Colo.ngk826@gmail.com</v>
      </c>
      <c r="L155" s="45" t="str">
        <f>IFERROR(__xludf.DUMMYFUNCTION("""COMPUTED_VALUE"""),"Femenino")</f>
        <v>Femenino</v>
      </c>
      <c r="M155" s="45" t="str">
        <f>IFERROR(__xludf.DUMMYFUNCTION("""COMPUTED_VALUE"""),"CNP")</f>
        <v>CNP</v>
      </c>
      <c r="N155" s="45" t="str">
        <f>IFERROR(__xludf.DUMMYFUNCTION("""COMPUTED_VALUE"""),"Femenino, Interior (Optimist)")</f>
        <v>Femenino, Interior (Optimist)</v>
      </c>
      <c r="O155" s="45" t="str">
        <f>IFERROR(__xludf.DUMMYFUNCTION("""COMPUTED_VALUE"""),"OPTIMIST TIMONELES")</f>
        <v>OPTIMIST TIMONELES</v>
      </c>
      <c r="P155" s="45"/>
      <c r="Q155" s="7">
        <f>IFERROR(__xludf.DUMMYFUNCTION("""COMPUTED_VALUE"""),3862.0)</f>
        <v>3862</v>
      </c>
      <c r="R155" s="45"/>
      <c r="S155" s="45"/>
      <c r="T155" s="45"/>
      <c r="U155" s="45"/>
      <c r="V155" s="45"/>
      <c r="W155" s="45"/>
      <c r="X155" s="45"/>
      <c r="Y155" s="45" t="str">
        <f>IFERROR(__xludf.DUMMYFUNCTION("""COMPUTED_VALUE"""),"Iosper ")</f>
        <v>Iosper </v>
      </c>
      <c r="Z155" s="7" t="str">
        <f>IFERROR(__xludf.DUMMYFUNCTION("""COMPUTED_VALUE"""),"Si")</f>
        <v>Si</v>
      </c>
      <c r="AA155" s="7" t="str">
        <f>IFERROR(__xludf.DUMMYFUNCTION("""COMPUTED_VALUE"""),"Acepto")</f>
        <v>Acepto</v>
      </c>
      <c r="AB155" s="7" t="str">
        <f>IFERROR(__xludf.DUMMYFUNCTION("""COMPUTED_VALUE"""),"Pendiente")</f>
        <v>Pendiente</v>
      </c>
      <c r="AC155" s="7"/>
      <c r="AD155" s="7"/>
      <c r="AE155" s="45"/>
      <c r="AF155" s="7" t="str">
        <f>IFERROR(__xludf.DUMMYFUNCTION("""COMPUTED_VALUE"""),"OK")</f>
        <v>OK</v>
      </c>
      <c r="AG155" s="7"/>
    </row>
    <row r="156">
      <c r="B156" s="42">
        <f>IFERROR(__xludf.DUMMYFUNCTION("""COMPUTED_VALUE"""),45546.37442868056)</f>
        <v>45546.37443</v>
      </c>
      <c r="C156" s="7" t="str">
        <f>IFERROR(__xludf.DUMMYFUNCTION("""COMPUTED_VALUE"""),"Manuel")</f>
        <v>Manuel</v>
      </c>
      <c r="D156" s="7" t="str">
        <f>IFERROR(__xludf.DUMMYFUNCTION("""COMPUTED_VALUE"""),"Moreno Panzino")</f>
        <v>Moreno Panzino</v>
      </c>
      <c r="E156" s="7" t="str">
        <f>IFERROR(__xludf.DUMMYFUNCTION("""COMPUTED_VALUE"""),"San Isidro")</f>
        <v>San Isidro</v>
      </c>
      <c r="F156" s="45" t="str">
        <f>IFERROR(__xludf.DUMMYFUNCTION("""COMPUTED_VALUE"""),"ARG")</f>
        <v>ARG</v>
      </c>
      <c r="G156" s="7">
        <f>IFERROR(__xludf.DUMMYFUNCTION("""COMPUTED_VALUE"""),5.0417527E7)</f>
        <v>50417527</v>
      </c>
      <c r="H156" s="44">
        <f>IFERROR(__xludf.DUMMYFUNCTION("""COMPUTED_VALUE"""),40358.0)</f>
        <v>40358</v>
      </c>
      <c r="I156" s="45">
        <f>IFERROR(__xludf.DUMMYFUNCTION("""COMPUTED_VALUE"""),1.154789906E9)</f>
        <v>1154789906</v>
      </c>
      <c r="J156" s="45">
        <f>IFERROR(__xludf.DUMMYFUNCTION("""COMPUTED_VALUE"""),1.144952526E9)</f>
        <v>1144952526</v>
      </c>
      <c r="K156" s="45" t="str">
        <f>IFERROR(__xludf.DUMMYFUNCTION("""COMPUTED_VALUE"""),"maximo.moreno@gmail.com")</f>
        <v>maximo.moreno@gmail.com</v>
      </c>
      <c r="L156" s="45" t="str">
        <f>IFERROR(__xludf.DUMMYFUNCTION("""COMPUTED_VALUE"""),"Masculino")</f>
        <v>Masculino</v>
      </c>
      <c r="M156" s="45" t="str">
        <f>IFERROR(__xludf.DUMMYFUNCTION("""COMPUTED_VALUE"""),"CNSI")</f>
        <v>CNSI</v>
      </c>
      <c r="N156" s="45" t="str">
        <f>IFERROR(__xludf.DUMMYFUNCTION("""COMPUTED_VALUE"""),"Interior (Optimist)")</f>
        <v>Interior (Optimist)</v>
      </c>
      <c r="O156" s="45" t="str">
        <f>IFERROR(__xludf.DUMMYFUNCTION("""COMPUTED_VALUE"""),"OPTIMIST TIMONELES")</f>
        <v>OPTIMIST TIMONELES</v>
      </c>
      <c r="P156" s="45"/>
      <c r="Q156" s="7">
        <f>IFERROR(__xludf.DUMMYFUNCTION("""COMPUTED_VALUE"""),4059.0)</f>
        <v>4059</v>
      </c>
      <c r="R156" s="45"/>
      <c r="S156" s="45"/>
      <c r="T156" s="45"/>
      <c r="U156" s="45"/>
      <c r="V156" s="45"/>
      <c r="W156" s="45"/>
      <c r="X156" s="45"/>
      <c r="Y156" s="45" t="str">
        <f>IFERROR(__xludf.DUMMYFUNCTION("""COMPUTED_VALUE"""),"OSDE 61868549802")</f>
        <v>OSDE 61868549802</v>
      </c>
      <c r="Z156" s="7" t="str">
        <f>IFERROR(__xludf.DUMMYFUNCTION("""COMPUTED_VALUE"""),"Si")</f>
        <v>Si</v>
      </c>
      <c r="AA156" s="7" t="str">
        <f>IFERROR(__xludf.DUMMYFUNCTION("""COMPUTED_VALUE"""),"Acepto")</f>
        <v>Acepto</v>
      </c>
      <c r="AB156" s="7" t="str">
        <f>IFERROR(__xludf.DUMMYFUNCTION("""COMPUTED_VALUE"""),"Pendiente")</f>
        <v>Pendiente</v>
      </c>
      <c r="AC156" s="7"/>
      <c r="AD156" s="7"/>
      <c r="AE156" s="45"/>
      <c r="AF156" s="7" t="str">
        <f>IFERROR(__xludf.DUMMYFUNCTION("""COMPUTED_VALUE"""),"OK")</f>
        <v>OK</v>
      </c>
      <c r="AG156" s="7"/>
    </row>
    <row r="157">
      <c r="B157" s="42">
        <f>IFERROR(__xludf.DUMMYFUNCTION("""COMPUTED_VALUE"""),45546.42623440972)</f>
        <v>45546.42623</v>
      </c>
      <c r="C157" s="7" t="str">
        <f>IFERROR(__xludf.DUMMYFUNCTION("""COMPUTED_VALUE"""),"Pilar")</f>
        <v>Pilar</v>
      </c>
      <c r="D157" s="7" t="str">
        <f>IFERROR(__xludf.DUMMYFUNCTION("""COMPUTED_VALUE"""),"Zabala")</f>
        <v>Zabala</v>
      </c>
      <c r="E157" s="7" t="str">
        <f>IFERROR(__xludf.DUMMYFUNCTION("""COMPUTED_VALUE"""),"CABA")</f>
        <v>CABA</v>
      </c>
      <c r="F157" s="45" t="str">
        <f>IFERROR(__xludf.DUMMYFUNCTION("""COMPUTED_VALUE"""),"ARG")</f>
        <v>ARG</v>
      </c>
      <c r="G157" s="45">
        <f>IFERROR(__xludf.DUMMYFUNCTION("""COMPUTED_VALUE"""),5.1267743E7)</f>
        <v>51267743</v>
      </c>
      <c r="H157" s="44">
        <f>IFERROR(__xludf.DUMMYFUNCTION("""COMPUTED_VALUE"""),40723.0)</f>
        <v>40723</v>
      </c>
      <c r="I157" s="45">
        <f>IFERROR(__xludf.DUMMYFUNCTION("""COMPUTED_VALUE"""),1.161607139E9)</f>
        <v>1161607139</v>
      </c>
      <c r="J157" s="45">
        <f>IFERROR(__xludf.DUMMYFUNCTION("""COMPUTED_VALUE"""),1.156401702E9)</f>
        <v>1156401702</v>
      </c>
      <c r="K157" s="45" t="str">
        <f>IFERROR(__xludf.DUMMYFUNCTION("""COMPUTED_VALUE"""),"franciscozabala@gmail.com")</f>
        <v>franciscozabala@gmail.com</v>
      </c>
      <c r="L157" s="45" t="str">
        <f>IFERROR(__xludf.DUMMYFUNCTION("""COMPUTED_VALUE"""),"Femenino")</f>
        <v>Femenino</v>
      </c>
      <c r="M157" s="45" t="str">
        <f>IFERROR(__xludf.DUMMYFUNCTION("""COMPUTED_VALUE"""),"CUBA")</f>
        <v>CUBA</v>
      </c>
      <c r="N157" s="45" t="str">
        <f>IFERROR(__xludf.DUMMYFUNCTION("""COMPUTED_VALUE"""),"Femenino")</f>
        <v>Femenino</v>
      </c>
      <c r="O157" s="45" t="str">
        <f>IFERROR(__xludf.DUMMYFUNCTION("""COMPUTED_VALUE"""),"OPTIMIST TIMONELES")</f>
        <v>OPTIMIST TIMONELES</v>
      </c>
      <c r="P157" s="45"/>
      <c r="Q157" s="7">
        <f>IFERROR(__xludf.DUMMYFUNCTION("""COMPUTED_VALUE"""),3895.0)</f>
        <v>3895</v>
      </c>
      <c r="R157" s="45" t="str">
        <f>IFERROR(__xludf.DUMMYFUNCTION("""COMPUTED_VALUE"""),"Pilic")</f>
        <v>Pilic</v>
      </c>
      <c r="S157" s="45"/>
      <c r="T157" s="45"/>
      <c r="U157" s="45"/>
      <c r="V157" s="45"/>
      <c r="W157" s="45"/>
      <c r="X157" s="45"/>
      <c r="Y157" s="45" t="str">
        <f>IFERROR(__xludf.DUMMYFUNCTION("""COMPUTED_VALUE"""),"OSDE Nro. 61368940103")</f>
        <v>OSDE Nro. 61368940103</v>
      </c>
      <c r="Z157" s="7" t="str">
        <f>IFERROR(__xludf.DUMMYFUNCTION("""COMPUTED_VALUE"""),"Si")</f>
        <v>Si</v>
      </c>
      <c r="AA157" s="7" t="str">
        <f>IFERROR(__xludf.DUMMYFUNCTION("""COMPUTED_VALUE"""),"Acepto")</f>
        <v>Acepto</v>
      </c>
      <c r="AB157" s="7" t="str">
        <f>IFERROR(__xludf.DUMMYFUNCTION("""COMPUTED_VALUE"""),"Terminado")</f>
        <v>Terminado</v>
      </c>
      <c r="AC157" s="7">
        <f>IFERROR(__xludf.DUMMYFUNCTION("""COMPUTED_VALUE"""),50000.0)</f>
        <v>50000</v>
      </c>
      <c r="AD157" s="7">
        <f>IFERROR(__xludf.DUMMYFUNCTION("""COMPUTED_VALUE"""),205685.0)</f>
        <v>205685</v>
      </c>
      <c r="AE157" s="45" t="str">
        <f>IFERROR(__xludf.DUMMYFUNCTION("""COMPUTED_VALUE"""),"TRF 11-09")</f>
        <v>TRF 11-09</v>
      </c>
      <c r="AF157" s="7" t="str">
        <f>IFERROR(__xludf.DUMMYFUNCTION("""COMPUTED_VALUE"""),"OK")</f>
        <v>OK</v>
      </c>
      <c r="AG157" s="7"/>
    </row>
    <row r="158">
      <c r="B158" s="42">
        <f>IFERROR(__xludf.DUMMYFUNCTION("""COMPUTED_VALUE"""),45546.63327863426)</f>
        <v>45546.63328</v>
      </c>
      <c r="C158" s="7" t="str">
        <f>IFERROR(__xludf.DUMMYFUNCTION("""COMPUTED_VALUE"""),"Lucas")</f>
        <v>Lucas</v>
      </c>
      <c r="D158" s="7" t="str">
        <f>IFERROR(__xludf.DUMMYFUNCTION("""COMPUTED_VALUE"""),"Boeri Di Giorgio")</f>
        <v>Boeri Di Giorgio</v>
      </c>
      <c r="E158" s="7" t="str">
        <f>IFERROR(__xludf.DUMMYFUNCTION("""COMPUTED_VALUE"""),"La lucila")</f>
        <v>La lucila</v>
      </c>
      <c r="F158" s="45" t="str">
        <f>IFERROR(__xludf.DUMMYFUNCTION("""COMPUTED_VALUE"""),"ARG")</f>
        <v>ARG</v>
      </c>
      <c r="G158" s="45">
        <f>IFERROR(__xludf.DUMMYFUNCTION("""COMPUTED_VALUE"""),5.2030773E7)</f>
        <v>52030773</v>
      </c>
      <c r="H158" s="44">
        <f>IFERROR(__xludf.DUMMYFUNCTION("""COMPUTED_VALUE"""),40956.0)</f>
        <v>40956</v>
      </c>
      <c r="I158" s="45">
        <f>IFERROR(__xludf.DUMMYFUNCTION("""COMPUTED_VALUE"""),1.140960504E9)</f>
        <v>1140960504</v>
      </c>
      <c r="J158" s="45">
        <f>IFERROR(__xludf.DUMMYFUNCTION("""COMPUTED_VALUE"""),1.140960504E9)</f>
        <v>1140960504</v>
      </c>
      <c r="K158" s="45" t="str">
        <f>IFERROR(__xludf.DUMMYFUNCTION("""COMPUTED_VALUE"""),"Hernanboeri@gmail.com")</f>
        <v>Hernanboeri@gmail.com</v>
      </c>
      <c r="L158" s="45" t="str">
        <f>IFERROR(__xludf.DUMMYFUNCTION("""COMPUTED_VALUE"""),"Masculino")</f>
        <v>Masculino</v>
      </c>
      <c r="M158" s="45" t="str">
        <f>IFERROR(__xludf.DUMMYFUNCTION("""COMPUTED_VALUE"""),"Cpnlb")</f>
        <v>Cpnlb</v>
      </c>
      <c r="N158" s="45" t="str">
        <f>IFERROR(__xludf.DUMMYFUNCTION("""COMPUTED_VALUE"""),"Interior (Optimist)")</f>
        <v>Interior (Optimist)</v>
      </c>
      <c r="O158" s="45" t="str">
        <f>IFERROR(__xludf.DUMMYFUNCTION("""COMPUTED_VALUE"""),"OPTIMIST TIMONELES")</f>
        <v>OPTIMIST TIMONELES</v>
      </c>
      <c r="P158" s="45"/>
      <c r="Q158" s="7" t="str">
        <f>IFERROR(__xludf.DUMMYFUNCTION("""COMPUTED_VALUE"""),"USA 23061")</f>
        <v>USA 23061</v>
      </c>
      <c r="R158" s="45"/>
      <c r="S158" s="45"/>
      <c r="T158" s="45"/>
      <c r="U158" s="45"/>
      <c r="V158" s="45"/>
      <c r="W158" s="45"/>
      <c r="X158" s="45"/>
      <c r="Y158" s="45" t="str">
        <f>IFERROR(__xludf.DUMMYFUNCTION("""COMPUTED_VALUE"""),"Osde")</f>
        <v>Osde</v>
      </c>
      <c r="Z158" s="7" t="str">
        <f>IFERROR(__xludf.DUMMYFUNCTION("""COMPUTED_VALUE"""),"Si")</f>
        <v>Si</v>
      </c>
      <c r="AA158" s="7" t="str">
        <f>IFERROR(__xludf.DUMMYFUNCTION("""COMPUTED_VALUE"""),"Acepto")</f>
        <v>Acepto</v>
      </c>
      <c r="AB158" s="7" t="str">
        <f>IFERROR(__xludf.DUMMYFUNCTION("""COMPUTED_VALUE"""),"Pendiente")</f>
        <v>Pendiente</v>
      </c>
      <c r="AC158" s="7"/>
      <c r="AD158" s="7"/>
      <c r="AE158" s="45"/>
      <c r="AF158" s="45" t="str">
        <f>IFERROR(__xludf.DUMMYFUNCTION("""COMPUTED_VALUE"""),"OK")</f>
        <v>OK</v>
      </c>
      <c r="AG158" s="7" t="str">
        <f>IFERROR(__xludf.DUMMYFUNCTION("""COMPUTED_VALUE"""),"SI")</f>
        <v>SI</v>
      </c>
    </row>
    <row r="159">
      <c r="B159" s="42">
        <f>IFERROR(__xludf.DUMMYFUNCTION("""COMPUTED_VALUE"""),45546.63536767361)</f>
        <v>45546.63537</v>
      </c>
      <c r="C159" s="7" t="str">
        <f>IFERROR(__xludf.DUMMYFUNCTION("""COMPUTED_VALUE"""),"Mateo")</f>
        <v>Mateo</v>
      </c>
      <c r="D159" s="7" t="str">
        <f>IFERROR(__xludf.DUMMYFUNCTION("""COMPUTED_VALUE"""),"Boeri Di Giorgio")</f>
        <v>Boeri Di Giorgio</v>
      </c>
      <c r="E159" s="7" t="str">
        <f>IFERROR(__xludf.DUMMYFUNCTION("""COMPUTED_VALUE"""),"La Lucila")</f>
        <v>La Lucila</v>
      </c>
      <c r="F159" s="45" t="str">
        <f>IFERROR(__xludf.DUMMYFUNCTION("""COMPUTED_VALUE"""),"ARG")</f>
        <v>ARG</v>
      </c>
      <c r="G159" s="45">
        <f>IFERROR(__xludf.DUMMYFUNCTION("""COMPUTED_VALUE"""),5.0075107E7)</f>
        <v>50075107</v>
      </c>
      <c r="H159" s="44">
        <f>IFERROR(__xludf.DUMMYFUNCTION("""COMPUTED_VALUE"""),40197.0)</f>
        <v>40197</v>
      </c>
      <c r="I159" s="45">
        <f>IFERROR(__xludf.DUMMYFUNCTION("""COMPUTED_VALUE"""),1.140960504E9)</f>
        <v>1140960504</v>
      </c>
      <c r="J159" s="45">
        <f>IFERROR(__xludf.DUMMYFUNCTION("""COMPUTED_VALUE"""),1.140960504E9)</f>
        <v>1140960504</v>
      </c>
      <c r="K159" s="45" t="str">
        <f>IFERROR(__xludf.DUMMYFUNCTION("""COMPUTED_VALUE"""),"Hernanboeri@gmail.com")</f>
        <v>Hernanboeri@gmail.com</v>
      </c>
      <c r="L159" s="45" t="str">
        <f>IFERROR(__xludf.DUMMYFUNCTION("""COMPUTED_VALUE"""),"Masculino")</f>
        <v>Masculino</v>
      </c>
      <c r="M159" s="45" t="str">
        <f>IFERROR(__xludf.DUMMYFUNCTION("""COMPUTED_VALUE"""),"Cpnlb")</f>
        <v>Cpnlb</v>
      </c>
      <c r="N159" s="45" t="str">
        <f>IFERROR(__xludf.DUMMYFUNCTION("""COMPUTED_VALUE"""),"Interior (Optimist)")</f>
        <v>Interior (Optimist)</v>
      </c>
      <c r="O159" s="45" t="str">
        <f>IFERROR(__xludf.DUMMYFUNCTION("""COMPUTED_VALUE"""),"OPTIMIST TIMONELES")</f>
        <v>OPTIMIST TIMONELES</v>
      </c>
      <c r="P159" s="45"/>
      <c r="Q159" s="7">
        <f>IFERROR(__xludf.DUMMYFUNCTION("""COMPUTED_VALUE"""),4045.0)</f>
        <v>4045</v>
      </c>
      <c r="R159" s="45"/>
      <c r="S159" s="45"/>
      <c r="T159" s="45"/>
      <c r="U159" s="45"/>
      <c r="V159" s="45"/>
      <c r="W159" s="45"/>
      <c r="X159" s="45"/>
      <c r="Y159" s="45" t="str">
        <f>IFERROR(__xludf.DUMMYFUNCTION("""COMPUTED_VALUE"""),"Osde")</f>
        <v>Osde</v>
      </c>
      <c r="Z159" s="7" t="str">
        <f>IFERROR(__xludf.DUMMYFUNCTION("""COMPUTED_VALUE"""),"Si")</f>
        <v>Si</v>
      </c>
      <c r="AA159" s="7" t="str">
        <f>IFERROR(__xludf.DUMMYFUNCTION("""COMPUTED_VALUE"""),"Acepto")</f>
        <v>Acepto</v>
      </c>
      <c r="AB159" s="7" t="str">
        <f>IFERROR(__xludf.DUMMYFUNCTION("""COMPUTED_VALUE"""),"Pendiente")</f>
        <v>Pendiente</v>
      </c>
      <c r="AC159" s="7"/>
      <c r="AD159" s="7"/>
      <c r="AE159" s="45"/>
      <c r="AF159" s="45" t="str">
        <f>IFERROR(__xludf.DUMMYFUNCTION("""COMPUTED_VALUE"""),"OK")</f>
        <v>OK</v>
      </c>
      <c r="AG159" s="7" t="str">
        <f>IFERROR(__xludf.DUMMYFUNCTION("""COMPUTED_VALUE"""),"SI")</f>
        <v>SI</v>
      </c>
    </row>
    <row r="160">
      <c r="B160" s="42">
        <f>IFERROR(__xludf.DUMMYFUNCTION("""COMPUTED_VALUE"""),45546.63774982639)</f>
        <v>45546.63775</v>
      </c>
      <c r="C160" s="7" t="str">
        <f>IFERROR(__xludf.DUMMYFUNCTION("""COMPUTED_VALUE"""),"Camilo ")</f>
        <v>Camilo </v>
      </c>
      <c r="D160" s="7" t="str">
        <f>IFERROR(__xludf.DUMMYFUNCTION("""COMPUTED_VALUE"""),"Boeri Di Giorgio")</f>
        <v>Boeri Di Giorgio</v>
      </c>
      <c r="E160" s="7" t="str">
        <f>IFERROR(__xludf.DUMMYFUNCTION("""COMPUTED_VALUE"""),"La Lucila")</f>
        <v>La Lucila</v>
      </c>
      <c r="F160" s="45" t="str">
        <f>IFERROR(__xludf.DUMMYFUNCTION("""COMPUTED_VALUE"""),"ARG")</f>
        <v>ARG</v>
      </c>
      <c r="G160" s="45">
        <f>IFERROR(__xludf.DUMMYFUNCTION("""COMPUTED_VALUE"""),5.4038691E7)</f>
        <v>54038691</v>
      </c>
      <c r="H160" s="44">
        <f>IFERROR(__xludf.DUMMYFUNCTION("""COMPUTED_VALUE"""),41779.0)</f>
        <v>41779</v>
      </c>
      <c r="I160" s="45">
        <f>IFERROR(__xludf.DUMMYFUNCTION("""COMPUTED_VALUE"""),1.140960504E9)</f>
        <v>1140960504</v>
      </c>
      <c r="J160" s="45">
        <f>IFERROR(__xludf.DUMMYFUNCTION("""COMPUTED_VALUE"""),1.140960504E9)</f>
        <v>1140960504</v>
      </c>
      <c r="K160" s="45" t="str">
        <f>IFERROR(__xludf.DUMMYFUNCTION("""COMPUTED_VALUE"""),"Hernanboeri@gmail.com")</f>
        <v>Hernanboeri@gmail.com</v>
      </c>
      <c r="L160" s="45" t="str">
        <f>IFERROR(__xludf.DUMMYFUNCTION("""COMPUTED_VALUE"""),"Masculino")</f>
        <v>Masculino</v>
      </c>
      <c r="M160" s="45" t="str">
        <f>IFERROR(__xludf.DUMMYFUNCTION("""COMPUTED_VALUE"""),"Cpnlb")</f>
        <v>Cpnlb</v>
      </c>
      <c r="N160" s="45" t="str">
        <f>IFERROR(__xludf.DUMMYFUNCTION("""COMPUTED_VALUE"""),"Interior (Optimist)")</f>
        <v>Interior (Optimist)</v>
      </c>
      <c r="O160" s="45" t="str">
        <f>IFERROR(__xludf.DUMMYFUNCTION("""COMPUTED_VALUE"""),"OPTIMIST TIMONELES")</f>
        <v>OPTIMIST TIMONELES</v>
      </c>
      <c r="P160" s="45"/>
      <c r="Q160" s="7">
        <f>IFERROR(__xludf.DUMMYFUNCTION("""COMPUTED_VALUE"""),3316.0)</f>
        <v>3316</v>
      </c>
      <c r="R160" s="45"/>
      <c r="S160" s="45"/>
      <c r="T160" s="45"/>
      <c r="U160" s="45"/>
      <c r="V160" s="45"/>
      <c r="W160" s="45"/>
      <c r="X160" s="45"/>
      <c r="Y160" s="45" t="str">
        <f>IFERROR(__xludf.DUMMYFUNCTION("""COMPUTED_VALUE"""),"Osde")</f>
        <v>Osde</v>
      </c>
      <c r="Z160" s="7" t="str">
        <f>IFERROR(__xludf.DUMMYFUNCTION("""COMPUTED_VALUE"""),"Si")</f>
        <v>Si</v>
      </c>
      <c r="AA160" s="7" t="str">
        <f>IFERROR(__xludf.DUMMYFUNCTION("""COMPUTED_VALUE"""),"Acepto")</f>
        <v>Acepto</v>
      </c>
      <c r="AB160" s="7" t="str">
        <f>IFERROR(__xludf.DUMMYFUNCTION("""COMPUTED_VALUE"""),"Pendiente")</f>
        <v>Pendiente</v>
      </c>
      <c r="AC160" s="7"/>
      <c r="AD160" s="7"/>
      <c r="AE160" s="45"/>
      <c r="AF160" s="45" t="str">
        <f>IFERROR(__xludf.DUMMYFUNCTION("""COMPUTED_VALUE"""),"OK")</f>
        <v>OK</v>
      </c>
      <c r="AG160" s="7" t="str">
        <f>IFERROR(__xludf.DUMMYFUNCTION("""COMPUTED_VALUE"""),"SI")</f>
        <v>SI</v>
      </c>
    </row>
    <row r="161">
      <c r="B161" s="42">
        <f>IFERROR(__xludf.DUMMYFUNCTION("""COMPUTED_VALUE"""),45546.911295150465)</f>
        <v>45546.9113</v>
      </c>
      <c r="C161" s="7" t="str">
        <f>IFERROR(__xludf.DUMMYFUNCTION("""COMPUTED_VALUE"""),"Mía ")</f>
        <v>Mía </v>
      </c>
      <c r="D161" s="7" t="str">
        <f>IFERROR(__xludf.DUMMYFUNCTION("""COMPUTED_VALUE"""),"De Bernardis ")</f>
        <v>De Bernardis </v>
      </c>
      <c r="E161" s="7" t="str">
        <f>IFERROR(__xludf.DUMMYFUNCTION("""COMPUTED_VALUE"""),"CABA ")</f>
        <v>CABA </v>
      </c>
      <c r="F161" s="45" t="str">
        <f>IFERROR(__xludf.DUMMYFUNCTION("""COMPUTED_VALUE"""),"ARG")</f>
        <v>ARG</v>
      </c>
      <c r="G161" s="45">
        <f>IFERROR(__xludf.DUMMYFUNCTION("""COMPUTED_VALUE"""),5.0510057E7)</f>
        <v>50510057</v>
      </c>
      <c r="H161" s="44">
        <f>IFERROR(__xludf.DUMMYFUNCTION("""COMPUTED_VALUE"""),40431.0)</f>
        <v>40431</v>
      </c>
      <c r="I161" s="45">
        <f>IFERROR(__xludf.DUMMYFUNCTION("""COMPUTED_VALUE"""),5.491160461122E12)</f>
        <v>5491160461122</v>
      </c>
      <c r="J161" s="45">
        <f>IFERROR(__xludf.DUMMYFUNCTION("""COMPUTED_VALUE"""),5.491140818515E12)</f>
        <v>5491140818515</v>
      </c>
      <c r="K161" s="45" t="str">
        <f>IFERROR(__xludf.DUMMYFUNCTION("""COMPUTED_VALUE"""),"Esperonpatricia@gmail.com")</f>
        <v>Esperonpatricia@gmail.com</v>
      </c>
      <c r="L161" s="45" t="str">
        <f>IFERROR(__xludf.DUMMYFUNCTION("""COMPUTED_VALUE"""),"Femenino")</f>
        <v>Femenino</v>
      </c>
      <c r="M161" s="45" t="str">
        <f>IFERROR(__xludf.DUMMYFUNCTION("""COMPUTED_VALUE"""),"YCA")</f>
        <v>YCA</v>
      </c>
      <c r="N161" s="45" t="str">
        <f>IFERROR(__xludf.DUMMYFUNCTION("""COMPUTED_VALUE"""),"Femenino")</f>
        <v>Femenino</v>
      </c>
      <c r="O161" s="45" t="str">
        <f>IFERROR(__xludf.DUMMYFUNCTION("""COMPUTED_VALUE"""),"OPTIMIST TIMONELES")</f>
        <v>OPTIMIST TIMONELES</v>
      </c>
      <c r="P161" s="45"/>
      <c r="Q161" s="7">
        <f>IFERROR(__xludf.DUMMYFUNCTION("""COMPUTED_VALUE"""),3821.0)</f>
        <v>3821</v>
      </c>
      <c r="R161" s="45"/>
      <c r="S161" s="45"/>
      <c r="T161" s="45"/>
      <c r="U161" s="45"/>
      <c r="V161" s="45"/>
      <c r="W161" s="45"/>
      <c r="X161" s="45"/>
      <c r="Y161" s="45" t="str">
        <f>IFERROR(__xludf.DUMMYFUNCTION("""COMPUTED_VALUE"""),"OMINT")</f>
        <v>OMINT</v>
      </c>
      <c r="Z161" s="7" t="str">
        <f>IFERROR(__xludf.DUMMYFUNCTION("""COMPUTED_VALUE"""),"No")</f>
        <v>No</v>
      </c>
      <c r="AA161" s="7" t="str">
        <f>IFERROR(__xludf.DUMMYFUNCTION("""COMPUTED_VALUE"""),"Acepto")</f>
        <v>Acepto</v>
      </c>
      <c r="AB161" s="7" t="str">
        <f>IFERROR(__xludf.DUMMYFUNCTION("""COMPUTED_VALUE"""),"Terminado")</f>
        <v>Terminado</v>
      </c>
      <c r="AC161" s="7">
        <f>IFERROR(__xludf.DUMMYFUNCTION("""COMPUTED_VALUE"""),50000.0)</f>
        <v>50000</v>
      </c>
      <c r="AD161" s="7">
        <f>IFERROR(__xludf.DUMMYFUNCTION("""COMPUTED_VALUE"""),205702.0)</f>
        <v>205702</v>
      </c>
      <c r="AE161" s="45" t="str">
        <f>IFERROR(__xludf.DUMMYFUNCTION("""COMPUTED_VALUE"""),"TRF 11-09")</f>
        <v>TRF 11-09</v>
      </c>
      <c r="AF161" s="45" t="str">
        <f>IFERROR(__xludf.DUMMYFUNCTION("""COMPUTED_VALUE"""),"OK")</f>
        <v>OK</v>
      </c>
      <c r="AG161" s="7"/>
    </row>
    <row r="162">
      <c r="B162" s="42">
        <f>IFERROR(__xludf.DUMMYFUNCTION("""COMPUTED_VALUE"""),45547.30091913194)</f>
        <v>45547.30092</v>
      </c>
      <c r="C162" s="7" t="str">
        <f>IFERROR(__xludf.DUMMYFUNCTION("""COMPUTED_VALUE"""),"Cami")</f>
        <v>Cami</v>
      </c>
      <c r="D162" s="7" t="str">
        <f>IFERROR(__xludf.DUMMYFUNCTION("""COMPUTED_VALUE"""),"García laborde")</f>
        <v>García laborde</v>
      </c>
      <c r="E162" s="7" t="str">
        <f>IFERROR(__xludf.DUMMYFUNCTION("""COMPUTED_VALUE"""),"CABA")</f>
        <v>CABA</v>
      </c>
      <c r="F162" s="45" t="str">
        <f>IFERROR(__xludf.DUMMYFUNCTION("""COMPUTED_VALUE"""),"ARG")</f>
        <v>ARG</v>
      </c>
      <c r="G162" s="45">
        <f>IFERROR(__xludf.DUMMYFUNCTION("""COMPUTED_VALUE"""),5.2613001E7)</f>
        <v>52613001</v>
      </c>
      <c r="H162" s="44">
        <f>IFERROR(__xludf.DUMMYFUNCTION("""COMPUTED_VALUE"""),41040.0)</f>
        <v>41040</v>
      </c>
      <c r="I162" s="45">
        <f>IFERROR(__xludf.DUMMYFUNCTION("""COMPUTED_VALUE"""),1.140624064E9)</f>
        <v>1140624064</v>
      </c>
      <c r="J162" s="45">
        <f>IFERROR(__xludf.DUMMYFUNCTION("""COMPUTED_VALUE"""),1.140624064E9)</f>
        <v>1140624064</v>
      </c>
      <c r="K162" s="45" t="str">
        <f>IFERROR(__xludf.DUMMYFUNCTION("""COMPUTED_VALUE"""),"Igarcialaborde@gmail.com")</f>
        <v>Igarcialaborde@gmail.com</v>
      </c>
      <c r="L162" s="45" t="str">
        <f>IFERROR(__xludf.DUMMYFUNCTION("""COMPUTED_VALUE"""),"Femenino")</f>
        <v>Femenino</v>
      </c>
      <c r="M162" s="45" t="str">
        <f>IFERROR(__xludf.DUMMYFUNCTION("""COMPUTED_VALUE"""),"CNSI")</f>
        <v>CNSI</v>
      </c>
      <c r="N162" s="45" t="str">
        <f>IFERROR(__xludf.DUMMYFUNCTION("""COMPUTED_VALUE"""),"Femenino")</f>
        <v>Femenino</v>
      </c>
      <c r="O162" s="45" t="str">
        <f>IFERROR(__xludf.DUMMYFUNCTION("""COMPUTED_VALUE"""),"OPTIMIST TIMONELES")</f>
        <v>OPTIMIST TIMONELES</v>
      </c>
      <c r="P162" s="45"/>
      <c r="Q162" s="7" t="str">
        <f>IFERROR(__xludf.DUMMYFUNCTION("""COMPUTED_VALUE"""),"ARG 4100")</f>
        <v>ARG 4100</v>
      </c>
      <c r="R162" s="45"/>
      <c r="S162" s="45"/>
      <c r="T162" s="45"/>
      <c r="U162" s="45"/>
      <c r="V162" s="45"/>
      <c r="W162" s="45"/>
      <c r="X162" s="45"/>
      <c r="Y162" s="45" t="str">
        <f>IFERROR(__xludf.DUMMYFUNCTION("""COMPUTED_VALUE"""),"Swiss Medicam")</f>
        <v>Swiss Medicam</v>
      </c>
      <c r="Z162" s="7" t="str">
        <f>IFERROR(__xludf.DUMMYFUNCTION("""COMPUTED_VALUE"""),"Si")</f>
        <v>Si</v>
      </c>
      <c r="AA162" s="7" t="str">
        <f>IFERROR(__xludf.DUMMYFUNCTION("""COMPUTED_VALUE"""),"Acepto")</f>
        <v>Acepto</v>
      </c>
      <c r="AB162" s="7" t="str">
        <f>IFERROR(__xludf.DUMMYFUNCTION("""COMPUTED_VALUE"""),"Pendiente")</f>
        <v>Pendiente</v>
      </c>
      <c r="AC162" s="7"/>
      <c r="AD162" s="7"/>
      <c r="AE162" s="45"/>
      <c r="AF162" s="45" t="str">
        <f>IFERROR(__xludf.DUMMYFUNCTION("""COMPUTED_VALUE"""),"OK")</f>
        <v>OK</v>
      </c>
      <c r="AG162" s="7"/>
    </row>
    <row r="163">
      <c r="B163" s="42">
        <f>IFERROR(__xludf.DUMMYFUNCTION("""COMPUTED_VALUE"""),45547.317589687504)</f>
        <v>45547.31759</v>
      </c>
      <c r="C163" s="7" t="str">
        <f>IFERROR(__xludf.DUMMYFUNCTION("""COMPUTED_VALUE"""),"Renata")</f>
        <v>Renata</v>
      </c>
      <c r="D163" s="7" t="str">
        <f>IFERROR(__xludf.DUMMYFUNCTION("""COMPUTED_VALUE"""),"Godoy")</f>
        <v>Godoy</v>
      </c>
      <c r="E163" s="7" t="str">
        <f>IFERROR(__xludf.DUMMYFUNCTION("""COMPUTED_VALUE"""),"Parana")</f>
        <v>Parana</v>
      </c>
      <c r="F163" s="45" t="str">
        <f>IFERROR(__xludf.DUMMYFUNCTION("""COMPUTED_VALUE"""),"ARG")</f>
        <v>ARG</v>
      </c>
      <c r="G163" s="45">
        <f>IFERROR(__xludf.DUMMYFUNCTION("""COMPUTED_VALUE"""),5.1422775E7)</f>
        <v>51422775</v>
      </c>
      <c r="H163" s="44">
        <f>IFERROR(__xludf.DUMMYFUNCTION("""COMPUTED_VALUE"""),40855.0)</f>
        <v>40855</v>
      </c>
      <c r="I163" s="45">
        <f>IFERROR(__xludf.DUMMYFUNCTION("""COMPUTED_VALUE"""),3.435213588E9)</f>
        <v>3435213588</v>
      </c>
      <c r="J163" s="45">
        <f>IFERROR(__xludf.DUMMYFUNCTION("""COMPUTED_VALUE"""),3.435213588E9)</f>
        <v>3435213588</v>
      </c>
      <c r="K163" s="45" t="str">
        <f>IFERROR(__xludf.DUMMYFUNCTION("""COMPUTED_VALUE"""),"colo.ngk826@gmail.com")</f>
        <v>colo.ngk826@gmail.com</v>
      </c>
      <c r="L163" s="45" t="str">
        <f>IFERROR(__xludf.DUMMYFUNCTION("""COMPUTED_VALUE"""),"Femenino")</f>
        <v>Femenino</v>
      </c>
      <c r="M163" s="45" t="str">
        <f>IFERROR(__xludf.DUMMYFUNCTION("""COMPUTED_VALUE"""),"CNP")</f>
        <v>CNP</v>
      </c>
      <c r="N163" s="45" t="str">
        <f>IFERROR(__xludf.DUMMYFUNCTION("""COMPUTED_VALUE"""),"Femenino, Interior (Optimist)")</f>
        <v>Femenino, Interior (Optimist)</v>
      </c>
      <c r="O163" s="45" t="str">
        <f>IFERROR(__xludf.DUMMYFUNCTION("""COMPUTED_VALUE"""),"OPTIMIST TIMONELES")</f>
        <v>OPTIMIST TIMONELES</v>
      </c>
      <c r="P163" s="45" t="str">
        <f>IFERROR(__xludf.DUMMYFUNCTION("""COMPUTED_VALUE"""),"No")</f>
        <v>No</v>
      </c>
      <c r="Q163" s="7">
        <f>IFERROR(__xludf.DUMMYFUNCTION("""COMPUTED_VALUE"""),3862.0)</f>
        <v>3862</v>
      </c>
      <c r="R163" s="45"/>
      <c r="S163" s="45"/>
      <c r="T163" s="45"/>
      <c r="U163" s="45"/>
      <c r="V163" s="45"/>
      <c r="W163" s="45"/>
      <c r="X163" s="45"/>
      <c r="Y163" s="45" t="str">
        <f>IFERROR(__xludf.DUMMYFUNCTION("""COMPUTED_VALUE"""),"Iosper 513435213588")</f>
        <v>Iosper 513435213588</v>
      </c>
      <c r="Z163" s="7" t="str">
        <f>IFERROR(__xludf.DUMMYFUNCTION("""COMPUTED_VALUE"""),"Si")</f>
        <v>Si</v>
      </c>
      <c r="AA163" s="7" t="str">
        <f>IFERROR(__xludf.DUMMYFUNCTION("""COMPUTED_VALUE"""),"Acepto")</f>
        <v>Acepto</v>
      </c>
      <c r="AB163" s="7" t="str">
        <f>IFERROR(__xludf.DUMMYFUNCTION("""COMPUTED_VALUE"""),"Pendiente")</f>
        <v>Pendiente</v>
      </c>
      <c r="AC163" s="7"/>
      <c r="AD163" s="7"/>
      <c r="AE163" s="45"/>
      <c r="AF163" s="45" t="str">
        <f>IFERROR(__xludf.DUMMYFUNCTION("""COMPUTED_VALUE"""),"OK")</f>
        <v>OK</v>
      </c>
      <c r="AG163" s="7"/>
    </row>
    <row r="164">
      <c r="B164" s="42">
        <f>IFERROR(__xludf.DUMMYFUNCTION("""COMPUTED_VALUE"""),45547.34009798611)</f>
        <v>45547.3401</v>
      </c>
      <c r="C164" s="7" t="str">
        <f>IFERROR(__xludf.DUMMYFUNCTION("""COMPUTED_VALUE"""),"Renata ")</f>
        <v>Renata </v>
      </c>
      <c r="D164" s="7" t="str">
        <f>IFERROR(__xludf.DUMMYFUNCTION("""COMPUTED_VALUE"""),"Godoy ")</f>
        <v>Godoy </v>
      </c>
      <c r="E164" s="7" t="str">
        <f>IFERROR(__xludf.DUMMYFUNCTION("""COMPUTED_VALUE"""),"Parana")</f>
        <v>Parana</v>
      </c>
      <c r="F164" s="45" t="str">
        <f>IFERROR(__xludf.DUMMYFUNCTION("""COMPUTED_VALUE"""),"ARG")</f>
        <v>ARG</v>
      </c>
      <c r="G164" s="45">
        <f>IFERROR(__xludf.DUMMYFUNCTION("""COMPUTED_VALUE"""),5.1422775E7)</f>
        <v>51422775</v>
      </c>
      <c r="H164" s="44">
        <f>IFERROR(__xludf.DUMMYFUNCTION("""COMPUTED_VALUE"""),40855.0)</f>
        <v>40855</v>
      </c>
      <c r="I164" s="45">
        <f>IFERROR(__xludf.DUMMYFUNCTION("""COMPUTED_VALUE"""),3.435213588E9)</f>
        <v>3435213588</v>
      </c>
      <c r="J164" s="45">
        <f>IFERROR(__xludf.DUMMYFUNCTION("""COMPUTED_VALUE"""),3.435213588E9)</f>
        <v>3435213588</v>
      </c>
      <c r="K164" s="45" t="str">
        <f>IFERROR(__xludf.DUMMYFUNCTION("""COMPUTED_VALUE"""),"colo.ngk826@gmail.com")</f>
        <v>colo.ngk826@gmail.com</v>
      </c>
      <c r="L164" s="45" t="str">
        <f>IFERROR(__xludf.DUMMYFUNCTION("""COMPUTED_VALUE"""),"Femenino")</f>
        <v>Femenino</v>
      </c>
      <c r="M164" s="45" t="str">
        <f>IFERROR(__xludf.DUMMYFUNCTION("""COMPUTED_VALUE"""),"CNP")</f>
        <v>CNP</v>
      </c>
      <c r="N164" s="45" t="str">
        <f>IFERROR(__xludf.DUMMYFUNCTION("""COMPUTED_VALUE"""),"Femenino, Interior (Optimist)")</f>
        <v>Femenino, Interior (Optimist)</v>
      </c>
      <c r="O164" s="45" t="str">
        <f>IFERROR(__xludf.DUMMYFUNCTION("""COMPUTED_VALUE"""),"OPTIMIST TIMONELES")</f>
        <v>OPTIMIST TIMONELES</v>
      </c>
      <c r="P164" s="45"/>
      <c r="Q164" s="7">
        <f>IFERROR(__xludf.DUMMYFUNCTION("""COMPUTED_VALUE"""),3862.0)</f>
        <v>3862</v>
      </c>
      <c r="R164" s="45"/>
      <c r="S164" s="45"/>
      <c r="T164" s="45"/>
      <c r="U164" s="45"/>
      <c r="V164" s="45"/>
      <c r="W164" s="45"/>
      <c r="X164" s="45"/>
      <c r="Y164" s="45" t="str">
        <f>IFERROR(__xludf.DUMMYFUNCTION("""COMPUTED_VALUE"""),"Iosper 51422775")</f>
        <v>Iosper 51422775</v>
      </c>
      <c r="Z164" s="7" t="str">
        <f>IFERROR(__xludf.DUMMYFUNCTION("""COMPUTED_VALUE"""),"Si")</f>
        <v>Si</v>
      </c>
      <c r="AA164" s="7" t="str">
        <f>IFERROR(__xludf.DUMMYFUNCTION("""COMPUTED_VALUE"""),"Acepto")</f>
        <v>Acepto</v>
      </c>
      <c r="AB164" s="7" t="str">
        <f>IFERROR(__xludf.DUMMYFUNCTION("""COMPUTED_VALUE"""),"Repetido")</f>
        <v>Repetido</v>
      </c>
      <c r="AC164" s="7"/>
      <c r="AD164" s="7"/>
      <c r="AE164" s="45"/>
      <c r="AF164" s="45"/>
      <c r="AG164" s="7"/>
    </row>
    <row r="165">
      <c r="B165" s="42">
        <f>IFERROR(__xludf.DUMMYFUNCTION("""COMPUTED_VALUE"""),45547.47848775463)</f>
        <v>45547.47849</v>
      </c>
      <c r="C165" s="7" t="str">
        <f>IFERROR(__xludf.DUMMYFUNCTION("""COMPUTED_VALUE"""),"Juana ")</f>
        <v>Juana </v>
      </c>
      <c r="D165" s="7" t="str">
        <f>IFERROR(__xludf.DUMMYFUNCTION("""COMPUTED_VALUE"""),"Rother ")</f>
        <v>Rother </v>
      </c>
      <c r="E165" s="7" t="str">
        <f>IFERROR(__xludf.DUMMYFUNCTION("""COMPUTED_VALUE"""),"La plata ")</f>
        <v>La plata </v>
      </c>
      <c r="F165" s="45" t="str">
        <f>IFERROR(__xludf.DUMMYFUNCTION("""COMPUTED_VALUE"""),"ARG")</f>
        <v>ARG</v>
      </c>
      <c r="G165" s="45">
        <f>IFERROR(__xludf.DUMMYFUNCTION("""COMPUTED_VALUE"""),4.6566436E7)</f>
        <v>46566436</v>
      </c>
      <c r="H165" s="44">
        <f>IFERROR(__xludf.DUMMYFUNCTION("""COMPUTED_VALUE"""),38496.0)</f>
        <v>38496</v>
      </c>
      <c r="I165" s="45">
        <f>IFERROR(__xludf.DUMMYFUNCTION("""COMPUTED_VALUE"""),2.213537863E9)</f>
        <v>2213537863</v>
      </c>
      <c r="J165" s="45">
        <f>IFERROR(__xludf.DUMMYFUNCTION("""COMPUTED_VALUE"""),2.213537863E9)</f>
        <v>2213537863</v>
      </c>
      <c r="K165" s="45" t="str">
        <f>IFERROR(__xludf.DUMMYFUNCTION("""COMPUTED_VALUE"""),"juanarother7@gmail.com")</f>
        <v>juanarother7@gmail.com</v>
      </c>
      <c r="L165" s="45" t="str">
        <f>IFERROR(__xludf.DUMMYFUNCTION("""COMPUTED_VALUE"""),"Femenino")</f>
        <v>Femenino</v>
      </c>
      <c r="M165" s="45" t="str">
        <f>IFERROR(__xludf.DUMMYFUNCTION("""COMPUTED_VALUE"""),"CRLP")</f>
        <v>CRLP</v>
      </c>
      <c r="N165" s="45" t="str">
        <f>IFERROR(__xludf.DUMMYFUNCTION("""COMPUTED_VALUE"""),"Entrenador")</f>
        <v>Entrenador</v>
      </c>
      <c r="O165" s="45" t="str">
        <f>IFERROR(__xludf.DUMMYFUNCTION("""COMPUTED_VALUE"""),"OPTIMIST TIMONELES")</f>
        <v>OPTIMIST TIMONELES</v>
      </c>
      <c r="P165" s="45"/>
      <c r="Q165" s="7">
        <f>IFERROR(__xludf.DUMMYFUNCTION("""COMPUTED_VALUE"""),111.0)</f>
        <v>111</v>
      </c>
      <c r="R165" s="45"/>
      <c r="S165" s="45"/>
      <c r="T165" s="45"/>
      <c r="U165" s="45"/>
      <c r="V165" s="45"/>
      <c r="W165" s="45"/>
      <c r="X165" s="45"/>
      <c r="Y165" s="45" t="str">
        <f>IFERROR(__xludf.DUMMYFUNCTION("""COMPUTED_VALUE"""),"IOMA")</f>
        <v>IOMA</v>
      </c>
      <c r="Z165" s="7" t="str">
        <f>IFERROR(__xludf.DUMMYFUNCTION("""COMPUTED_VALUE"""),"Si")</f>
        <v>Si</v>
      </c>
      <c r="AA165" s="7" t="str">
        <f>IFERROR(__xludf.DUMMYFUNCTION("""COMPUTED_VALUE"""),"Acepto")</f>
        <v>Acepto</v>
      </c>
      <c r="AB165" s="7" t="str">
        <f>IFERROR(__xludf.DUMMYFUNCTION("""COMPUTED_VALUE"""),"Pendiente")</f>
        <v>Pendiente</v>
      </c>
      <c r="AC165" s="7"/>
      <c r="AD165" s="7"/>
      <c r="AE165" s="45"/>
      <c r="AF165" s="45" t="str">
        <f>IFERROR(__xludf.DUMMYFUNCTION("""COMPUTED_VALUE"""),"No Corresp")</f>
        <v>No Corresp</v>
      </c>
      <c r="AG165" s="7"/>
    </row>
    <row r="166">
      <c r="B166" s="42">
        <f>IFERROR(__xludf.DUMMYFUNCTION("""COMPUTED_VALUE"""),45547.63805434028)</f>
        <v>45547.63805</v>
      </c>
      <c r="C166" s="7" t="str">
        <f>IFERROR(__xludf.DUMMYFUNCTION("""COMPUTED_VALUE"""),"Felipe")</f>
        <v>Felipe</v>
      </c>
      <c r="D166" s="7" t="str">
        <f>IFERROR(__xludf.DUMMYFUNCTION("""COMPUTED_VALUE"""),"González Villalba")</f>
        <v>González Villalba</v>
      </c>
      <c r="E166" s="7" t="str">
        <f>IFERROR(__xludf.DUMMYFUNCTION("""COMPUTED_VALUE"""),"Caba")</f>
        <v>Caba</v>
      </c>
      <c r="F166" s="45" t="str">
        <f>IFERROR(__xludf.DUMMYFUNCTION("""COMPUTED_VALUE"""),"ARG")</f>
        <v>ARG</v>
      </c>
      <c r="G166" s="45">
        <f>IFERROR(__xludf.DUMMYFUNCTION("""COMPUTED_VALUE"""),5.0681138E7)</f>
        <v>50681138</v>
      </c>
      <c r="H166" s="44">
        <f>IFERROR(__xludf.DUMMYFUNCTION("""COMPUTED_VALUE"""),40448.0)</f>
        <v>40448</v>
      </c>
      <c r="I166" s="45">
        <f>IFERROR(__xludf.DUMMYFUNCTION("""COMPUTED_VALUE"""),1.154004972E9)</f>
        <v>1154004972</v>
      </c>
      <c r="J166" s="45">
        <f>IFERROR(__xludf.DUMMYFUNCTION("""COMPUTED_VALUE"""),1.154004972E9)</f>
        <v>1154004972</v>
      </c>
      <c r="K166" s="45" t="str">
        <f>IFERROR(__xludf.DUMMYFUNCTION("""COMPUTED_VALUE"""),"aegnzlz@gmail.com")</f>
        <v>aegnzlz@gmail.com</v>
      </c>
      <c r="L166" s="45" t="str">
        <f>IFERROR(__xludf.DUMMYFUNCTION("""COMPUTED_VALUE"""),"Masculino")</f>
        <v>Masculino</v>
      </c>
      <c r="M166" s="45" t="str">
        <f>IFERROR(__xludf.DUMMYFUNCTION("""COMPUTED_VALUE"""),"CVB")</f>
        <v>CVB</v>
      </c>
      <c r="N166" s="45"/>
      <c r="O166" s="45" t="str">
        <f>IFERROR(__xludf.DUMMYFUNCTION("""COMPUTED_VALUE"""),"OPTIMIST TIMONELES")</f>
        <v>OPTIMIST TIMONELES</v>
      </c>
      <c r="P166" s="45"/>
      <c r="Q166" s="7">
        <f>IFERROR(__xludf.DUMMYFUNCTION("""COMPUTED_VALUE"""),4148.0)</f>
        <v>4148</v>
      </c>
      <c r="R166" s="45"/>
      <c r="S166" s="45"/>
      <c r="T166" s="45"/>
      <c r="U166" s="45"/>
      <c r="V166" s="45"/>
      <c r="W166" s="45"/>
      <c r="X166" s="45"/>
      <c r="Y166" s="45" t="str">
        <f>IFERROR(__xludf.DUMMYFUNCTION("""COMPUTED_VALUE"""),"OSDIPP")</f>
        <v>OSDIPP</v>
      </c>
      <c r="Z166" s="7" t="str">
        <f>IFERROR(__xludf.DUMMYFUNCTION("""COMPUTED_VALUE"""),"Si")</f>
        <v>Si</v>
      </c>
      <c r="AA166" s="7" t="str">
        <f>IFERROR(__xludf.DUMMYFUNCTION("""COMPUTED_VALUE"""),"Acepto")</f>
        <v>Acepto</v>
      </c>
      <c r="AB166" s="7" t="str">
        <f>IFERROR(__xludf.DUMMYFUNCTION("""COMPUTED_VALUE"""),"Pendiente")</f>
        <v>Pendiente</v>
      </c>
      <c r="AC166" s="7"/>
      <c r="AD166" s="7"/>
      <c r="AE166" s="45"/>
      <c r="AF166" s="45" t="str">
        <f>IFERROR(__xludf.DUMMYFUNCTION("""COMPUTED_VALUE"""),"OK")</f>
        <v>OK</v>
      </c>
      <c r="AG166" s="7"/>
    </row>
    <row r="167">
      <c r="C167" s="7"/>
      <c r="D167" s="7"/>
      <c r="E167" s="7"/>
      <c r="Q167" s="7"/>
      <c r="Z167" s="7"/>
      <c r="AA167" s="7"/>
      <c r="AB167" s="7"/>
      <c r="AC167" s="7"/>
      <c r="AD167" s="7"/>
      <c r="AG167" s="7"/>
    </row>
    <row r="168">
      <c r="C168" s="7"/>
      <c r="D168" s="7"/>
      <c r="E168" s="7"/>
      <c r="Q168" s="7"/>
      <c r="Z168" s="7"/>
      <c r="AA168" s="7"/>
      <c r="AB168" s="7"/>
      <c r="AC168" s="7"/>
      <c r="AD168" s="7"/>
      <c r="AG168" s="7"/>
    </row>
    <row r="169">
      <c r="C169" s="7"/>
      <c r="D169" s="7"/>
      <c r="E169" s="7"/>
      <c r="Q169" s="7"/>
      <c r="Z169" s="7"/>
      <c r="AA169" s="7"/>
      <c r="AB169" s="7"/>
      <c r="AC169" s="7"/>
      <c r="AD169" s="7"/>
      <c r="AG169" s="7"/>
    </row>
    <row r="170">
      <c r="C170" s="7"/>
      <c r="D170" s="7"/>
      <c r="E170" s="7"/>
      <c r="Q170" s="7"/>
      <c r="Z170" s="7"/>
      <c r="AA170" s="7"/>
      <c r="AB170" s="7"/>
      <c r="AC170" s="7"/>
      <c r="AD170" s="7"/>
      <c r="AG170" s="7"/>
    </row>
    <row r="171">
      <c r="C171" s="7"/>
      <c r="D171" s="7"/>
      <c r="E171" s="7"/>
      <c r="Q171" s="7"/>
      <c r="Z171" s="7"/>
      <c r="AA171" s="7"/>
      <c r="AB171" s="7"/>
      <c r="AC171" s="7"/>
      <c r="AD171" s="7"/>
      <c r="AG171" s="7"/>
    </row>
    <row r="172">
      <c r="C172" s="7"/>
      <c r="D172" s="7"/>
      <c r="E172" s="7"/>
      <c r="Q172" s="7"/>
      <c r="Z172" s="7"/>
      <c r="AA172" s="7"/>
      <c r="AB172" s="7"/>
      <c r="AC172" s="7"/>
      <c r="AD172" s="7"/>
      <c r="AG172" s="7"/>
    </row>
    <row r="173">
      <c r="D173" s="7"/>
      <c r="E173" s="7"/>
      <c r="Q173" s="7"/>
      <c r="Z173" s="7"/>
      <c r="AA173" s="7"/>
      <c r="AB173" s="7"/>
      <c r="AC173" s="7"/>
      <c r="AD173" s="7"/>
      <c r="AG173" s="7"/>
    </row>
    <row r="174">
      <c r="D174" s="7"/>
      <c r="E174" s="7"/>
      <c r="Q174" s="7"/>
      <c r="Z174" s="7"/>
      <c r="AA174" s="7"/>
      <c r="AB174" s="7"/>
      <c r="AC174" s="7"/>
      <c r="AD174" s="7"/>
      <c r="AG174" s="7"/>
    </row>
    <row r="175">
      <c r="D175" s="7"/>
      <c r="E175" s="7"/>
      <c r="Q175" s="7"/>
      <c r="Z175" s="7"/>
      <c r="AA175" s="7"/>
      <c r="AB175" s="7"/>
      <c r="AC175" s="7"/>
      <c r="AD175" s="7"/>
      <c r="AG175" s="7"/>
    </row>
    <row r="176">
      <c r="D176" s="7"/>
      <c r="E176" s="7"/>
      <c r="Q176" s="7"/>
      <c r="Z176" s="7"/>
      <c r="AA176" s="7"/>
      <c r="AB176" s="7"/>
      <c r="AC176" s="7"/>
      <c r="AD176" s="7"/>
      <c r="AG176" s="7"/>
    </row>
    <row r="177">
      <c r="D177" s="7"/>
      <c r="E177" s="7"/>
      <c r="Q177" s="7"/>
      <c r="Z177" s="7"/>
      <c r="AA177" s="7"/>
      <c r="AB177" s="7"/>
      <c r="AC177" s="7"/>
      <c r="AD177" s="7"/>
      <c r="AG177" s="7"/>
    </row>
    <row r="178">
      <c r="D178" s="7"/>
      <c r="E178" s="7"/>
      <c r="Q178" s="7"/>
      <c r="Z178" s="7"/>
      <c r="AA178" s="7"/>
      <c r="AB178" s="7"/>
      <c r="AC178" s="7"/>
      <c r="AD178" s="7"/>
      <c r="AG178" s="7"/>
    </row>
    <row r="179">
      <c r="D179" s="7"/>
      <c r="E179" s="7"/>
      <c r="Q179" s="7"/>
      <c r="Z179" s="7"/>
      <c r="AA179" s="7"/>
      <c r="AB179" s="7"/>
      <c r="AC179" s="7"/>
      <c r="AD179" s="7"/>
      <c r="AG179" s="7"/>
    </row>
    <row r="180">
      <c r="D180" s="7"/>
      <c r="E180" s="7"/>
      <c r="Q180" s="7"/>
      <c r="Z180" s="7"/>
      <c r="AA180" s="7"/>
      <c r="AB180" s="7"/>
      <c r="AC180" s="7"/>
      <c r="AD180" s="7"/>
      <c r="AG180" s="7"/>
    </row>
    <row r="181">
      <c r="D181" s="7"/>
      <c r="E181" s="7"/>
      <c r="Q181" s="7"/>
      <c r="Z181" s="7"/>
      <c r="AA181" s="7"/>
      <c r="AB181" s="7"/>
      <c r="AC181" s="7"/>
      <c r="AD181" s="7"/>
      <c r="AG181" s="7"/>
    </row>
    <row r="182">
      <c r="D182" s="7"/>
      <c r="E182" s="7"/>
      <c r="Q182" s="7"/>
      <c r="Z182" s="7"/>
      <c r="AA182" s="7"/>
      <c r="AB182" s="7"/>
      <c r="AC182" s="7"/>
      <c r="AD182" s="7"/>
      <c r="AG182" s="7"/>
    </row>
    <row r="183">
      <c r="D183" s="7"/>
      <c r="E183" s="7"/>
      <c r="Q183" s="7"/>
      <c r="Z183" s="7"/>
      <c r="AA183" s="7"/>
      <c r="AB183" s="7"/>
      <c r="AC183" s="7"/>
      <c r="AD183" s="7"/>
      <c r="AG183" s="7"/>
    </row>
    <row r="184">
      <c r="D184" s="7"/>
      <c r="E184" s="7"/>
      <c r="Q184" s="7"/>
      <c r="Z184" s="7"/>
      <c r="AA184" s="7"/>
      <c r="AB184" s="7"/>
      <c r="AC184" s="7"/>
      <c r="AD184" s="7"/>
      <c r="AG184" s="7"/>
    </row>
    <row r="185">
      <c r="D185" s="7"/>
      <c r="E185" s="7"/>
      <c r="Q185" s="7"/>
      <c r="Z185" s="7"/>
      <c r="AA185" s="7"/>
      <c r="AB185" s="7"/>
      <c r="AC185" s="7"/>
      <c r="AD185" s="7"/>
      <c r="AG185" s="7"/>
    </row>
    <row r="186">
      <c r="D186" s="7"/>
      <c r="E186" s="7"/>
      <c r="Q186" s="7"/>
      <c r="Z186" s="7"/>
      <c r="AA186" s="7"/>
      <c r="AB186" s="7"/>
      <c r="AC186" s="7"/>
      <c r="AD186" s="7"/>
      <c r="AG186" s="7"/>
    </row>
    <row r="187">
      <c r="D187" s="7"/>
      <c r="E187" s="7"/>
      <c r="Q187" s="7"/>
      <c r="Z187" s="7"/>
      <c r="AA187" s="7"/>
      <c r="AB187" s="7"/>
      <c r="AC187" s="7"/>
      <c r="AD187" s="7"/>
      <c r="AG187" s="7"/>
    </row>
    <row r="188">
      <c r="D188" s="7"/>
      <c r="E188" s="7"/>
      <c r="Q188" s="7"/>
      <c r="Z188" s="7"/>
      <c r="AA188" s="7"/>
      <c r="AB188" s="7"/>
      <c r="AC188" s="7"/>
      <c r="AD188" s="7"/>
      <c r="AG188" s="7"/>
    </row>
    <row r="189">
      <c r="D189" s="7"/>
      <c r="E189" s="7"/>
      <c r="Q189" s="7"/>
      <c r="Z189" s="7"/>
      <c r="AA189" s="7"/>
      <c r="AB189" s="7"/>
      <c r="AC189" s="7"/>
      <c r="AD189" s="7"/>
      <c r="AG189" s="7"/>
    </row>
    <row r="190">
      <c r="D190" s="7"/>
      <c r="E190" s="7"/>
      <c r="Q190" s="7"/>
      <c r="Z190" s="7"/>
      <c r="AA190" s="7"/>
      <c r="AB190" s="7"/>
      <c r="AC190" s="7"/>
      <c r="AD190" s="7"/>
      <c r="AG190" s="7"/>
    </row>
    <row r="191">
      <c r="D191" s="7"/>
      <c r="E191" s="7"/>
      <c r="Q191" s="7"/>
      <c r="Z191" s="7"/>
      <c r="AA191" s="7"/>
      <c r="AB191" s="7"/>
      <c r="AC191" s="7"/>
      <c r="AD191" s="7"/>
      <c r="AG191" s="7"/>
    </row>
    <row r="192">
      <c r="D192" s="7"/>
      <c r="E192" s="7"/>
      <c r="Q192" s="7"/>
      <c r="Z192" s="7"/>
      <c r="AA192" s="7"/>
      <c r="AB192" s="7"/>
      <c r="AC192" s="7"/>
      <c r="AD192" s="7"/>
      <c r="AG192" s="7"/>
    </row>
    <row r="193">
      <c r="D193" s="7"/>
      <c r="E193" s="7"/>
      <c r="Q193" s="7"/>
      <c r="Z193" s="7"/>
      <c r="AA193" s="7"/>
      <c r="AB193" s="7"/>
      <c r="AC193" s="7"/>
      <c r="AD193" s="7"/>
      <c r="AG193" s="7"/>
    </row>
    <row r="194">
      <c r="D194" s="7"/>
      <c r="E194" s="7"/>
      <c r="Q194" s="7"/>
      <c r="Z194" s="7"/>
      <c r="AA194" s="7"/>
      <c r="AB194" s="7"/>
      <c r="AC194" s="7"/>
      <c r="AD194" s="7"/>
      <c r="AG194" s="7"/>
    </row>
    <row r="195">
      <c r="D195" s="7"/>
      <c r="E195" s="7"/>
      <c r="Q195" s="7"/>
      <c r="Z195" s="7"/>
      <c r="AA195" s="7"/>
      <c r="AB195" s="7"/>
      <c r="AC195" s="7"/>
      <c r="AD195" s="7"/>
      <c r="AG195" s="7"/>
    </row>
    <row r="196">
      <c r="D196" s="7"/>
      <c r="E196" s="7"/>
      <c r="Q196" s="7"/>
      <c r="Z196" s="7"/>
      <c r="AA196" s="7"/>
      <c r="AB196" s="7"/>
      <c r="AC196" s="7"/>
      <c r="AD196" s="7"/>
      <c r="AG196" s="7"/>
    </row>
    <row r="197">
      <c r="D197" s="7"/>
      <c r="E197" s="7"/>
      <c r="Q197" s="7"/>
      <c r="Z197" s="7"/>
      <c r="AA197" s="7"/>
      <c r="AB197" s="7"/>
      <c r="AC197" s="7"/>
      <c r="AD197" s="7"/>
      <c r="AG197" s="7"/>
    </row>
    <row r="198">
      <c r="D198" s="7"/>
      <c r="E198" s="7"/>
      <c r="Q198" s="7"/>
      <c r="Z198" s="7"/>
      <c r="AA198" s="7"/>
      <c r="AB198" s="7"/>
      <c r="AC198" s="7"/>
      <c r="AD198" s="7"/>
      <c r="AG198" s="7"/>
    </row>
    <row r="199">
      <c r="D199" s="7"/>
      <c r="E199" s="7"/>
      <c r="Q199" s="7"/>
      <c r="Z199" s="7"/>
      <c r="AA199" s="7"/>
      <c r="AB199" s="7"/>
      <c r="AC199" s="7"/>
      <c r="AD199" s="7"/>
      <c r="AG199" s="7"/>
    </row>
    <row r="200">
      <c r="D200" s="7"/>
      <c r="E200" s="7"/>
      <c r="Q200" s="7"/>
      <c r="Z200" s="7"/>
      <c r="AA200" s="7"/>
      <c r="AB200" s="7"/>
      <c r="AC200" s="7"/>
      <c r="AD200" s="7"/>
      <c r="AG200" s="7"/>
    </row>
    <row r="201">
      <c r="D201" s="7"/>
      <c r="E201" s="7"/>
      <c r="Q201" s="7"/>
      <c r="Z201" s="7"/>
      <c r="AA201" s="7"/>
      <c r="AB201" s="7"/>
      <c r="AC201" s="7"/>
      <c r="AD201" s="7"/>
      <c r="AG201" s="7"/>
    </row>
    <row r="202">
      <c r="D202" s="7"/>
      <c r="E202" s="7"/>
      <c r="Q202" s="7"/>
      <c r="Z202" s="7"/>
      <c r="AA202" s="7"/>
      <c r="AB202" s="7"/>
      <c r="AC202" s="7"/>
      <c r="AD202" s="7"/>
      <c r="AG202" s="7"/>
    </row>
    <row r="203">
      <c r="D203" s="7"/>
      <c r="E203" s="7"/>
      <c r="Q203" s="7"/>
      <c r="Z203" s="7"/>
      <c r="AA203" s="7"/>
      <c r="AB203" s="7"/>
      <c r="AC203" s="7"/>
      <c r="AD203" s="7"/>
      <c r="AG203" s="7"/>
    </row>
    <row r="204">
      <c r="D204" s="7"/>
      <c r="E204" s="7"/>
      <c r="Q204" s="7"/>
      <c r="Z204" s="7"/>
      <c r="AA204" s="7"/>
      <c r="AB204" s="7"/>
      <c r="AC204" s="7"/>
      <c r="AD204" s="7"/>
      <c r="AG204" s="7"/>
    </row>
    <row r="205">
      <c r="D205" s="7"/>
      <c r="E205" s="7"/>
      <c r="Q205" s="7"/>
      <c r="Z205" s="7"/>
      <c r="AA205" s="7"/>
      <c r="AB205" s="7"/>
      <c r="AC205" s="7"/>
      <c r="AD205" s="7"/>
      <c r="AG205" s="7"/>
    </row>
    <row r="206">
      <c r="D206" s="7"/>
      <c r="E206" s="7"/>
      <c r="Q206" s="7"/>
      <c r="Z206" s="7"/>
      <c r="AA206" s="7"/>
      <c r="AB206" s="7"/>
      <c r="AC206" s="7"/>
      <c r="AD206" s="7"/>
      <c r="AG206" s="7"/>
    </row>
    <row r="207">
      <c r="D207" s="7"/>
      <c r="E207" s="7"/>
      <c r="Q207" s="7"/>
      <c r="Z207" s="7"/>
      <c r="AA207" s="7"/>
      <c r="AB207" s="7"/>
      <c r="AC207" s="7"/>
      <c r="AD207" s="7"/>
      <c r="AG207" s="7"/>
    </row>
    <row r="208">
      <c r="D208" s="7"/>
      <c r="E208" s="7"/>
      <c r="Q208" s="7"/>
      <c r="Z208" s="7"/>
      <c r="AA208" s="7"/>
      <c r="AB208" s="7"/>
      <c r="AC208" s="7"/>
      <c r="AD208" s="7"/>
      <c r="AG208" s="7"/>
    </row>
    <row r="209">
      <c r="E209" s="7"/>
      <c r="Q209" s="7"/>
      <c r="Z209" s="7"/>
      <c r="AA209" s="7"/>
      <c r="AB209" s="7"/>
      <c r="AC209" s="7"/>
      <c r="AD209" s="7"/>
      <c r="AG209" s="7"/>
    </row>
    <row r="210">
      <c r="E210" s="7"/>
      <c r="Q210" s="7"/>
      <c r="Z210" s="7"/>
      <c r="AA210" s="7"/>
      <c r="AB210" s="7"/>
      <c r="AC210" s="7"/>
      <c r="AD210" s="7"/>
      <c r="AG210" s="7"/>
    </row>
    <row r="211">
      <c r="E211" s="7"/>
      <c r="Q211" s="7"/>
      <c r="Z211" s="7"/>
      <c r="AA211" s="7"/>
      <c r="AB211" s="7"/>
      <c r="AC211" s="7"/>
      <c r="AD211" s="7"/>
      <c r="AG211" s="7"/>
    </row>
    <row r="212">
      <c r="E212" s="7"/>
      <c r="Q212" s="7"/>
      <c r="Z212" s="7"/>
      <c r="AA212" s="7"/>
      <c r="AB212" s="7"/>
      <c r="AC212" s="7"/>
      <c r="AD212" s="7"/>
      <c r="AG212" s="7"/>
    </row>
    <row r="213">
      <c r="E213" s="7"/>
      <c r="Q213" s="7"/>
      <c r="Z213" s="7"/>
      <c r="AA213" s="7"/>
      <c r="AB213" s="7"/>
      <c r="AC213" s="7"/>
      <c r="AD213" s="7"/>
      <c r="AG213" s="7"/>
    </row>
    <row r="214">
      <c r="E214" s="7"/>
      <c r="Q214" s="7"/>
      <c r="Z214" s="7"/>
      <c r="AA214" s="7"/>
      <c r="AB214" s="7"/>
      <c r="AC214" s="7"/>
      <c r="AD214" s="7"/>
      <c r="AG214" s="7"/>
    </row>
    <row r="215">
      <c r="E215" s="7"/>
      <c r="Q215" s="7"/>
      <c r="Z215" s="7"/>
      <c r="AA215" s="7"/>
      <c r="AB215" s="7"/>
      <c r="AC215" s="7"/>
      <c r="AD215" s="7"/>
      <c r="AG215" s="7"/>
    </row>
    <row r="216">
      <c r="E216" s="7"/>
      <c r="Q216" s="7"/>
      <c r="Z216" s="7"/>
      <c r="AA216" s="7"/>
      <c r="AB216" s="7"/>
      <c r="AC216" s="7"/>
      <c r="AD216" s="7"/>
      <c r="AG216" s="7"/>
    </row>
    <row r="217">
      <c r="E217" s="7"/>
      <c r="Q217" s="7"/>
      <c r="Z217" s="7"/>
      <c r="AA217" s="7"/>
      <c r="AB217" s="7"/>
      <c r="AC217" s="7"/>
      <c r="AD217" s="7"/>
      <c r="AG217" s="7"/>
    </row>
    <row r="218">
      <c r="E218" s="7"/>
      <c r="Q218" s="7"/>
      <c r="Z218" s="7"/>
      <c r="AA218" s="7"/>
      <c r="AB218" s="7"/>
      <c r="AC218" s="7"/>
      <c r="AD218" s="7"/>
      <c r="AG218" s="7"/>
    </row>
    <row r="219">
      <c r="E219" s="7"/>
      <c r="Q219" s="7"/>
      <c r="Z219" s="7"/>
      <c r="AA219" s="7"/>
      <c r="AB219" s="7"/>
      <c r="AC219" s="7"/>
      <c r="AD219" s="7"/>
      <c r="AG219" s="7"/>
    </row>
    <row r="220">
      <c r="E220" s="7"/>
      <c r="Q220" s="7"/>
      <c r="Z220" s="7"/>
      <c r="AA220" s="7"/>
      <c r="AB220" s="7"/>
      <c r="AC220" s="7"/>
      <c r="AD220" s="7"/>
      <c r="AG220" s="7"/>
    </row>
    <row r="221">
      <c r="E221" s="7"/>
      <c r="Q221" s="7"/>
      <c r="Z221" s="7"/>
      <c r="AA221" s="7"/>
      <c r="AB221" s="7"/>
      <c r="AC221" s="7"/>
      <c r="AD221" s="7"/>
      <c r="AG221" s="7"/>
    </row>
    <row r="222">
      <c r="E222" s="7"/>
      <c r="Q222" s="7"/>
      <c r="Z222" s="7"/>
      <c r="AA222" s="7"/>
      <c r="AB222" s="7"/>
      <c r="AC222" s="7"/>
      <c r="AD222" s="7"/>
      <c r="AG222" s="7"/>
    </row>
    <row r="223">
      <c r="E223" s="7"/>
      <c r="Q223" s="7"/>
      <c r="Z223" s="7"/>
      <c r="AA223" s="7"/>
      <c r="AB223" s="7"/>
      <c r="AC223" s="7"/>
      <c r="AD223" s="7"/>
      <c r="AG223" s="7"/>
    </row>
    <row r="224">
      <c r="E224" s="7"/>
      <c r="Q224" s="7"/>
      <c r="Z224" s="7"/>
      <c r="AA224" s="7"/>
      <c r="AB224" s="7"/>
      <c r="AC224" s="7"/>
      <c r="AD224" s="7"/>
      <c r="AG224" s="7"/>
    </row>
    <row r="225">
      <c r="E225" s="7"/>
      <c r="Q225" s="7"/>
      <c r="Z225" s="7"/>
      <c r="AA225" s="7"/>
      <c r="AB225" s="7"/>
      <c r="AC225" s="7"/>
      <c r="AD225" s="7"/>
      <c r="AG225" s="7"/>
    </row>
    <row r="226">
      <c r="E226" s="7"/>
      <c r="Q226" s="7"/>
      <c r="Z226" s="7"/>
      <c r="AA226" s="7"/>
      <c r="AB226" s="7"/>
      <c r="AC226" s="7"/>
      <c r="AD226" s="7"/>
      <c r="AG226" s="7"/>
    </row>
    <row r="227">
      <c r="E227" s="7"/>
      <c r="Q227" s="7"/>
      <c r="Z227" s="7"/>
      <c r="AA227" s="7"/>
      <c r="AB227" s="7"/>
      <c r="AC227" s="7"/>
      <c r="AD227" s="7"/>
      <c r="AG227" s="7"/>
    </row>
    <row r="228">
      <c r="E228" s="7"/>
      <c r="Q228" s="7"/>
      <c r="Z228" s="7"/>
      <c r="AA228" s="7"/>
      <c r="AB228" s="7"/>
      <c r="AC228" s="7"/>
      <c r="AD228" s="7"/>
      <c r="AG228" s="7"/>
    </row>
    <row r="229">
      <c r="E229" s="7"/>
      <c r="Q229" s="7"/>
      <c r="Z229" s="7"/>
      <c r="AA229" s="7"/>
      <c r="AB229" s="7"/>
      <c r="AC229" s="7"/>
      <c r="AD229" s="7"/>
      <c r="AG229" s="7"/>
    </row>
    <row r="230">
      <c r="E230" s="7"/>
      <c r="Q230" s="7"/>
      <c r="Z230" s="7"/>
      <c r="AA230" s="7"/>
      <c r="AB230" s="7"/>
      <c r="AC230" s="7"/>
      <c r="AD230" s="7"/>
      <c r="AG230" s="7"/>
    </row>
    <row r="231">
      <c r="E231" s="7"/>
      <c r="Q231" s="7"/>
      <c r="Z231" s="7"/>
      <c r="AA231" s="7"/>
      <c r="AB231" s="7"/>
      <c r="AC231" s="7"/>
      <c r="AD231" s="7"/>
      <c r="AG231" s="7"/>
    </row>
    <row r="232">
      <c r="E232" s="7"/>
      <c r="Q232" s="7"/>
      <c r="Z232" s="7"/>
      <c r="AA232" s="7"/>
      <c r="AB232" s="7"/>
      <c r="AC232" s="7"/>
      <c r="AD232" s="7"/>
      <c r="AG232" s="7"/>
    </row>
    <row r="233">
      <c r="E233" s="7"/>
      <c r="Q233" s="7"/>
      <c r="Z233" s="7"/>
      <c r="AA233" s="7"/>
      <c r="AB233" s="7"/>
      <c r="AC233" s="7"/>
      <c r="AD233" s="7"/>
      <c r="AG233" s="7"/>
    </row>
    <row r="234">
      <c r="E234" s="7"/>
      <c r="Q234" s="7"/>
      <c r="Z234" s="7"/>
      <c r="AA234" s="7"/>
      <c r="AB234" s="7"/>
      <c r="AC234" s="7"/>
      <c r="AD234" s="7"/>
      <c r="AG234" s="7"/>
    </row>
    <row r="235">
      <c r="E235" s="7"/>
      <c r="Q235" s="7"/>
      <c r="Z235" s="7"/>
      <c r="AA235" s="7"/>
      <c r="AB235" s="7"/>
      <c r="AC235" s="7"/>
      <c r="AD235" s="7"/>
      <c r="AG235" s="7"/>
    </row>
    <row r="236">
      <c r="E236" s="7"/>
      <c r="Q236" s="7"/>
      <c r="Z236" s="7"/>
      <c r="AA236" s="7"/>
      <c r="AB236" s="7"/>
      <c r="AC236" s="7"/>
      <c r="AD236" s="7"/>
      <c r="AG236" s="7"/>
    </row>
    <row r="237">
      <c r="E237" s="7"/>
      <c r="Q237" s="7"/>
      <c r="Z237" s="7"/>
      <c r="AA237" s="7"/>
      <c r="AB237" s="7"/>
      <c r="AC237" s="7"/>
      <c r="AD237" s="7"/>
      <c r="AG237" s="7"/>
    </row>
    <row r="238">
      <c r="E238" s="7"/>
      <c r="Q238" s="7"/>
      <c r="Z238" s="7"/>
      <c r="AA238" s="7"/>
      <c r="AB238" s="7"/>
      <c r="AC238" s="7"/>
      <c r="AD238" s="7"/>
      <c r="AG238" s="7"/>
    </row>
    <row r="239">
      <c r="E239" s="7"/>
      <c r="Q239" s="7"/>
      <c r="Z239" s="7"/>
      <c r="AA239" s="7"/>
      <c r="AB239" s="7"/>
      <c r="AC239" s="7"/>
      <c r="AD239" s="7"/>
      <c r="AG239" s="7"/>
    </row>
    <row r="240">
      <c r="E240" s="7"/>
      <c r="Q240" s="7"/>
      <c r="Z240" s="7"/>
      <c r="AA240" s="7"/>
      <c r="AB240" s="7"/>
      <c r="AC240" s="7"/>
      <c r="AD240" s="7"/>
      <c r="AG240" s="7"/>
    </row>
    <row r="241">
      <c r="E241" s="7"/>
      <c r="Q241" s="7"/>
      <c r="Z241" s="7"/>
      <c r="AA241" s="7"/>
      <c r="AB241" s="7"/>
      <c r="AC241" s="7"/>
      <c r="AD241" s="7"/>
      <c r="AG241" s="7"/>
    </row>
    <row r="242">
      <c r="E242" s="7"/>
      <c r="Q242" s="7"/>
      <c r="Z242" s="7"/>
      <c r="AA242" s="7"/>
      <c r="AB242" s="7"/>
      <c r="AC242" s="7"/>
      <c r="AD242" s="7"/>
      <c r="AG242" s="7"/>
    </row>
    <row r="243">
      <c r="E243" s="7"/>
      <c r="Q243" s="7"/>
      <c r="Z243" s="7"/>
      <c r="AA243" s="7"/>
      <c r="AB243" s="7"/>
      <c r="AC243" s="7"/>
      <c r="AD243" s="7"/>
      <c r="AG243" s="7"/>
    </row>
    <row r="244">
      <c r="E244" s="7"/>
      <c r="Q244" s="7"/>
      <c r="Z244" s="7"/>
      <c r="AA244" s="7"/>
      <c r="AB244" s="7"/>
      <c r="AC244" s="7"/>
      <c r="AD244" s="7"/>
      <c r="AG244" s="7"/>
    </row>
    <row r="245">
      <c r="E245" s="7"/>
      <c r="Q245" s="7"/>
      <c r="Z245" s="7"/>
      <c r="AA245" s="7"/>
      <c r="AB245" s="7"/>
      <c r="AC245" s="7"/>
      <c r="AD245" s="7"/>
      <c r="AG245" s="7"/>
    </row>
    <row r="246">
      <c r="E246" s="7"/>
      <c r="Q246" s="7"/>
      <c r="Z246" s="7"/>
      <c r="AA246" s="7"/>
      <c r="AB246" s="7"/>
      <c r="AC246" s="7"/>
      <c r="AD246" s="7"/>
      <c r="AG246" s="7"/>
    </row>
    <row r="247">
      <c r="E247" s="7"/>
      <c r="Q247" s="7"/>
      <c r="Z247" s="7"/>
      <c r="AA247" s="7"/>
      <c r="AB247" s="7"/>
      <c r="AC247" s="7"/>
      <c r="AD247" s="7"/>
      <c r="AG247" s="7"/>
    </row>
    <row r="248">
      <c r="E248" s="7"/>
      <c r="Q248" s="7"/>
      <c r="Z248" s="7"/>
      <c r="AA248" s="7"/>
      <c r="AB248" s="7"/>
      <c r="AC248" s="7"/>
      <c r="AD248" s="7"/>
      <c r="AG248" s="7"/>
    </row>
    <row r="249">
      <c r="E249" s="7"/>
      <c r="Q249" s="7"/>
      <c r="Z249" s="7"/>
      <c r="AA249" s="7"/>
      <c r="AB249" s="7"/>
      <c r="AC249" s="7"/>
      <c r="AD249" s="7"/>
      <c r="AG249" s="7"/>
    </row>
    <row r="250">
      <c r="E250" s="7"/>
      <c r="Q250" s="7"/>
      <c r="Z250" s="7"/>
      <c r="AA250" s="7"/>
      <c r="AB250" s="7"/>
      <c r="AC250" s="7"/>
      <c r="AD250" s="7"/>
      <c r="AG250" s="7"/>
    </row>
    <row r="251">
      <c r="E251" s="7"/>
      <c r="Q251" s="7"/>
      <c r="Z251" s="7"/>
      <c r="AA251" s="7"/>
      <c r="AB251" s="7"/>
      <c r="AC251" s="7"/>
      <c r="AD251" s="7"/>
      <c r="AG251" s="7"/>
    </row>
    <row r="252">
      <c r="E252" s="7"/>
      <c r="Q252" s="7"/>
      <c r="Z252" s="7"/>
      <c r="AA252" s="7"/>
      <c r="AB252" s="7"/>
      <c r="AC252" s="7"/>
      <c r="AD252" s="7"/>
      <c r="AG252" s="7"/>
    </row>
    <row r="253">
      <c r="E253" s="7"/>
      <c r="Q253" s="7"/>
      <c r="Z253" s="7"/>
      <c r="AA253" s="7"/>
      <c r="AB253" s="7"/>
      <c r="AC253" s="7"/>
      <c r="AD253" s="7"/>
      <c r="AG253" s="7"/>
    </row>
    <row r="254">
      <c r="E254" s="7"/>
      <c r="Q254" s="7"/>
      <c r="Z254" s="7"/>
      <c r="AA254" s="7"/>
      <c r="AB254" s="7"/>
      <c r="AC254" s="7"/>
      <c r="AD254" s="7"/>
      <c r="AG254" s="7"/>
    </row>
    <row r="255">
      <c r="E255" s="7"/>
      <c r="Q255" s="7"/>
      <c r="Z255" s="7"/>
      <c r="AA255" s="7"/>
      <c r="AB255" s="7"/>
      <c r="AC255" s="7"/>
      <c r="AD255" s="7"/>
      <c r="AG255" s="7"/>
    </row>
    <row r="256">
      <c r="E256" s="7"/>
      <c r="Q256" s="7"/>
      <c r="Z256" s="7"/>
      <c r="AA256" s="7"/>
      <c r="AB256" s="7"/>
      <c r="AC256" s="7"/>
      <c r="AD256" s="7"/>
      <c r="AG256" s="7"/>
    </row>
    <row r="257">
      <c r="E257" s="7"/>
      <c r="Q257" s="7"/>
      <c r="Z257" s="7"/>
      <c r="AA257" s="7"/>
      <c r="AB257" s="7"/>
      <c r="AC257" s="7"/>
      <c r="AD257" s="7"/>
      <c r="AG257" s="7"/>
    </row>
    <row r="258">
      <c r="E258" s="7"/>
      <c r="Q258" s="7"/>
      <c r="Z258" s="7"/>
      <c r="AA258" s="7"/>
      <c r="AB258" s="7"/>
      <c r="AC258" s="7"/>
      <c r="AD258" s="7"/>
      <c r="AG258" s="7"/>
    </row>
    <row r="259">
      <c r="E259" s="7"/>
      <c r="Q259" s="7"/>
      <c r="Z259" s="7"/>
      <c r="AA259" s="7"/>
      <c r="AB259" s="7"/>
      <c r="AC259" s="7"/>
      <c r="AD259" s="7"/>
      <c r="AG259" s="7"/>
    </row>
    <row r="260">
      <c r="E260" s="7"/>
      <c r="Q260" s="7"/>
      <c r="Z260" s="7"/>
      <c r="AA260" s="7"/>
      <c r="AB260" s="7"/>
      <c r="AC260" s="7"/>
      <c r="AD260" s="7"/>
      <c r="AG260" s="7"/>
    </row>
    <row r="261">
      <c r="E261" s="7"/>
      <c r="Q261" s="7"/>
      <c r="Z261" s="7"/>
      <c r="AA261" s="7"/>
      <c r="AB261" s="7"/>
      <c r="AC261" s="7"/>
      <c r="AD261" s="7"/>
      <c r="AG261" s="7"/>
    </row>
    <row r="262">
      <c r="E262" s="7"/>
      <c r="Q262" s="7"/>
      <c r="Z262" s="7"/>
      <c r="AA262" s="7"/>
      <c r="AB262" s="7"/>
      <c r="AC262" s="7"/>
      <c r="AD262" s="7"/>
      <c r="AG262" s="7"/>
    </row>
    <row r="263">
      <c r="E263" s="7"/>
      <c r="Q263" s="7"/>
      <c r="Z263" s="7"/>
      <c r="AA263" s="7"/>
      <c r="AB263" s="7"/>
      <c r="AC263" s="7"/>
      <c r="AD263" s="7"/>
      <c r="AG263" s="7"/>
    </row>
    <row r="264">
      <c r="E264" s="7"/>
      <c r="Q264" s="7"/>
      <c r="Z264" s="7"/>
      <c r="AA264" s="7"/>
      <c r="AB264" s="7"/>
      <c r="AC264" s="7"/>
      <c r="AD264" s="7"/>
      <c r="AG264" s="7"/>
    </row>
    <row r="265">
      <c r="E265" s="7"/>
      <c r="Q265" s="7"/>
      <c r="Z265" s="7"/>
      <c r="AA265" s="7"/>
      <c r="AB265" s="7"/>
      <c r="AC265" s="7"/>
      <c r="AD265" s="7"/>
      <c r="AG265" s="7"/>
    </row>
    <row r="266">
      <c r="E266" s="7"/>
      <c r="Q266" s="7"/>
      <c r="Z266" s="7"/>
      <c r="AA266" s="7"/>
      <c r="AB266" s="7"/>
      <c r="AC266" s="7"/>
      <c r="AD266" s="7"/>
      <c r="AG266" s="7"/>
    </row>
    <row r="267">
      <c r="E267" s="7"/>
      <c r="Q267" s="7"/>
      <c r="Z267" s="7"/>
      <c r="AA267" s="7"/>
      <c r="AB267" s="7"/>
      <c r="AC267" s="7"/>
      <c r="AD267" s="7"/>
      <c r="AG267" s="7"/>
    </row>
    <row r="268">
      <c r="E268" s="7"/>
      <c r="Q268" s="7"/>
      <c r="Z268" s="7"/>
      <c r="AA268" s="7"/>
      <c r="AB268" s="7"/>
      <c r="AC268" s="7"/>
      <c r="AD268" s="7"/>
      <c r="AG268" s="7"/>
    </row>
    <row r="269">
      <c r="E269" s="7"/>
      <c r="Q269" s="7"/>
      <c r="Z269" s="7"/>
      <c r="AA269" s="7"/>
      <c r="AB269" s="7"/>
      <c r="AC269" s="7"/>
      <c r="AD269" s="7"/>
      <c r="AG269" s="7"/>
    </row>
    <row r="270">
      <c r="E270" s="7"/>
      <c r="Q270" s="7"/>
      <c r="Z270" s="7"/>
      <c r="AA270" s="7"/>
      <c r="AB270" s="7"/>
      <c r="AC270" s="7"/>
      <c r="AD270" s="7"/>
      <c r="AG270" s="7"/>
    </row>
    <row r="271">
      <c r="E271" s="7"/>
      <c r="Q271" s="7"/>
      <c r="Z271" s="7"/>
      <c r="AA271" s="7"/>
      <c r="AB271" s="7"/>
      <c r="AC271" s="7"/>
      <c r="AD271" s="7"/>
      <c r="AG271" s="7"/>
    </row>
    <row r="272">
      <c r="E272" s="7"/>
      <c r="Q272" s="7"/>
      <c r="Z272" s="7"/>
      <c r="AA272" s="7"/>
      <c r="AB272" s="7"/>
      <c r="AC272" s="7"/>
      <c r="AD272" s="7"/>
      <c r="AG272" s="7"/>
    </row>
    <row r="273">
      <c r="E273" s="7"/>
      <c r="Q273" s="7"/>
      <c r="Z273" s="7"/>
      <c r="AA273" s="7"/>
      <c r="AB273" s="7"/>
      <c r="AC273" s="7"/>
      <c r="AD273" s="7"/>
      <c r="AG273" s="7"/>
    </row>
    <row r="274">
      <c r="E274" s="7"/>
      <c r="Q274" s="7"/>
      <c r="Z274" s="7"/>
      <c r="AA274" s="7"/>
      <c r="AB274" s="7"/>
      <c r="AC274" s="7"/>
      <c r="AD274" s="7"/>
      <c r="AG274" s="7"/>
    </row>
    <row r="275">
      <c r="E275" s="7"/>
      <c r="Q275" s="7"/>
      <c r="Z275" s="7"/>
      <c r="AA275" s="7"/>
      <c r="AB275" s="7"/>
      <c r="AC275" s="7"/>
      <c r="AD275" s="7"/>
      <c r="AG275" s="7"/>
    </row>
    <row r="276">
      <c r="E276" s="7"/>
      <c r="Q276" s="7"/>
      <c r="Z276" s="7"/>
      <c r="AA276" s="7"/>
      <c r="AB276" s="7"/>
      <c r="AC276" s="7"/>
      <c r="AD276" s="7"/>
      <c r="AG276" s="7"/>
    </row>
    <row r="277">
      <c r="E277" s="7"/>
      <c r="Q277" s="7"/>
      <c r="Z277" s="7"/>
      <c r="AA277" s="7"/>
      <c r="AB277" s="7"/>
      <c r="AC277" s="7"/>
      <c r="AD277" s="7"/>
      <c r="AG277" s="7"/>
    </row>
    <row r="278">
      <c r="E278" s="7"/>
      <c r="Q278" s="7"/>
      <c r="Z278" s="7"/>
      <c r="AA278" s="7"/>
      <c r="AB278" s="7"/>
      <c r="AC278" s="7"/>
      <c r="AD278" s="7"/>
      <c r="AG278" s="7"/>
    </row>
    <row r="279">
      <c r="E279" s="7"/>
      <c r="Q279" s="7"/>
      <c r="Z279" s="7"/>
      <c r="AA279" s="7"/>
      <c r="AB279" s="7"/>
      <c r="AC279" s="7"/>
      <c r="AD279" s="7"/>
      <c r="AG279" s="7"/>
    </row>
    <row r="280">
      <c r="E280" s="7"/>
      <c r="Q280" s="7"/>
      <c r="Z280" s="7"/>
      <c r="AA280" s="7"/>
      <c r="AB280" s="7"/>
      <c r="AC280" s="7"/>
      <c r="AD280" s="7"/>
      <c r="AG280" s="7"/>
    </row>
    <row r="281">
      <c r="E281" s="7"/>
      <c r="Q281" s="7"/>
      <c r="Z281" s="7"/>
      <c r="AA281" s="7"/>
      <c r="AB281" s="7"/>
      <c r="AC281" s="7"/>
      <c r="AD281" s="7"/>
      <c r="AG281" s="7"/>
    </row>
    <row r="282">
      <c r="E282" s="7"/>
      <c r="Q282" s="7"/>
      <c r="Z282" s="7"/>
      <c r="AA282" s="7"/>
      <c r="AB282" s="7"/>
      <c r="AC282" s="7"/>
      <c r="AD282" s="7"/>
      <c r="AG282" s="7"/>
    </row>
    <row r="283">
      <c r="E283" s="7"/>
      <c r="Q283" s="7"/>
      <c r="Z283" s="7"/>
      <c r="AA283" s="7"/>
      <c r="AB283" s="7"/>
      <c r="AC283" s="7"/>
      <c r="AD283" s="7"/>
      <c r="AG283" s="7"/>
    </row>
    <row r="284">
      <c r="E284" s="7"/>
      <c r="Q284" s="7"/>
      <c r="Z284" s="7"/>
      <c r="AA284" s="7"/>
      <c r="AB284" s="7"/>
      <c r="AC284" s="7"/>
      <c r="AD284" s="7"/>
      <c r="AG284" s="7"/>
    </row>
    <row r="285">
      <c r="E285" s="7"/>
      <c r="Q285" s="7"/>
      <c r="Z285" s="7"/>
      <c r="AA285" s="7"/>
      <c r="AB285" s="7"/>
      <c r="AC285" s="7"/>
      <c r="AD285" s="7"/>
      <c r="AG285" s="7"/>
    </row>
    <row r="286">
      <c r="E286" s="7"/>
      <c r="Q286" s="7"/>
      <c r="Z286" s="7"/>
      <c r="AA286" s="7"/>
      <c r="AB286" s="7"/>
      <c r="AC286" s="7"/>
      <c r="AD286" s="7"/>
      <c r="AG286" s="7"/>
    </row>
    <row r="287">
      <c r="E287" s="7"/>
      <c r="Q287" s="7"/>
      <c r="Z287" s="7"/>
      <c r="AA287" s="7"/>
      <c r="AB287" s="7"/>
      <c r="AC287" s="7"/>
      <c r="AD287" s="7"/>
      <c r="AG287" s="7"/>
    </row>
    <row r="288">
      <c r="E288" s="7"/>
      <c r="Q288" s="7"/>
      <c r="Z288" s="7"/>
      <c r="AA288" s="7"/>
      <c r="AB288" s="7"/>
      <c r="AC288" s="7"/>
      <c r="AD288" s="7"/>
      <c r="AG288" s="7"/>
    </row>
    <row r="289">
      <c r="E289" s="7"/>
      <c r="Q289" s="7"/>
      <c r="Z289" s="7"/>
      <c r="AA289" s="7"/>
      <c r="AB289" s="7"/>
      <c r="AC289" s="7"/>
      <c r="AD289" s="7"/>
      <c r="AG289" s="7"/>
    </row>
    <row r="290">
      <c r="E290" s="7"/>
      <c r="Q290" s="7"/>
      <c r="Z290" s="7"/>
      <c r="AA290" s="7"/>
      <c r="AB290" s="7"/>
      <c r="AC290" s="7"/>
      <c r="AD290" s="7"/>
      <c r="AG290" s="7"/>
    </row>
    <row r="291">
      <c r="E291" s="7"/>
      <c r="Q291" s="7"/>
      <c r="Z291" s="7"/>
      <c r="AA291" s="7"/>
      <c r="AB291" s="7"/>
      <c r="AC291" s="7"/>
      <c r="AD291" s="7"/>
      <c r="AG291" s="7"/>
    </row>
    <row r="292">
      <c r="E292" s="7"/>
      <c r="Q292" s="7"/>
      <c r="Z292" s="7"/>
      <c r="AA292" s="7"/>
      <c r="AB292" s="7"/>
      <c r="AC292" s="7"/>
      <c r="AD292" s="7"/>
      <c r="AG292" s="7"/>
    </row>
    <row r="293">
      <c r="E293" s="7"/>
      <c r="Q293" s="7"/>
      <c r="Z293" s="7"/>
      <c r="AA293" s="7"/>
      <c r="AB293" s="7"/>
      <c r="AC293" s="7"/>
      <c r="AD293" s="7"/>
      <c r="AG293" s="7"/>
    </row>
    <row r="294">
      <c r="Q294" s="7"/>
      <c r="Z294" s="7"/>
      <c r="AA294" s="7"/>
      <c r="AB294" s="7"/>
      <c r="AC294" s="7"/>
      <c r="AD294" s="7"/>
      <c r="AG294" s="7"/>
    </row>
    <row r="295">
      <c r="Q295" s="7"/>
      <c r="Z295" s="7"/>
      <c r="AA295" s="7"/>
      <c r="AB295" s="7"/>
      <c r="AC295" s="7"/>
      <c r="AD295" s="7"/>
      <c r="AG295" s="7"/>
    </row>
    <row r="296">
      <c r="Q296" s="7"/>
      <c r="Z296" s="7"/>
      <c r="AA296" s="7"/>
      <c r="AB296" s="7"/>
      <c r="AC296" s="7"/>
      <c r="AD296" s="7"/>
      <c r="AG296" s="7"/>
    </row>
    <row r="297">
      <c r="Q297" s="7"/>
      <c r="Z297" s="7"/>
      <c r="AA297" s="7"/>
      <c r="AB297" s="7"/>
      <c r="AC297" s="7"/>
      <c r="AD297" s="7"/>
      <c r="AG297" s="7"/>
    </row>
    <row r="298">
      <c r="Q298" s="7"/>
      <c r="Z298" s="7"/>
      <c r="AA298" s="7"/>
      <c r="AB298" s="7"/>
      <c r="AC298" s="7"/>
      <c r="AD298" s="7"/>
      <c r="AG298" s="7"/>
    </row>
    <row r="299">
      <c r="Q299" s="7"/>
      <c r="Z299" s="7"/>
      <c r="AA299" s="7"/>
      <c r="AB299" s="7"/>
      <c r="AC299" s="7"/>
      <c r="AD299" s="7"/>
      <c r="AG299" s="7"/>
    </row>
    <row r="300">
      <c r="Q300" s="7"/>
      <c r="Z300" s="7"/>
      <c r="AA300" s="7"/>
      <c r="AB300" s="7"/>
      <c r="AC300" s="7"/>
      <c r="AD300" s="7"/>
      <c r="AG300" s="7"/>
    </row>
    <row r="301">
      <c r="Q301" s="7"/>
      <c r="Z301" s="7"/>
      <c r="AA301" s="7"/>
      <c r="AB301" s="7"/>
      <c r="AC301" s="7"/>
      <c r="AD301" s="7"/>
      <c r="AG301" s="7"/>
    </row>
    <row r="302">
      <c r="Q302" s="7"/>
      <c r="Z302" s="7"/>
      <c r="AA302" s="7"/>
      <c r="AB302" s="7"/>
      <c r="AC302" s="7"/>
      <c r="AD302" s="7"/>
      <c r="AG302" s="7"/>
    </row>
    <row r="303">
      <c r="Q303" s="7"/>
      <c r="Z303" s="7"/>
      <c r="AA303" s="7"/>
      <c r="AB303" s="7"/>
      <c r="AC303" s="7"/>
      <c r="AD303" s="7"/>
      <c r="AG303" s="7"/>
    </row>
    <row r="304">
      <c r="Q304" s="7"/>
      <c r="Z304" s="7"/>
      <c r="AA304" s="7"/>
      <c r="AB304" s="7"/>
      <c r="AC304" s="7"/>
      <c r="AD304" s="7"/>
      <c r="AG304" s="7"/>
    </row>
    <row r="305">
      <c r="Q305" s="7"/>
      <c r="Z305" s="7"/>
      <c r="AA305" s="7"/>
      <c r="AB305" s="7"/>
      <c r="AC305" s="7"/>
      <c r="AD305" s="7"/>
      <c r="AG305" s="7"/>
    </row>
    <row r="306">
      <c r="Q306" s="7"/>
      <c r="Z306" s="7"/>
      <c r="AA306" s="7"/>
      <c r="AB306" s="7"/>
      <c r="AC306" s="7"/>
      <c r="AD306" s="7"/>
      <c r="AG306" s="7"/>
    </row>
    <row r="307">
      <c r="Q307" s="7"/>
      <c r="Z307" s="7"/>
      <c r="AA307" s="7"/>
      <c r="AB307" s="7"/>
      <c r="AC307" s="7"/>
      <c r="AD307" s="7"/>
      <c r="AG307" s="7"/>
    </row>
    <row r="308">
      <c r="Q308" s="7"/>
      <c r="Z308" s="7"/>
      <c r="AA308" s="7"/>
      <c r="AB308" s="7"/>
      <c r="AC308" s="7"/>
      <c r="AD308" s="7"/>
      <c r="AG308" s="7"/>
    </row>
    <row r="309">
      <c r="Q309" s="7"/>
      <c r="Z309" s="7"/>
      <c r="AA309" s="7"/>
      <c r="AB309" s="7"/>
      <c r="AC309" s="7"/>
      <c r="AD309" s="7"/>
      <c r="AG309" s="7"/>
    </row>
    <row r="310">
      <c r="Q310" s="7"/>
      <c r="Z310" s="7"/>
      <c r="AA310" s="7"/>
      <c r="AB310" s="7"/>
      <c r="AC310" s="7"/>
      <c r="AD310" s="7"/>
      <c r="AG310" s="7"/>
    </row>
    <row r="311">
      <c r="Q311" s="7"/>
      <c r="Z311" s="7"/>
      <c r="AA311" s="7"/>
      <c r="AB311" s="7"/>
      <c r="AC311" s="7"/>
      <c r="AD311" s="7"/>
      <c r="AG311" s="7"/>
    </row>
    <row r="312">
      <c r="Q312" s="7"/>
      <c r="Z312" s="7"/>
      <c r="AA312" s="7"/>
      <c r="AB312" s="7"/>
      <c r="AC312" s="7"/>
      <c r="AD312" s="7"/>
      <c r="AG312" s="7"/>
    </row>
    <row r="313">
      <c r="Q313" s="7"/>
      <c r="Z313" s="7"/>
      <c r="AA313" s="7"/>
      <c r="AB313" s="7"/>
      <c r="AC313" s="7"/>
      <c r="AD313" s="7"/>
      <c r="AG313" s="7"/>
    </row>
    <row r="314">
      <c r="Q314" s="7"/>
      <c r="Z314" s="7"/>
      <c r="AA314" s="7"/>
      <c r="AB314" s="7"/>
      <c r="AC314" s="7"/>
      <c r="AD314" s="7"/>
      <c r="AG314" s="7"/>
    </row>
    <row r="315">
      <c r="Q315" s="7"/>
      <c r="Z315" s="7"/>
      <c r="AA315" s="7"/>
      <c r="AB315" s="7"/>
      <c r="AC315" s="7"/>
      <c r="AD315" s="7"/>
      <c r="AG315" s="7"/>
    </row>
    <row r="316">
      <c r="Q316" s="7"/>
      <c r="Z316" s="7"/>
      <c r="AA316" s="7"/>
      <c r="AB316" s="7"/>
      <c r="AC316" s="7"/>
      <c r="AD316" s="7"/>
      <c r="AG316" s="7"/>
    </row>
    <row r="317">
      <c r="Q317" s="7"/>
      <c r="Z317" s="7"/>
      <c r="AA317" s="7"/>
      <c r="AB317" s="7"/>
      <c r="AC317" s="7"/>
      <c r="AD317" s="7"/>
      <c r="AG317" s="7"/>
    </row>
    <row r="318">
      <c r="Q318" s="7"/>
      <c r="Z318" s="7"/>
      <c r="AA318" s="7"/>
      <c r="AB318" s="7"/>
      <c r="AC318" s="7"/>
      <c r="AD318" s="7"/>
      <c r="AG318" s="7"/>
    </row>
    <row r="319">
      <c r="Q319" s="7"/>
      <c r="Z319" s="7"/>
      <c r="AA319" s="7"/>
      <c r="AB319" s="7"/>
      <c r="AC319" s="7"/>
      <c r="AD319" s="7"/>
      <c r="AG319" s="7"/>
    </row>
    <row r="320">
      <c r="Q320" s="7"/>
      <c r="Z320" s="7"/>
      <c r="AA320" s="7"/>
      <c r="AB320" s="7"/>
      <c r="AC320" s="7"/>
      <c r="AD320" s="7"/>
      <c r="AG320" s="7"/>
    </row>
    <row r="321">
      <c r="Q321" s="7"/>
      <c r="Z321" s="7"/>
      <c r="AA321" s="7"/>
      <c r="AB321" s="7"/>
      <c r="AC321" s="7"/>
      <c r="AD321" s="7"/>
      <c r="AG321" s="7"/>
    </row>
    <row r="322">
      <c r="Q322" s="7"/>
      <c r="Z322" s="7"/>
      <c r="AA322" s="7"/>
      <c r="AB322" s="7"/>
      <c r="AC322" s="7"/>
      <c r="AD322" s="7"/>
      <c r="AG322" s="7"/>
    </row>
    <row r="323">
      <c r="Q323" s="7"/>
      <c r="Z323" s="7"/>
      <c r="AA323" s="7"/>
      <c r="AB323" s="7"/>
      <c r="AC323" s="7"/>
      <c r="AD323" s="7"/>
      <c r="AG323" s="7"/>
    </row>
    <row r="324">
      <c r="Q324" s="7"/>
      <c r="Z324" s="7"/>
      <c r="AA324" s="7"/>
      <c r="AB324" s="7"/>
      <c r="AC324" s="7"/>
      <c r="AD324" s="7"/>
      <c r="AG324" s="7"/>
    </row>
    <row r="325">
      <c r="Q325" s="7"/>
      <c r="Z325" s="7"/>
      <c r="AA325" s="7"/>
      <c r="AB325" s="7"/>
      <c r="AC325" s="7"/>
      <c r="AD325" s="7"/>
      <c r="AG325" s="7"/>
    </row>
    <row r="326">
      <c r="Q326" s="7"/>
      <c r="Z326" s="7"/>
      <c r="AA326" s="7"/>
      <c r="AB326" s="7"/>
      <c r="AC326" s="7"/>
      <c r="AD326" s="7"/>
      <c r="AG326" s="7"/>
    </row>
    <row r="327">
      <c r="Q327" s="7"/>
      <c r="Z327" s="7"/>
      <c r="AA327" s="7"/>
      <c r="AB327" s="7"/>
      <c r="AC327" s="7"/>
      <c r="AD327" s="7"/>
      <c r="AG327" s="7"/>
    </row>
    <row r="328">
      <c r="Q328" s="7"/>
      <c r="Z328" s="7"/>
      <c r="AA328" s="7"/>
      <c r="AB328" s="7"/>
      <c r="AC328" s="7"/>
      <c r="AD328" s="7"/>
      <c r="AG328" s="7"/>
    </row>
    <row r="329">
      <c r="Q329" s="7"/>
      <c r="Z329" s="7"/>
      <c r="AA329" s="7"/>
      <c r="AB329" s="7"/>
      <c r="AC329" s="7"/>
      <c r="AD329" s="7"/>
      <c r="AG329" s="7"/>
    </row>
    <row r="330">
      <c r="Q330" s="7"/>
      <c r="Z330" s="7"/>
      <c r="AA330" s="7"/>
      <c r="AB330" s="7"/>
      <c r="AC330" s="7"/>
      <c r="AD330" s="7"/>
      <c r="AG330" s="7"/>
    </row>
    <row r="331">
      <c r="Q331" s="7"/>
      <c r="Z331" s="7"/>
      <c r="AA331" s="7"/>
      <c r="AB331" s="7"/>
      <c r="AC331" s="7"/>
      <c r="AD331" s="7"/>
      <c r="AG331" s="7"/>
    </row>
    <row r="332">
      <c r="Q332" s="7"/>
      <c r="Z332" s="7"/>
      <c r="AA332" s="7"/>
      <c r="AB332" s="7"/>
      <c r="AC332" s="7"/>
      <c r="AD332" s="7"/>
      <c r="AG332" s="7"/>
    </row>
    <row r="333">
      <c r="Q333" s="7"/>
      <c r="Z333" s="7"/>
      <c r="AA333" s="7"/>
      <c r="AB333" s="7"/>
      <c r="AC333" s="7"/>
      <c r="AD333" s="7"/>
      <c r="AG333" s="7"/>
    </row>
    <row r="334">
      <c r="Q334" s="7"/>
      <c r="Z334" s="7"/>
      <c r="AA334" s="7"/>
      <c r="AB334" s="7"/>
      <c r="AC334" s="7"/>
      <c r="AD334" s="7"/>
      <c r="AG334" s="7"/>
    </row>
    <row r="335">
      <c r="Q335" s="7"/>
      <c r="Z335" s="7"/>
      <c r="AA335" s="7"/>
      <c r="AB335" s="7"/>
      <c r="AC335" s="7"/>
      <c r="AD335" s="7"/>
      <c r="AG335" s="7"/>
    </row>
    <row r="336">
      <c r="Q336" s="7"/>
      <c r="Z336" s="7"/>
      <c r="AA336" s="7"/>
      <c r="AB336" s="7"/>
      <c r="AC336" s="7"/>
      <c r="AD336" s="7"/>
      <c r="AG336" s="7"/>
    </row>
    <row r="337">
      <c r="Q337" s="7"/>
      <c r="Z337" s="7"/>
      <c r="AA337" s="7"/>
      <c r="AB337" s="7"/>
      <c r="AC337" s="7"/>
      <c r="AD337" s="7"/>
      <c r="AG337" s="7"/>
    </row>
    <row r="338">
      <c r="Q338" s="7"/>
      <c r="Z338" s="7"/>
      <c r="AA338" s="7"/>
      <c r="AB338" s="7"/>
      <c r="AC338" s="7"/>
      <c r="AD338" s="7"/>
      <c r="AG338" s="7"/>
    </row>
    <row r="339">
      <c r="Q339" s="7"/>
      <c r="Z339" s="7"/>
      <c r="AA339" s="7"/>
      <c r="AB339" s="7"/>
      <c r="AC339" s="7"/>
      <c r="AD339" s="7"/>
      <c r="AG339" s="7"/>
    </row>
    <row r="340">
      <c r="Q340" s="7"/>
      <c r="Z340" s="7"/>
      <c r="AA340" s="7"/>
      <c r="AB340" s="7"/>
      <c r="AC340" s="7"/>
      <c r="AD340" s="7"/>
      <c r="AG340" s="7"/>
    </row>
    <row r="341">
      <c r="Q341" s="7"/>
      <c r="Z341" s="7"/>
      <c r="AA341" s="7"/>
      <c r="AB341" s="7"/>
      <c r="AC341" s="7"/>
      <c r="AD341" s="7"/>
      <c r="AG341" s="7"/>
    </row>
    <row r="342">
      <c r="Q342" s="7"/>
      <c r="Z342" s="7"/>
      <c r="AA342" s="7"/>
      <c r="AB342" s="7"/>
      <c r="AC342" s="7"/>
      <c r="AD342" s="7"/>
      <c r="AG342" s="7"/>
    </row>
    <row r="343">
      <c r="Q343" s="7"/>
      <c r="Z343" s="7"/>
      <c r="AA343" s="7"/>
      <c r="AB343" s="7"/>
      <c r="AC343" s="7"/>
      <c r="AD343" s="7"/>
      <c r="AG343" s="7"/>
    </row>
    <row r="344">
      <c r="Q344" s="7"/>
      <c r="Z344" s="7"/>
      <c r="AA344" s="7"/>
      <c r="AB344" s="7"/>
      <c r="AC344" s="7"/>
      <c r="AD344" s="7"/>
      <c r="AG344" s="7"/>
    </row>
    <row r="345">
      <c r="Q345" s="7"/>
      <c r="Z345" s="7"/>
      <c r="AA345" s="7"/>
      <c r="AB345" s="7"/>
      <c r="AC345" s="7"/>
      <c r="AD345" s="7"/>
      <c r="AG345" s="7"/>
    </row>
    <row r="346">
      <c r="Q346" s="7"/>
      <c r="Z346" s="7"/>
      <c r="AA346" s="7"/>
      <c r="AB346" s="7"/>
      <c r="AC346" s="7"/>
      <c r="AD346" s="7"/>
      <c r="AG346" s="7"/>
    </row>
    <row r="347">
      <c r="Q347" s="7"/>
      <c r="Z347" s="7"/>
      <c r="AA347" s="7"/>
      <c r="AB347" s="7"/>
      <c r="AC347" s="7"/>
      <c r="AD347" s="7"/>
      <c r="AG347" s="7"/>
    </row>
    <row r="348">
      <c r="Q348" s="7"/>
      <c r="Z348" s="7"/>
      <c r="AA348" s="7"/>
      <c r="AB348" s="7"/>
      <c r="AC348" s="7"/>
      <c r="AD348" s="7"/>
      <c r="AG348" s="7"/>
    </row>
    <row r="349">
      <c r="Q349" s="7"/>
      <c r="Z349" s="7"/>
      <c r="AA349" s="7"/>
      <c r="AB349" s="7"/>
      <c r="AC349" s="7"/>
      <c r="AD349" s="7"/>
      <c r="AG349" s="7"/>
    </row>
    <row r="350">
      <c r="Q350" s="7"/>
      <c r="Z350" s="7"/>
      <c r="AA350" s="7"/>
      <c r="AB350" s="7"/>
      <c r="AC350" s="7"/>
      <c r="AD350" s="7"/>
      <c r="AG350" s="7"/>
    </row>
    <row r="351">
      <c r="Q351" s="7"/>
      <c r="Z351" s="7"/>
      <c r="AA351" s="7"/>
      <c r="AB351" s="7"/>
      <c r="AC351" s="7"/>
      <c r="AD351" s="7"/>
      <c r="AG351" s="7"/>
    </row>
    <row r="352">
      <c r="Q352" s="7"/>
      <c r="Z352" s="7"/>
      <c r="AA352" s="7"/>
      <c r="AB352" s="7"/>
      <c r="AC352" s="7"/>
      <c r="AD352" s="7"/>
      <c r="AG352" s="7"/>
    </row>
    <row r="353">
      <c r="Q353" s="7"/>
      <c r="Z353" s="7"/>
      <c r="AA353" s="7"/>
      <c r="AB353" s="7"/>
      <c r="AC353" s="7"/>
      <c r="AD353" s="7"/>
      <c r="AG353" s="7"/>
    </row>
    <row r="354">
      <c r="Q354" s="7"/>
      <c r="Z354" s="7"/>
      <c r="AA354" s="7"/>
      <c r="AB354" s="7"/>
      <c r="AC354" s="7"/>
      <c r="AD354" s="7"/>
      <c r="AG354" s="7"/>
    </row>
    <row r="355">
      <c r="Q355" s="7"/>
      <c r="Z355" s="7"/>
      <c r="AA355" s="7"/>
      <c r="AB355" s="7"/>
      <c r="AC355" s="7"/>
      <c r="AD355" s="7"/>
      <c r="AG355" s="7"/>
    </row>
    <row r="356">
      <c r="Q356" s="7"/>
      <c r="Z356" s="7"/>
      <c r="AA356" s="7"/>
      <c r="AB356" s="7"/>
      <c r="AC356" s="7"/>
      <c r="AD356" s="7"/>
      <c r="AG356" s="7"/>
    </row>
    <row r="357">
      <c r="Q357" s="7"/>
      <c r="Z357" s="7"/>
      <c r="AA357" s="7"/>
      <c r="AB357" s="7"/>
      <c r="AC357" s="7"/>
      <c r="AD357" s="7"/>
      <c r="AG357" s="7"/>
    </row>
    <row r="358">
      <c r="Q358" s="7"/>
      <c r="Z358" s="7"/>
      <c r="AA358" s="7"/>
      <c r="AB358" s="7"/>
      <c r="AC358" s="7"/>
      <c r="AD358" s="7"/>
      <c r="AG358" s="7"/>
    </row>
    <row r="359">
      <c r="Q359" s="7"/>
      <c r="Z359" s="7"/>
      <c r="AA359" s="7"/>
      <c r="AB359" s="7"/>
      <c r="AC359" s="7"/>
      <c r="AD359" s="7"/>
      <c r="AG359" s="7"/>
    </row>
    <row r="360">
      <c r="Q360" s="7"/>
      <c r="Z360" s="7"/>
      <c r="AA360" s="7"/>
      <c r="AB360" s="7"/>
      <c r="AC360" s="7"/>
      <c r="AD360" s="7"/>
      <c r="AG360" s="7"/>
    </row>
    <row r="361">
      <c r="Q361" s="7"/>
      <c r="Z361" s="7"/>
      <c r="AA361" s="7"/>
      <c r="AB361" s="7"/>
      <c r="AC361" s="7"/>
      <c r="AD361" s="7"/>
      <c r="AG361" s="7"/>
    </row>
    <row r="362">
      <c r="Q362" s="7"/>
      <c r="Z362" s="7"/>
      <c r="AA362" s="7"/>
      <c r="AB362" s="7"/>
      <c r="AC362" s="7"/>
      <c r="AD362" s="7"/>
      <c r="AG362" s="7"/>
    </row>
    <row r="363">
      <c r="Q363" s="7"/>
      <c r="Z363" s="7"/>
      <c r="AA363" s="7"/>
      <c r="AB363" s="7"/>
      <c r="AC363" s="7"/>
      <c r="AD363" s="7"/>
      <c r="AG363" s="7"/>
    </row>
    <row r="364">
      <c r="Q364" s="7"/>
      <c r="Z364" s="7"/>
      <c r="AA364" s="7"/>
      <c r="AB364" s="7"/>
      <c r="AC364" s="7"/>
      <c r="AD364" s="7"/>
      <c r="AG364" s="7"/>
    </row>
    <row r="365">
      <c r="Q365" s="7"/>
      <c r="Z365" s="7"/>
      <c r="AA365" s="7"/>
      <c r="AB365" s="7"/>
      <c r="AC365" s="7"/>
      <c r="AD365" s="7"/>
      <c r="AG365" s="7"/>
    </row>
    <row r="366">
      <c r="Q366" s="7"/>
      <c r="Z366" s="7"/>
      <c r="AA366" s="7"/>
      <c r="AB366" s="7"/>
      <c r="AC366" s="7"/>
      <c r="AD366" s="7"/>
      <c r="AG366" s="7"/>
    </row>
    <row r="367">
      <c r="Q367" s="7"/>
      <c r="Z367" s="7"/>
      <c r="AA367" s="7"/>
      <c r="AB367" s="7"/>
      <c r="AC367" s="7"/>
      <c r="AD367" s="7"/>
      <c r="AG367" s="7"/>
    </row>
    <row r="368">
      <c r="Q368" s="7"/>
      <c r="Z368" s="7"/>
      <c r="AA368" s="7"/>
      <c r="AB368" s="7"/>
      <c r="AC368" s="7"/>
      <c r="AD368" s="7"/>
      <c r="AG368" s="7"/>
    </row>
    <row r="369">
      <c r="Q369" s="7"/>
      <c r="Z369" s="7"/>
      <c r="AA369" s="7"/>
      <c r="AB369" s="7"/>
      <c r="AC369" s="7"/>
      <c r="AD369" s="7"/>
      <c r="AG369" s="7"/>
    </row>
    <row r="370">
      <c r="Q370" s="7"/>
      <c r="Z370" s="7"/>
      <c r="AA370" s="7"/>
      <c r="AB370" s="7"/>
      <c r="AC370" s="7"/>
      <c r="AD370" s="7"/>
      <c r="AG370" s="7"/>
    </row>
    <row r="371">
      <c r="Q371" s="7"/>
      <c r="Z371" s="7"/>
      <c r="AA371" s="7"/>
      <c r="AB371" s="7"/>
      <c r="AC371" s="7"/>
      <c r="AD371" s="7"/>
      <c r="AG371" s="7"/>
    </row>
    <row r="372">
      <c r="Q372" s="7"/>
      <c r="Z372" s="7"/>
      <c r="AA372" s="7"/>
      <c r="AB372" s="7"/>
      <c r="AC372" s="7"/>
      <c r="AD372" s="7"/>
      <c r="AG372" s="7"/>
    </row>
    <row r="373">
      <c r="Q373" s="7"/>
      <c r="Z373" s="7"/>
      <c r="AA373" s="7"/>
      <c r="AB373" s="7"/>
      <c r="AC373" s="7"/>
      <c r="AD373" s="7"/>
      <c r="AG373" s="7"/>
    </row>
    <row r="374">
      <c r="Q374" s="7"/>
      <c r="Z374" s="7"/>
      <c r="AA374" s="7"/>
      <c r="AB374" s="7"/>
      <c r="AC374" s="7"/>
      <c r="AD374" s="7"/>
      <c r="AG374" s="7"/>
    </row>
    <row r="375">
      <c r="Q375" s="7"/>
      <c r="Z375" s="7"/>
      <c r="AA375" s="7"/>
      <c r="AB375" s="7"/>
      <c r="AC375" s="7"/>
      <c r="AD375" s="7"/>
      <c r="AG375" s="7"/>
    </row>
    <row r="376">
      <c r="Q376" s="7"/>
      <c r="Z376" s="7"/>
      <c r="AA376" s="7"/>
      <c r="AB376" s="7"/>
      <c r="AC376" s="7"/>
      <c r="AD376" s="7"/>
      <c r="AG376" s="7"/>
    </row>
    <row r="377">
      <c r="Q377" s="7"/>
      <c r="Z377" s="7"/>
      <c r="AA377" s="7"/>
      <c r="AB377" s="7"/>
      <c r="AC377" s="7"/>
      <c r="AD377" s="7"/>
      <c r="AG377" s="7"/>
    </row>
    <row r="378">
      <c r="Q378" s="7"/>
      <c r="Z378" s="7"/>
      <c r="AA378" s="7"/>
      <c r="AB378" s="7"/>
      <c r="AC378" s="7"/>
      <c r="AD378" s="7"/>
      <c r="AG378" s="7"/>
    </row>
    <row r="379">
      <c r="Q379" s="7"/>
      <c r="Z379" s="7"/>
      <c r="AA379" s="7"/>
      <c r="AB379" s="7"/>
      <c r="AC379" s="7"/>
      <c r="AD379" s="7"/>
      <c r="AG379" s="7"/>
    </row>
    <row r="380">
      <c r="Q380" s="7"/>
      <c r="Z380" s="7"/>
      <c r="AA380" s="7"/>
      <c r="AB380" s="7"/>
      <c r="AC380" s="7"/>
      <c r="AD380" s="7"/>
      <c r="AG380" s="7"/>
    </row>
    <row r="381">
      <c r="Q381" s="7"/>
      <c r="Z381" s="7"/>
      <c r="AA381" s="7"/>
      <c r="AB381" s="7"/>
      <c r="AC381" s="7"/>
      <c r="AD381" s="7"/>
      <c r="AG381" s="7"/>
    </row>
    <row r="382">
      <c r="Q382" s="7"/>
      <c r="Z382" s="7"/>
      <c r="AA382" s="7"/>
      <c r="AB382" s="7"/>
      <c r="AC382" s="7"/>
      <c r="AD382" s="7"/>
      <c r="AG382" s="7"/>
    </row>
    <row r="383">
      <c r="Q383" s="7"/>
      <c r="Z383" s="7"/>
      <c r="AA383" s="7"/>
      <c r="AB383" s="7"/>
      <c r="AC383" s="7"/>
      <c r="AD383" s="7"/>
      <c r="AG383" s="7"/>
    </row>
    <row r="384">
      <c r="Q384" s="7"/>
      <c r="Z384" s="7"/>
      <c r="AA384" s="7"/>
      <c r="AB384" s="7"/>
      <c r="AC384" s="7"/>
      <c r="AD384" s="7"/>
      <c r="AG384" s="7"/>
    </row>
    <row r="385">
      <c r="Q385" s="7"/>
      <c r="Z385" s="7"/>
      <c r="AA385" s="7"/>
      <c r="AB385" s="7"/>
      <c r="AC385" s="7"/>
      <c r="AD385" s="7"/>
      <c r="AG385" s="7"/>
    </row>
    <row r="386">
      <c r="Q386" s="7"/>
      <c r="Z386" s="7"/>
      <c r="AA386" s="7"/>
      <c r="AB386" s="7"/>
      <c r="AC386" s="7"/>
      <c r="AD386" s="7"/>
      <c r="AG386" s="7"/>
    </row>
    <row r="387">
      <c r="Q387" s="7"/>
      <c r="Z387" s="7"/>
      <c r="AA387" s="7"/>
      <c r="AB387" s="7"/>
      <c r="AC387" s="7"/>
      <c r="AD387" s="7"/>
      <c r="AG387" s="7"/>
    </row>
    <row r="388">
      <c r="Q388" s="7"/>
      <c r="Z388" s="7"/>
      <c r="AA388" s="7"/>
      <c r="AB388" s="7"/>
      <c r="AC388" s="7"/>
      <c r="AD388" s="7"/>
      <c r="AG388" s="7"/>
    </row>
    <row r="389">
      <c r="Q389" s="7"/>
      <c r="Z389" s="7"/>
      <c r="AA389" s="7"/>
      <c r="AB389" s="7"/>
      <c r="AC389" s="7"/>
      <c r="AD389" s="7"/>
      <c r="AG389" s="7"/>
    </row>
    <row r="390">
      <c r="Q390" s="7"/>
      <c r="Z390" s="7"/>
      <c r="AA390" s="7"/>
      <c r="AB390" s="7"/>
      <c r="AC390" s="7"/>
      <c r="AD390" s="7"/>
      <c r="AG390" s="7"/>
    </row>
    <row r="391">
      <c r="Q391" s="7"/>
      <c r="Z391" s="7"/>
      <c r="AA391" s="7"/>
      <c r="AB391" s="7"/>
      <c r="AC391" s="7"/>
      <c r="AD391" s="7"/>
      <c r="AG391" s="7"/>
    </row>
    <row r="392">
      <c r="Q392" s="7"/>
      <c r="Z392" s="7"/>
      <c r="AA392" s="7"/>
      <c r="AB392" s="7"/>
      <c r="AC392" s="7"/>
      <c r="AD392" s="7"/>
      <c r="AG392" s="7"/>
    </row>
    <row r="393">
      <c r="Q393" s="7"/>
      <c r="Z393" s="7"/>
      <c r="AA393" s="7"/>
      <c r="AB393" s="7"/>
      <c r="AC393" s="7"/>
      <c r="AD393" s="7"/>
      <c r="AG393" s="7"/>
    </row>
    <row r="394">
      <c r="Q394" s="7"/>
      <c r="Z394" s="7"/>
      <c r="AA394" s="7"/>
      <c r="AB394" s="7"/>
      <c r="AC394" s="7"/>
      <c r="AD394" s="7"/>
      <c r="AG394" s="7"/>
    </row>
    <row r="395">
      <c r="Q395" s="7"/>
      <c r="Z395" s="7"/>
      <c r="AA395" s="7"/>
      <c r="AB395" s="7"/>
      <c r="AC395" s="7"/>
      <c r="AD395" s="7"/>
      <c r="AG395" s="7"/>
    </row>
    <row r="396">
      <c r="Q396" s="7"/>
      <c r="Z396" s="7"/>
      <c r="AA396" s="7"/>
      <c r="AB396" s="7"/>
      <c r="AC396" s="7"/>
      <c r="AD396" s="7"/>
      <c r="AG396" s="7"/>
    </row>
    <row r="397">
      <c r="Q397" s="7"/>
      <c r="Z397" s="7"/>
      <c r="AA397" s="7"/>
      <c r="AB397" s="7"/>
      <c r="AC397" s="7"/>
      <c r="AD397" s="7"/>
      <c r="AG397" s="7"/>
    </row>
    <row r="398">
      <c r="Q398" s="7"/>
      <c r="Z398" s="7"/>
      <c r="AA398" s="7"/>
      <c r="AB398" s="7"/>
      <c r="AC398" s="7"/>
      <c r="AD398" s="7"/>
      <c r="AG398" s="7"/>
    </row>
    <row r="399">
      <c r="Q399" s="7"/>
      <c r="Z399" s="7"/>
      <c r="AA399" s="7"/>
      <c r="AB399" s="7"/>
      <c r="AC399" s="7"/>
      <c r="AD399" s="7"/>
      <c r="AG399" s="7"/>
    </row>
    <row r="400">
      <c r="Q400" s="7"/>
      <c r="Z400" s="7"/>
      <c r="AA400" s="7"/>
      <c r="AB400" s="7"/>
      <c r="AC400" s="7"/>
      <c r="AD400" s="7"/>
      <c r="AG400" s="7"/>
    </row>
    <row r="401">
      <c r="Q401" s="7"/>
      <c r="Z401" s="7"/>
      <c r="AA401" s="7"/>
      <c r="AB401" s="7"/>
      <c r="AC401" s="7"/>
      <c r="AD401" s="7"/>
      <c r="AG401" s="7"/>
    </row>
    <row r="402">
      <c r="Q402" s="7"/>
      <c r="Z402" s="7"/>
      <c r="AA402" s="7"/>
      <c r="AB402" s="7"/>
      <c r="AC402" s="7"/>
      <c r="AD402" s="7"/>
      <c r="AG402" s="7"/>
    </row>
    <row r="403">
      <c r="Q403" s="7"/>
      <c r="Z403" s="7"/>
      <c r="AA403" s="7"/>
      <c r="AB403" s="7"/>
      <c r="AC403" s="7"/>
      <c r="AD403" s="7"/>
      <c r="AG403" s="7"/>
    </row>
    <row r="404">
      <c r="Q404" s="7"/>
      <c r="Z404" s="7"/>
      <c r="AA404" s="7"/>
      <c r="AB404" s="7"/>
      <c r="AC404" s="7"/>
      <c r="AD404" s="7"/>
      <c r="AG404" s="7"/>
    </row>
    <row r="405">
      <c r="Q405" s="7"/>
      <c r="Z405" s="7"/>
      <c r="AA405" s="7"/>
      <c r="AB405" s="7"/>
      <c r="AC405" s="7"/>
      <c r="AD405" s="7"/>
      <c r="AG405" s="7"/>
    </row>
    <row r="406">
      <c r="Q406" s="7"/>
      <c r="Z406" s="7"/>
      <c r="AA406" s="7"/>
      <c r="AB406" s="7"/>
      <c r="AC406" s="7"/>
      <c r="AD406" s="7"/>
      <c r="AG406" s="7"/>
    </row>
    <row r="407">
      <c r="Q407" s="7"/>
      <c r="Z407" s="7"/>
      <c r="AA407" s="7"/>
      <c r="AB407" s="7"/>
      <c r="AC407" s="7"/>
      <c r="AD407" s="7"/>
      <c r="AG407" s="7"/>
    </row>
    <row r="408">
      <c r="Q408" s="7"/>
      <c r="Z408" s="7"/>
      <c r="AA408" s="7"/>
      <c r="AB408" s="7"/>
      <c r="AC408" s="7"/>
      <c r="AD408" s="7"/>
      <c r="AG408" s="7"/>
    </row>
    <row r="409">
      <c r="Q409" s="7"/>
      <c r="Z409" s="7"/>
      <c r="AA409" s="7"/>
      <c r="AB409" s="7"/>
      <c r="AC409" s="7"/>
      <c r="AD409" s="7"/>
      <c r="AG409" s="7"/>
    </row>
    <row r="410">
      <c r="Q410" s="7"/>
      <c r="Z410" s="7"/>
      <c r="AA410" s="7"/>
      <c r="AB410" s="7"/>
      <c r="AC410" s="7"/>
      <c r="AD410" s="7"/>
      <c r="AG410" s="7"/>
    </row>
    <row r="411">
      <c r="Q411" s="7"/>
      <c r="Z411" s="7"/>
      <c r="AA411" s="7"/>
      <c r="AB411" s="7"/>
      <c r="AC411" s="7"/>
      <c r="AD411" s="7"/>
      <c r="AG411" s="7"/>
    </row>
    <row r="412">
      <c r="Q412" s="7"/>
      <c r="Z412" s="7"/>
      <c r="AA412" s="7"/>
      <c r="AB412" s="7"/>
      <c r="AC412" s="7"/>
      <c r="AD412" s="7"/>
      <c r="AG412" s="7"/>
    </row>
    <row r="413">
      <c r="Q413" s="7"/>
      <c r="Z413" s="7"/>
      <c r="AA413" s="7"/>
      <c r="AB413" s="7"/>
      <c r="AC413" s="7"/>
      <c r="AD413" s="7"/>
      <c r="AG413" s="7"/>
    </row>
    <row r="414">
      <c r="Q414" s="7"/>
      <c r="Z414" s="7"/>
      <c r="AA414" s="7"/>
      <c r="AB414" s="7"/>
      <c r="AC414" s="7"/>
      <c r="AD414" s="7"/>
      <c r="AG414" s="7"/>
    </row>
    <row r="415">
      <c r="Q415" s="7"/>
      <c r="Z415" s="7"/>
      <c r="AA415" s="7"/>
      <c r="AB415" s="7"/>
      <c r="AC415" s="7"/>
      <c r="AD415" s="7"/>
      <c r="AG415" s="7"/>
    </row>
    <row r="416">
      <c r="Q416" s="7"/>
      <c r="Z416" s="7"/>
      <c r="AA416" s="7"/>
      <c r="AB416" s="7"/>
      <c r="AC416" s="7"/>
      <c r="AD416" s="7"/>
      <c r="AG416" s="7"/>
    </row>
    <row r="417">
      <c r="Q417" s="7"/>
      <c r="Z417" s="7"/>
      <c r="AA417" s="7"/>
      <c r="AB417" s="7"/>
      <c r="AC417" s="7"/>
      <c r="AD417" s="7"/>
      <c r="AG417" s="7"/>
    </row>
    <row r="418">
      <c r="Q418" s="7"/>
      <c r="Z418" s="7"/>
      <c r="AA418" s="7"/>
      <c r="AB418" s="7"/>
      <c r="AC418" s="7"/>
      <c r="AD418" s="7"/>
      <c r="AG418" s="7"/>
    </row>
    <row r="419">
      <c r="Q419" s="7"/>
      <c r="Z419" s="7"/>
      <c r="AA419" s="7"/>
      <c r="AB419" s="7"/>
      <c r="AC419" s="7"/>
      <c r="AD419" s="7"/>
      <c r="AG419" s="7"/>
    </row>
    <row r="420">
      <c r="Q420" s="7"/>
      <c r="Z420" s="7"/>
      <c r="AA420" s="7"/>
      <c r="AB420" s="7"/>
      <c r="AC420" s="7"/>
      <c r="AD420" s="7"/>
      <c r="AG420" s="7"/>
    </row>
    <row r="421">
      <c r="Q421" s="7"/>
      <c r="Z421" s="7"/>
      <c r="AA421" s="7"/>
      <c r="AB421" s="7"/>
      <c r="AC421" s="7"/>
      <c r="AD421" s="7"/>
      <c r="AG421" s="7"/>
    </row>
    <row r="422">
      <c r="Q422" s="7"/>
      <c r="Z422" s="7"/>
      <c r="AA422" s="7"/>
      <c r="AB422" s="7"/>
      <c r="AC422" s="7"/>
      <c r="AD422" s="7"/>
      <c r="AG422" s="7"/>
    </row>
    <row r="423">
      <c r="Q423" s="7"/>
      <c r="Z423" s="7"/>
      <c r="AA423" s="7"/>
      <c r="AB423" s="7"/>
      <c r="AC423" s="7"/>
      <c r="AD423" s="7"/>
      <c r="AG423" s="7"/>
    </row>
    <row r="424">
      <c r="Q424" s="7"/>
      <c r="Z424" s="7"/>
      <c r="AA424" s="7"/>
      <c r="AB424" s="7"/>
      <c r="AC424" s="7"/>
      <c r="AD424" s="7"/>
      <c r="AG424" s="7"/>
    </row>
    <row r="425">
      <c r="Q425" s="7"/>
      <c r="Z425" s="7"/>
      <c r="AA425" s="7"/>
      <c r="AB425" s="7"/>
      <c r="AC425" s="7"/>
      <c r="AD425" s="7"/>
      <c r="AG425" s="7"/>
    </row>
    <row r="426">
      <c r="Q426" s="7"/>
      <c r="Z426" s="7"/>
      <c r="AA426" s="7"/>
      <c r="AB426" s="7"/>
      <c r="AC426" s="7"/>
      <c r="AD426" s="7"/>
      <c r="AG426" s="7"/>
    </row>
    <row r="427">
      <c r="Q427" s="7"/>
      <c r="Z427" s="7"/>
      <c r="AA427" s="7"/>
      <c r="AB427" s="7"/>
      <c r="AC427" s="7"/>
      <c r="AD427" s="7"/>
      <c r="AG427" s="7"/>
    </row>
    <row r="428">
      <c r="Q428" s="7"/>
      <c r="Z428" s="7"/>
      <c r="AA428" s="7"/>
      <c r="AB428" s="7"/>
      <c r="AC428" s="7"/>
      <c r="AD428" s="7"/>
      <c r="AG428" s="7"/>
    </row>
    <row r="429">
      <c r="Q429" s="7"/>
      <c r="Z429" s="7"/>
      <c r="AA429" s="7"/>
      <c r="AB429" s="7"/>
      <c r="AC429" s="7"/>
      <c r="AD429" s="7"/>
      <c r="AG429" s="7"/>
    </row>
    <row r="430">
      <c r="Q430" s="7"/>
      <c r="Z430" s="7"/>
      <c r="AA430" s="7"/>
      <c r="AB430" s="7"/>
      <c r="AC430" s="7"/>
      <c r="AD430" s="7"/>
      <c r="AG430" s="7"/>
    </row>
    <row r="431">
      <c r="Q431" s="7"/>
      <c r="Z431" s="7"/>
      <c r="AA431" s="7"/>
      <c r="AB431" s="7"/>
      <c r="AC431" s="7"/>
      <c r="AD431" s="7"/>
      <c r="AG431" s="7"/>
    </row>
    <row r="432">
      <c r="Q432" s="7"/>
      <c r="Z432" s="7"/>
      <c r="AA432" s="7"/>
      <c r="AB432" s="7"/>
      <c r="AC432" s="7"/>
      <c r="AD432" s="7"/>
      <c r="AG432" s="7"/>
    </row>
    <row r="433">
      <c r="Q433" s="7"/>
      <c r="Z433" s="7"/>
      <c r="AA433" s="7"/>
      <c r="AB433" s="7"/>
      <c r="AC433" s="7"/>
      <c r="AD433" s="7"/>
      <c r="AG433" s="7"/>
    </row>
    <row r="434">
      <c r="Q434" s="7"/>
      <c r="Z434" s="7"/>
      <c r="AA434" s="7"/>
      <c r="AB434" s="7"/>
      <c r="AC434" s="7"/>
      <c r="AD434" s="7"/>
      <c r="AG434" s="7"/>
    </row>
    <row r="435">
      <c r="Q435" s="7"/>
      <c r="Z435" s="7"/>
      <c r="AA435" s="7"/>
      <c r="AB435" s="7"/>
      <c r="AC435" s="7"/>
      <c r="AD435" s="7"/>
      <c r="AG435" s="7"/>
    </row>
    <row r="436">
      <c r="Q436" s="7"/>
      <c r="Z436" s="7"/>
      <c r="AA436" s="7"/>
      <c r="AB436" s="7"/>
      <c r="AC436" s="7"/>
      <c r="AD436" s="7"/>
      <c r="AG436" s="7"/>
    </row>
    <row r="437">
      <c r="Q437" s="7"/>
      <c r="Z437" s="7"/>
      <c r="AA437" s="7"/>
      <c r="AB437" s="7"/>
      <c r="AC437" s="7"/>
      <c r="AD437" s="7"/>
      <c r="AG437" s="7"/>
    </row>
    <row r="438">
      <c r="Q438" s="7"/>
      <c r="Z438" s="7"/>
      <c r="AA438" s="7"/>
      <c r="AB438" s="7"/>
      <c r="AC438" s="7"/>
      <c r="AD438" s="7"/>
      <c r="AG438" s="7"/>
    </row>
    <row r="439">
      <c r="Q439" s="7"/>
      <c r="Z439" s="7"/>
      <c r="AA439" s="7"/>
      <c r="AB439" s="7"/>
      <c r="AC439" s="7"/>
      <c r="AD439" s="7"/>
      <c r="AG439" s="7"/>
    </row>
    <row r="440">
      <c r="Q440" s="7"/>
      <c r="Z440" s="7"/>
      <c r="AA440" s="7"/>
      <c r="AB440" s="7"/>
      <c r="AC440" s="7"/>
      <c r="AD440" s="7"/>
      <c r="AG440" s="7"/>
    </row>
    <row r="441">
      <c r="Q441" s="7"/>
      <c r="Z441" s="7"/>
      <c r="AA441" s="7"/>
      <c r="AB441" s="7"/>
      <c r="AC441" s="7"/>
      <c r="AD441" s="7"/>
      <c r="AG441" s="7"/>
    </row>
    <row r="442">
      <c r="Q442" s="7"/>
      <c r="Z442" s="7"/>
      <c r="AA442" s="7"/>
      <c r="AB442" s="7"/>
      <c r="AC442" s="7"/>
      <c r="AD442" s="7"/>
      <c r="AG442" s="7"/>
    </row>
    <row r="443">
      <c r="Q443" s="7"/>
      <c r="Z443" s="7"/>
      <c r="AA443" s="7"/>
      <c r="AB443" s="7"/>
      <c r="AC443" s="7"/>
      <c r="AD443" s="7"/>
      <c r="AG443" s="7"/>
    </row>
    <row r="444">
      <c r="Q444" s="7"/>
      <c r="Z444" s="7"/>
      <c r="AA444" s="7"/>
      <c r="AB444" s="7"/>
      <c r="AC444" s="7"/>
      <c r="AD444" s="7"/>
      <c r="AG444" s="7"/>
    </row>
    <row r="445">
      <c r="Q445" s="7"/>
      <c r="Z445" s="7"/>
      <c r="AA445" s="7"/>
      <c r="AB445" s="7"/>
      <c r="AC445" s="7"/>
      <c r="AD445" s="7"/>
      <c r="AG445" s="7"/>
    </row>
    <row r="446">
      <c r="Q446" s="7"/>
      <c r="Z446" s="7"/>
      <c r="AA446" s="7"/>
      <c r="AB446" s="7"/>
      <c r="AC446" s="7"/>
      <c r="AD446" s="7"/>
      <c r="AG446" s="7"/>
    </row>
    <row r="447">
      <c r="Q447" s="7"/>
      <c r="Z447" s="7"/>
      <c r="AA447" s="7"/>
      <c r="AB447" s="7"/>
      <c r="AC447" s="7"/>
      <c r="AD447" s="7"/>
      <c r="AG447" s="7"/>
    </row>
    <row r="448">
      <c r="Q448" s="7"/>
      <c r="Z448" s="7"/>
      <c r="AA448" s="7"/>
      <c r="AB448" s="7"/>
      <c r="AC448" s="7"/>
      <c r="AD448" s="7"/>
      <c r="AG448" s="7"/>
    </row>
    <row r="449">
      <c r="Q449" s="7"/>
      <c r="Z449" s="7"/>
      <c r="AA449" s="7"/>
      <c r="AB449" s="7"/>
      <c r="AC449" s="7"/>
      <c r="AD449" s="7"/>
      <c r="AG449" s="7"/>
    </row>
    <row r="450">
      <c r="Q450" s="7"/>
      <c r="Z450" s="7"/>
      <c r="AA450" s="7"/>
      <c r="AB450" s="7"/>
      <c r="AC450" s="7"/>
      <c r="AD450" s="7"/>
      <c r="AG450" s="7"/>
    </row>
    <row r="451">
      <c r="Q451" s="7"/>
      <c r="Z451" s="7"/>
      <c r="AA451" s="7"/>
      <c r="AB451" s="7"/>
      <c r="AC451" s="7"/>
      <c r="AD451" s="7"/>
      <c r="AG451" s="7"/>
    </row>
    <row r="452">
      <c r="Q452" s="7"/>
      <c r="Z452" s="7"/>
      <c r="AA452" s="7"/>
      <c r="AB452" s="7"/>
      <c r="AC452" s="7"/>
      <c r="AD452" s="7"/>
      <c r="AG452" s="7"/>
    </row>
    <row r="453">
      <c r="Q453" s="7"/>
      <c r="Z453" s="7"/>
      <c r="AA453" s="7"/>
      <c r="AB453" s="7"/>
      <c r="AC453" s="7"/>
      <c r="AD453" s="7"/>
      <c r="AG453" s="7"/>
    </row>
    <row r="454">
      <c r="Q454" s="7"/>
      <c r="Z454" s="7"/>
      <c r="AA454" s="7"/>
      <c r="AB454" s="7"/>
      <c r="AC454" s="7"/>
      <c r="AD454" s="7"/>
      <c r="AG454" s="7"/>
    </row>
    <row r="455">
      <c r="Q455" s="7"/>
      <c r="Z455" s="7"/>
      <c r="AA455" s="7"/>
      <c r="AB455" s="7"/>
      <c r="AC455" s="7"/>
      <c r="AD455" s="7"/>
      <c r="AG455" s="7"/>
    </row>
    <row r="456">
      <c r="Q456" s="7"/>
      <c r="Z456" s="7"/>
      <c r="AA456" s="7"/>
      <c r="AB456" s="7"/>
      <c r="AC456" s="7"/>
      <c r="AD456" s="7"/>
      <c r="AG456" s="7"/>
    </row>
    <row r="457">
      <c r="Q457" s="7"/>
      <c r="Z457" s="7"/>
      <c r="AA457" s="7"/>
      <c r="AB457" s="7"/>
      <c r="AC457" s="7"/>
      <c r="AD457" s="7"/>
      <c r="AG457" s="7"/>
    </row>
    <row r="458">
      <c r="Q458" s="7"/>
      <c r="Z458" s="7"/>
      <c r="AA458" s="7"/>
      <c r="AB458" s="7"/>
      <c r="AC458" s="7"/>
      <c r="AD458" s="7"/>
      <c r="AG458" s="7"/>
    </row>
    <row r="459">
      <c r="Q459" s="7"/>
      <c r="Z459" s="7"/>
      <c r="AA459" s="7"/>
      <c r="AB459" s="7"/>
      <c r="AC459" s="7"/>
      <c r="AD459" s="7"/>
      <c r="AG459" s="7"/>
    </row>
    <row r="460">
      <c r="Q460" s="7"/>
      <c r="Z460" s="7"/>
      <c r="AA460" s="7"/>
      <c r="AB460" s="7"/>
      <c r="AC460" s="7"/>
      <c r="AD460" s="7"/>
      <c r="AG460" s="7"/>
    </row>
    <row r="461">
      <c r="Q461" s="7"/>
      <c r="Z461" s="7"/>
      <c r="AA461" s="7"/>
      <c r="AB461" s="7"/>
      <c r="AC461" s="7"/>
      <c r="AD461" s="7"/>
      <c r="AG461" s="7"/>
    </row>
    <row r="462">
      <c r="Q462" s="7"/>
      <c r="Z462" s="7"/>
      <c r="AA462" s="7"/>
      <c r="AB462" s="7"/>
      <c r="AC462" s="7"/>
      <c r="AD462" s="7"/>
      <c r="AG462" s="7"/>
    </row>
    <row r="463">
      <c r="Q463" s="7"/>
      <c r="Z463" s="7"/>
      <c r="AA463" s="7"/>
      <c r="AB463" s="7"/>
      <c r="AC463" s="7"/>
      <c r="AD463" s="7"/>
      <c r="AG463" s="7"/>
    </row>
    <row r="464">
      <c r="Q464" s="7"/>
      <c r="Z464" s="7"/>
      <c r="AA464" s="7"/>
      <c r="AB464" s="7"/>
      <c r="AC464" s="7"/>
      <c r="AD464" s="7"/>
      <c r="AG464" s="7"/>
    </row>
    <row r="465">
      <c r="Q465" s="7"/>
      <c r="Z465" s="7"/>
      <c r="AA465" s="7"/>
      <c r="AB465" s="7"/>
      <c r="AC465" s="7"/>
      <c r="AD465" s="7"/>
      <c r="AG465" s="7"/>
    </row>
    <row r="466">
      <c r="Q466" s="7"/>
      <c r="Z466" s="7"/>
      <c r="AA466" s="7"/>
      <c r="AB466" s="7"/>
      <c r="AC466" s="7"/>
      <c r="AD466" s="7"/>
      <c r="AG466" s="7"/>
    </row>
    <row r="467">
      <c r="Q467" s="7"/>
      <c r="Z467" s="7"/>
      <c r="AA467" s="7"/>
      <c r="AB467" s="7"/>
      <c r="AC467" s="7"/>
      <c r="AD467" s="7"/>
      <c r="AG467" s="7"/>
    </row>
    <row r="468">
      <c r="Q468" s="7"/>
      <c r="Z468" s="7"/>
      <c r="AA468" s="7"/>
      <c r="AB468" s="7"/>
      <c r="AC468" s="7"/>
      <c r="AD468" s="7"/>
      <c r="AG468" s="7"/>
    </row>
    <row r="469">
      <c r="Q469" s="7"/>
      <c r="Z469" s="7"/>
      <c r="AA469" s="7"/>
      <c r="AB469" s="7"/>
      <c r="AC469" s="7"/>
      <c r="AD469" s="7"/>
      <c r="AG469" s="7"/>
    </row>
    <row r="470">
      <c r="Q470" s="7"/>
      <c r="Z470" s="7"/>
      <c r="AA470" s="7"/>
      <c r="AB470" s="7"/>
      <c r="AC470" s="7"/>
      <c r="AD470" s="7"/>
      <c r="AG470" s="7"/>
    </row>
    <row r="471">
      <c r="Q471" s="7"/>
      <c r="Z471" s="7"/>
      <c r="AA471" s="7"/>
      <c r="AB471" s="7"/>
      <c r="AC471" s="7"/>
      <c r="AD471" s="7"/>
      <c r="AG471" s="7"/>
    </row>
    <row r="472">
      <c r="Q472" s="7"/>
      <c r="Z472" s="7"/>
      <c r="AA472" s="7"/>
      <c r="AB472" s="7"/>
      <c r="AC472" s="7"/>
      <c r="AD472" s="7"/>
      <c r="AG472" s="7"/>
    </row>
    <row r="473">
      <c r="Q473" s="7"/>
      <c r="Z473" s="7"/>
      <c r="AA473" s="7"/>
      <c r="AB473" s="7"/>
      <c r="AC473" s="7"/>
      <c r="AD473" s="7"/>
      <c r="AG473" s="7"/>
    </row>
    <row r="474">
      <c r="Q474" s="7"/>
      <c r="Z474" s="7"/>
      <c r="AA474" s="7"/>
      <c r="AB474" s="7"/>
      <c r="AC474" s="7"/>
      <c r="AD474" s="7"/>
      <c r="AG474" s="7"/>
    </row>
    <row r="475">
      <c r="Q475" s="7"/>
      <c r="Z475" s="7"/>
      <c r="AA475" s="7"/>
      <c r="AB475" s="7"/>
      <c r="AC475" s="7"/>
      <c r="AD475" s="7"/>
      <c r="AG475" s="7"/>
    </row>
    <row r="476">
      <c r="Q476" s="7"/>
      <c r="Z476" s="7"/>
      <c r="AA476" s="7"/>
      <c r="AB476" s="7"/>
      <c r="AC476" s="7"/>
      <c r="AD476" s="7"/>
      <c r="AG476" s="7"/>
    </row>
    <row r="477">
      <c r="Q477" s="7"/>
      <c r="Z477" s="7"/>
      <c r="AA477" s="7"/>
      <c r="AB477" s="7"/>
      <c r="AC477" s="7"/>
      <c r="AD477" s="7"/>
      <c r="AG477" s="7"/>
    </row>
    <row r="478">
      <c r="Q478" s="7"/>
      <c r="Z478" s="7"/>
      <c r="AA478" s="7"/>
      <c r="AB478" s="7"/>
      <c r="AC478" s="7"/>
      <c r="AD478" s="7"/>
      <c r="AG478" s="7"/>
    </row>
    <row r="479">
      <c r="Q479" s="7"/>
      <c r="Z479" s="7"/>
      <c r="AA479" s="7"/>
      <c r="AB479" s="7"/>
      <c r="AC479" s="7"/>
      <c r="AD479" s="7"/>
      <c r="AG479" s="7"/>
    </row>
    <row r="480">
      <c r="Q480" s="7"/>
      <c r="Z480" s="7"/>
      <c r="AA480" s="7"/>
      <c r="AB480" s="7"/>
      <c r="AC480" s="7"/>
      <c r="AD480" s="7"/>
      <c r="AG480" s="7"/>
    </row>
    <row r="481">
      <c r="Q481" s="7"/>
      <c r="Z481" s="7"/>
      <c r="AA481" s="7"/>
      <c r="AB481" s="7"/>
      <c r="AC481" s="7"/>
      <c r="AD481" s="7"/>
      <c r="AG481" s="7"/>
    </row>
    <row r="482">
      <c r="Q482" s="7"/>
      <c r="Z482" s="7"/>
      <c r="AA482" s="7"/>
      <c r="AB482" s="7"/>
      <c r="AC482" s="7"/>
      <c r="AD482" s="7"/>
      <c r="AG482" s="7"/>
    </row>
    <row r="483">
      <c r="Q483" s="7"/>
      <c r="Z483" s="7"/>
      <c r="AA483" s="7"/>
      <c r="AB483" s="7"/>
      <c r="AC483" s="7"/>
      <c r="AD483" s="7"/>
      <c r="AG483" s="7"/>
    </row>
    <row r="484">
      <c r="Q484" s="7"/>
      <c r="Z484" s="7"/>
      <c r="AA484" s="7"/>
      <c r="AB484" s="7"/>
      <c r="AC484" s="7"/>
      <c r="AD484" s="7"/>
      <c r="AG484" s="7"/>
    </row>
    <row r="485">
      <c r="Q485" s="7"/>
      <c r="Z485" s="7"/>
      <c r="AA485" s="7"/>
      <c r="AB485" s="7"/>
      <c r="AC485" s="7"/>
      <c r="AD485" s="7"/>
      <c r="AG485" s="7"/>
    </row>
    <row r="486">
      <c r="Q486" s="7"/>
      <c r="Z486" s="7"/>
      <c r="AA486" s="7"/>
      <c r="AB486" s="7"/>
      <c r="AC486" s="7"/>
      <c r="AD486" s="7"/>
      <c r="AG486" s="7"/>
    </row>
    <row r="487">
      <c r="Q487" s="7"/>
      <c r="Z487" s="7"/>
      <c r="AA487" s="7"/>
      <c r="AB487" s="7"/>
      <c r="AC487" s="7"/>
      <c r="AD487" s="7"/>
      <c r="AG487" s="7"/>
    </row>
    <row r="488">
      <c r="Q488" s="7"/>
      <c r="Z488" s="7"/>
      <c r="AA488" s="7"/>
      <c r="AB488" s="7"/>
      <c r="AC488" s="7"/>
      <c r="AD488" s="7"/>
      <c r="AG488" s="7"/>
    </row>
    <row r="489">
      <c r="Q489" s="7"/>
      <c r="Z489" s="7"/>
      <c r="AA489" s="7"/>
      <c r="AB489" s="7"/>
      <c r="AC489" s="7"/>
      <c r="AD489" s="7"/>
      <c r="AG489" s="7"/>
    </row>
    <row r="490">
      <c r="Q490" s="7"/>
      <c r="Z490" s="7"/>
      <c r="AA490" s="7"/>
      <c r="AB490" s="7"/>
      <c r="AC490" s="7"/>
      <c r="AD490" s="7"/>
      <c r="AG490" s="7"/>
    </row>
    <row r="491">
      <c r="Q491" s="7"/>
      <c r="Z491" s="7"/>
      <c r="AA491" s="7"/>
      <c r="AB491" s="7"/>
      <c r="AC491" s="7"/>
      <c r="AD491" s="7"/>
      <c r="AG491" s="7"/>
    </row>
    <row r="492">
      <c r="Q492" s="7"/>
      <c r="Z492" s="7"/>
      <c r="AA492" s="7"/>
      <c r="AB492" s="7"/>
      <c r="AC492" s="7"/>
      <c r="AD492" s="7"/>
      <c r="AG492" s="7"/>
    </row>
    <row r="493">
      <c r="Q493" s="7"/>
      <c r="Z493" s="7"/>
      <c r="AA493" s="7"/>
      <c r="AB493" s="7"/>
      <c r="AC493" s="7"/>
      <c r="AD493" s="7"/>
      <c r="AG493" s="7"/>
    </row>
    <row r="494">
      <c r="Q494" s="7"/>
      <c r="Z494" s="7"/>
      <c r="AA494" s="7"/>
      <c r="AB494" s="7"/>
      <c r="AC494" s="7"/>
      <c r="AD494" s="7"/>
      <c r="AG494" s="7"/>
    </row>
    <row r="495">
      <c r="Q495" s="7"/>
      <c r="Z495" s="7"/>
      <c r="AA495" s="7"/>
      <c r="AB495" s="7"/>
      <c r="AC495" s="7"/>
      <c r="AD495" s="7"/>
      <c r="AG495" s="7"/>
    </row>
    <row r="496">
      <c r="Q496" s="7"/>
      <c r="Z496" s="7"/>
      <c r="AA496" s="7"/>
      <c r="AB496" s="7"/>
      <c r="AC496" s="7"/>
      <c r="AD496" s="7"/>
      <c r="AG496" s="7"/>
    </row>
    <row r="497">
      <c r="Q497" s="7"/>
      <c r="Z497" s="7"/>
      <c r="AA497" s="7"/>
      <c r="AB497" s="7"/>
      <c r="AC497" s="7"/>
      <c r="AD497" s="7"/>
      <c r="AG497" s="7"/>
    </row>
    <row r="498">
      <c r="Q498" s="7"/>
      <c r="Z498" s="7"/>
      <c r="AA498" s="7"/>
      <c r="AB498" s="7"/>
      <c r="AC498" s="7"/>
      <c r="AD498" s="7"/>
      <c r="AG498" s="7"/>
    </row>
    <row r="499">
      <c r="Q499" s="7"/>
      <c r="Z499" s="7"/>
      <c r="AA499" s="7"/>
      <c r="AB499" s="7"/>
      <c r="AC499" s="7"/>
      <c r="AD499" s="7"/>
      <c r="AG499" s="7"/>
    </row>
    <row r="500">
      <c r="Q500" s="7"/>
      <c r="Z500" s="7"/>
      <c r="AA500" s="7"/>
      <c r="AB500" s="7"/>
      <c r="AC500" s="7"/>
      <c r="AD500" s="7"/>
      <c r="AG500" s="7"/>
    </row>
    <row r="501">
      <c r="Q501" s="7"/>
      <c r="Z501" s="7"/>
      <c r="AA501" s="7"/>
      <c r="AB501" s="7"/>
      <c r="AC501" s="7"/>
      <c r="AD501" s="7"/>
      <c r="AG501" s="7"/>
    </row>
    <row r="502">
      <c r="Q502" s="7"/>
      <c r="Z502" s="7"/>
      <c r="AA502" s="7"/>
      <c r="AB502" s="7"/>
      <c r="AC502" s="7"/>
      <c r="AD502" s="7"/>
      <c r="AG502" s="7"/>
    </row>
    <row r="503">
      <c r="Q503" s="7"/>
      <c r="Z503" s="7"/>
      <c r="AA503" s="7"/>
      <c r="AB503" s="7"/>
      <c r="AC503" s="7"/>
      <c r="AD503" s="7"/>
      <c r="AG503" s="7"/>
    </row>
    <row r="504">
      <c r="Q504" s="7"/>
      <c r="Z504" s="7"/>
      <c r="AA504" s="7"/>
      <c r="AB504" s="7"/>
      <c r="AC504" s="7"/>
      <c r="AD504" s="7"/>
      <c r="AG504" s="7"/>
    </row>
    <row r="505">
      <c r="Q505" s="7"/>
      <c r="Z505" s="7"/>
      <c r="AA505" s="7"/>
      <c r="AB505" s="7"/>
      <c r="AC505" s="7"/>
      <c r="AD505" s="7"/>
      <c r="AG505" s="7"/>
    </row>
    <row r="506">
      <c r="Q506" s="7"/>
      <c r="Z506" s="7"/>
      <c r="AA506" s="7"/>
      <c r="AB506" s="7"/>
      <c r="AC506" s="7"/>
      <c r="AD506" s="7"/>
      <c r="AG506" s="7"/>
    </row>
    <row r="507">
      <c r="Q507" s="7"/>
      <c r="Z507" s="7"/>
      <c r="AA507" s="7"/>
      <c r="AB507" s="7"/>
      <c r="AC507" s="7"/>
      <c r="AD507" s="7"/>
      <c r="AG507" s="7"/>
    </row>
    <row r="508">
      <c r="Q508" s="7"/>
      <c r="Z508" s="7"/>
      <c r="AA508" s="7"/>
      <c r="AB508" s="7"/>
      <c r="AC508" s="7"/>
      <c r="AD508" s="7"/>
      <c r="AG508" s="7"/>
    </row>
    <row r="509">
      <c r="Q509" s="7"/>
      <c r="Z509" s="7"/>
      <c r="AA509" s="7"/>
      <c r="AB509" s="7"/>
      <c r="AC509" s="7"/>
      <c r="AD509" s="7"/>
      <c r="AG509" s="7"/>
    </row>
    <row r="510">
      <c r="Q510" s="7"/>
      <c r="Z510" s="7"/>
      <c r="AA510" s="7"/>
      <c r="AB510" s="7"/>
      <c r="AC510" s="7"/>
      <c r="AD510" s="7"/>
      <c r="AG510" s="7"/>
    </row>
    <row r="511">
      <c r="Q511" s="7"/>
      <c r="Z511" s="7"/>
      <c r="AA511" s="7"/>
      <c r="AB511" s="7"/>
      <c r="AC511" s="7"/>
      <c r="AD511" s="7"/>
      <c r="AG511" s="7"/>
    </row>
    <row r="512">
      <c r="Q512" s="7"/>
      <c r="Z512" s="7"/>
      <c r="AA512" s="7"/>
      <c r="AB512" s="7"/>
      <c r="AC512" s="7"/>
      <c r="AD512" s="7"/>
      <c r="AG512" s="7"/>
    </row>
    <row r="513">
      <c r="Q513" s="7"/>
      <c r="Z513" s="7"/>
      <c r="AA513" s="7"/>
      <c r="AB513" s="7"/>
      <c r="AC513" s="7"/>
      <c r="AD513" s="7"/>
      <c r="AG513" s="7"/>
    </row>
    <row r="514">
      <c r="Q514" s="7"/>
      <c r="Z514" s="7"/>
      <c r="AA514" s="7"/>
      <c r="AB514" s="7"/>
      <c r="AC514" s="7"/>
      <c r="AD514" s="7"/>
      <c r="AG514" s="7"/>
    </row>
    <row r="515">
      <c r="Q515" s="7"/>
      <c r="Z515" s="7"/>
      <c r="AA515" s="7"/>
      <c r="AB515" s="7"/>
      <c r="AC515" s="7"/>
      <c r="AD515" s="7"/>
      <c r="AG515" s="7"/>
    </row>
    <row r="516">
      <c r="Q516" s="7"/>
      <c r="Z516" s="7"/>
      <c r="AA516" s="7"/>
      <c r="AB516" s="7"/>
      <c r="AC516" s="7"/>
      <c r="AD516" s="7"/>
      <c r="AG516" s="7"/>
    </row>
    <row r="517">
      <c r="Q517" s="7"/>
      <c r="Z517" s="7"/>
      <c r="AA517" s="7"/>
      <c r="AB517" s="7"/>
      <c r="AC517" s="7"/>
      <c r="AD517" s="7"/>
      <c r="AG517" s="7"/>
    </row>
    <row r="518">
      <c r="Q518" s="7"/>
      <c r="Z518" s="7"/>
      <c r="AA518" s="7"/>
      <c r="AB518" s="7"/>
      <c r="AC518" s="7"/>
      <c r="AD518" s="7"/>
      <c r="AG518" s="7"/>
    </row>
    <row r="519">
      <c r="Q519" s="7"/>
      <c r="Z519" s="7"/>
      <c r="AA519" s="7"/>
      <c r="AB519" s="7"/>
      <c r="AC519" s="7"/>
      <c r="AD519" s="7"/>
      <c r="AG519" s="7"/>
    </row>
    <row r="520">
      <c r="Q520" s="7"/>
      <c r="Z520" s="7"/>
      <c r="AA520" s="7"/>
      <c r="AB520" s="7"/>
      <c r="AC520" s="7"/>
      <c r="AD520" s="7"/>
      <c r="AG520" s="7"/>
    </row>
    <row r="521">
      <c r="Q521" s="7"/>
      <c r="Z521" s="7"/>
      <c r="AA521" s="7"/>
      <c r="AB521" s="7"/>
      <c r="AC521" s="7"/>
      <c r="AD521" s="7"/>
      <c r="AG521" s="7"/>
    </row>
    <row r="522">
      <c r="Q522" s="7"/>
      <c r="Z522" s="7"/>
      <c r="AA522" s="7"/>
      <c r="AB522" s="7"/>
      <c r="AC522" s="7"/>
      <c r="AD522" s="7"/>
      <c r="AG522" s="7"/>
    </row>
    <row r="523">
      <c r="Q523" s="7"/>
      <c r="Z523" s="7"/>
      <c r="AA523" s="7"/>
      <c r="AB523" s="7"/>
      <c r="AC523" s="7"/>
      <c r="AD523" s="7"/>
      <c r="AG523" s="7"/>
    </row>
    <row r="524">
      <c r="Q524" s="7"/>
      <c r="Z524" s="7"/>
      <c r="AA524" s="7"/>
      <c r="AB524" s="7"/>
      <c r="AC524" s="7"/>
      <c r="AD524" s="7"/>
      <c r="AG524" s="7"/>
    </row>
    <row r="525">
      <c r="Q525" s="7"/>
      <c r="Z525" s="7"/>
      <c r="AA525" s="7"/>
      <c r="AB525" s="7"/>
      <c r="AC525" s="7"/>
      <c r="AD525" s="7"/>
      <c r="AG525" s="7"/>
    </row>
    <row r="526">
      <c r="Q526" s="7"/>
      <c r="Z526" s="7"/>
      <c r="AA526" s="7"/>
      <c r="AB526" s="7"/>
      <c r="AC526" s="7"/>
      <c r="AD526" s="7"/>
      <c r="AG526" s="7"/>
    </row>
    <row r="527">
      <c r="Q527" s="7"/>
      <c r="Z527" s="7"/>
      <c r="AA527" s="7"/>
      <c r="AB527" s="7"/>
      <c r="AC527" s="7"/>
      <c r="AD527" s="7"/>
      <c r="AG527" s="7"/>
    </row>
    <row r="528">
      <c r="Q528" s="7"/>
      <c r="Z528" s="7"/>
      <c r="AA528" s="7"/>
      <c r="AB528" s="7"/>
      <c r="AC528" s="7"/>
      <c r="AD528" s="7"/>
      <c r="AG528" s="7"/>
    </row>
    <row r="529">
      <c r="Q529" s="7"/>
      <c r="Z529" s="7"/>
      <c r="AA529" s="7"/>
      <c r="AB529" s="7"/>
      <c r="AC529" s="7"/>
      <c r="AD529" s="7"/>
      <c r="AG529" s="7"/>
    </row>
    <row r="530">
      <c r="Q530" s="7"/>
      <c r="Z530" s="7"/>
      <c r="AA530" s="7"/>
      <c r="AB530" s="7"/>
      <c r="AC530" s="7"/>
      <c r="AD530" s="7"/>
      <c r="AG530" s="7"/>
    </row>
    <row r="531">
      <c r="Q531" s="7"/>
      <c r="Z531" s="7"/>
      <c r="AA531" s="7"/>
      <c r="AB531" s="7"/>
      <c r="AC531" s="7"/>
      <c r="AD531" s="7"/>
      <c r="AG531" s="7"/>
    </row>
    <row r="532">
      <c r="Q532" s="7"/>
      <c r="Z532" s="7"/>
      <c r="AA532" s="7"/>
      <c r="AB532" s="7"/>
      <c r="AC532" s="7"/>
      <c r="AD532" s="7"/>
      <c r="AG532" s="7"/>
    </row>
    <row r="533">
      <c r="Q533" s="7"/>
      <c r="Z533" s="7"/>
      <c r="AA533" s="7"/>
      <c r="AB533" s="7"/>
      <c r="AC533" s="7"/>
      <c r="AD533" s="7"/>
      <c r="AG533" s="7"/>
    </row>
    <row r="534">
      <c r="Q534" s="7"/>
      <c r="Z534" s="7"/>
      <c r="AA534" s="7"/>
      <c r="AB534" s="7"/>
      <c r="AC534" s="7"/>
      <c r="AD534" s="7"/>
      <c r="AG534" s="7"/>
    </row>
    <row r="535">
      <c r="Q535" s="7"/>
      <c r="Z535" s="7"/>
      <c r="AA535" s="7"/>
      <c r="AB535" s="7"/>
      <c r="AC535" s="7"/>
      <c r="AD535" s="7"/>
      <c r="AG535" s="7"/>
    </row>
    <row r="536">
      <c r="Q536" s="7"/>
      <c r="Z536" s="7"/>
      <c r="AA536" s="7"/>
      <c r="AB536" s="7"/>
      <c r="AC536" s="7"/>
      <c r="AD536" s="7"/>
      <c r="AG536" s="7"/>
    </row>
    <row r="537">
      <c r="Q537" s="7"/>
      <c r="Z537" s="7"/>
      <c r="AA537" s="7"/>
      <c r="AB537" s="7"/>
      <c r="AC537" s="7"/>
      <c r="AD537" s="7"/>
      <c r="AG537" s="7"/>
    </row>
    <row r="538">
      <c r="Q538" s="7"/>
      <c r="Z538" s="7"/>
      <c r="AA538" s="7"/>
      <c r="AB538" s="7"/>
      <c r="AC538" s="7"/>
      <c r="AD538" s="7"/>
      <c r="AG538" s="7"/>
    </row>
    <row r="539">
      <c r="Q539" s="7"/>
      <c r="Z539" s="7"/>
      <c r="AA539" s="7"/>
      <c r="AB539" s="7"/>
      <c r="AC539" s="7"/>
      <c r="AD539" s="7"/>
      <c r="AG539" s="7"/>
    </row>
    <row r="540">
      <c r="Q540" s="7"/>
      <c r="Z540" s="7"/>
      <c r="AA540" s="7"/>
      <c r="AB540" s="7"/>
      <c r="AC540" s="7"/>
      <c r="AD540" s="7"/>
      <c r="AG540" s="7"/>
    </row>
    <row r="541">
      <c r="Q541" s="7"/>
      <c r="Z541" s="7"/>
      <c r="AA541" s="7"/>
      <c r="AB541" s="7"/>
      <c r="AC541" s="7"/>
      <c r="AD541" s="7"/>
      <c r="AG541" s="7"/>
    </row>
    <row r="542">
      <c r="Q542" s="7"/>
      <c r="Z542" s="7"/>
      <c r="AA542" s="7"/>
      <c r="AB542" s="7"/>
      <c r="AC542" s="7"/>
      <c r="AD542" s="7"/>
      <c r="AG542" s="7"/>
    </row>
    <row r="543">
      <c r="Q543" s="7"/>
      <c r="Z543" s="7"/>
      <c r="AA543" s="7"/>
      <c r="AB543" s="7"/>
      <c r="AC543" s="7"/>
      <c r="AD543" s="7"/>
      <c r="AG543" s="7"/>
    </row>
    <row r="544">
      <c r="Q544" s="7"/>
      <c r="Z544" s="7"/>
      <c r="AA544" s="7"/>
      <c r="AB544" s="7"/>
      <c r="AC544" s="7"/>
      <c r="AD544" s="7"/>
      <c r="AG544" s="7"/>
    </row>
    <row r="545">
      <c r="Q545" s="7"/>
      <c r="Z545" s="7"/>
      <c r="AA545" s="7"/>
      <c r="AB545" s="7"/>
      <c r="AC545" s="7"/>
      <c r="AD545" s="7"/>
      <c r="AG545" s="7"/>
    </row>
    <row r="546">
      <c r="Q546" s="7"/>
      <c r="Z546" s="7"/>
      <c r="AA546" s="7"/>
      <c r="AB546" s="7"/>
      <c r="AC546" s="7"/>
      <c r="AD546" s="7"/>
      <c r="AG546" s="7"/>
    </row>
    <row r="547">
      <c r="Q547" s="7"/>
      <c r="Z547" s="7"/>
      <c r="AA547" s="7"/>
      <c r="AB547" s="7"/>
      <c r="AC547" s="7"/>
      <c r="AD547" s="7"/>
      <c r="AG547" s="7"/>
    </row>
    <row r="548">
      <c r="Q548" s="7"/>
      <c r="Z548" s="7"/>
      <c r="AA548" s="7"/>
      <c r="AB548" s="7"/>
      <c r="AC548" s="7"/>
      <c r="AD548" s="7"/>
      <c r="AG548" s="7"/>
    </row>
    <row r="549">
      <c r="Q549" s="7"/>
      <c r="Z549" s="7"/>
      <c r="AA549" s="7"/>
      <c r="AB549" s="7"/>
      <c r="AC549" s="7"/>
      <c r="AD549" s="7"/>
      <c r="AG549" s="7"/>
    </row>
    <row r="550">
      <c r="Q550" s="7"/>
      <c r="Z550" s="7"/>
      <c r="AA550" s="7"/>
      <c r="AB550" s="7"/>
      <c r="AC550" s="7"/>
      <c r="AD550" s="7"/>
      <c r="AG550" s="7"/>
    </row>
    <row r="551">
      <c r="Q551" s="7"/>
      <c r="Z551" s="7"/>
      <c r="AA551" s="7"/>
      <c r="AB551" s="7"/>
      <c r="AC551" s="7"/>
      <c r="AD551" s="7"/>
      <c r="AG551" s="7"/>
    </row>
    <row r="552">
      <c r="Q552" s="7"/>
      <c r="Z552" s="7"/>
      <c r="AA552" s="7"/>
      <c r="AB552" s="7"/>
      <c r="AC552" s="7"/>
      <c r="AD552" s="7"/>
      <c r="AG552" s="7"/>
    </row>
    <row r="553">
      <c r="Q553" s="7"/>
      <c r="Z553" s="7"/>
      <c r="AA553" s="7"/>
      <c r="AB553" s="7"/>
      <c r="AC553" s="7"/>
      <c r="AD553" s="7"/>
      <c r="AG553" s="7"/>
    </row>
    <row r="554">
      <c r="Q554" s="7"/>
      <c r="Z554" s="7"/>
      <c r="AA554" s="7"/>
      <c r="AB554" s="7"/>
      <c r="AC554" s="7"/>
      <c r="AD554" s="7"/>
      <c r="AG554" s="7"/>
    </row>
    <row r="555">
      <c r="Q555" s="7"/>
      <c r="Z555" s="7"/>
      <c r="AA555" s="7"/>
      <c r="AB555" s="7"/>
      <c r="AC555" s="7"/>
      <c r="AD555" s="7"/>
      <c r="AG555" s="7"/>
    </row>
    <row r="556">
      <c r="Q556" s="7"/>
      <c r="Z556" s="7"/>
      <c r="AA556" s="7"/>
      <c r="AB556" s="7"/>
      <c r="AC556" s="7"/>
      <c r="AD556" s="7"/>
      <c r="AG556" s="7"/>
    </row>
    <row r="557">
      <c r="Q557" s="7"/>
      <c r="Z557" s="7"/>
      <c r="AA557" s="7"/>
      <c r="AB557" s="7"/>
      <c r="AC557" s="7"/>
      <c r="AD557" s="7"/>
      <c r="AG557" s="7"/>
    </row>
    <row r="558">
      <c r="Q558" s="7"/>
      <c r="Z558" s="7"/>
      <c r="AA558" s="7"/>
      <c r="AB558" s="7"/>
      <c r="AC558" s="7"/>
      <c r="AD558" s="7"/>
      <c r="AG558" s="7"/>
    </row>
    <row r="559">
      <c r="Q559" s="7"/>
      <c r="Z559" s="7"/>
      <c r="AA559" s="7"/>
      <c r="AB559" s="7"/>
      <c r="AC559" s="7"/>
      <c r="AD559" s="7"/>
      <c r="AG559" s="7"/>
    </row>
    <row r="560">
      <c r="Q560" s="7"/>
      <c r="Z560" s="7"/>
      <c r="AA560" s="7"/>
      <c r="AB560" s="7"/>
      <c r="AC560" s="7"/>
      <c r="AD560" s="7"/>
      <c r="AG560" s="7"/>
    </row>
    <row r="561">
      <c r="Q561" s="7"/>
      <c r="Z561" s="7"/>
      <c r="AA561" s="7"/>
      <c r="AB561" s="7"/>
      <c r="AC561" s="7"/>
      <c r="AD561" s="7"/>
      <c r="AG561" s="7"/>
    </row>
    <row r="562">
      <c r="Q562" s="7"/>
      <c r="Z562" s="7"/>
      <c r="AA562" s="7"/>
      <c r="AB562" s="7"/>
      <c r="AC562" s="7"/>
      <c r="AD562" s="7"/>
      <c r="AG562" s="7"/>
    </row>
    <row r="563">
      <c r="Q563" s="7"/>
      <c r="Z563" s="7"/>
      <c r="AA563" s="7"/>
      <c r="AB563" s="7"/>
      <c r="AC563" s="7"/>
      <c r="AD563" s="7"/>
      <c r="AG563" s="7"/>
    </row>
    <row r="564">
      <c r="Q564" s="7"/>
      <c r="Z564" s="7"/>
      <c r="AA564" s="7"/>
      <c r="AB564" s="7"/>
      <c r="AC564" s="7"/>
      <c r="AD564" s="7"/>
      <c r="AG564" s="7"/>
    </row>
    <row r="565">
      <c r="Q565" s="7"/>
      <c r="Z565" s="7"/>
      <c r="AA565" s="7"/>
      <c r="AB565" s="7"/>
      <c r="AC565" s="7"/>
      <c r="AD565" s="7"/>
      <c r="AG565" s="7"/>
    </row>
    <row r="566">
      <c r="Q566" s="7"/>
      <c r="Z566" s="7"/>
      <c r="AA566" s="7"/>
      <c r="AB566" s="7"/>
      <c r="AC566" s="7"/>
      <c r="AD566" s="7"/>
      <c r="AG566" s="7"/>
    </row>
    <row r="567">
      <c r="Q567" s="7"/>
      <c r="Z567" s="7"/>
      <c r="AA567" s="7"/>
      <c r="AB567" s="7"/>
      <c r="AC567" s="7"/>
      <c r="AD567" s="7"/>
      <c r="AG567" s="7"/>
    </row>
    <row r="568">
      <c r="Q568" s="7"/>
      <c r="Z568" s="7"/>
      <c r="AA568" s="7"/>
      <c r="AB568" s="7"/>
      <c r="AC568" s="7"/>
      <c r="AD568" s="7"/>
      <c r="AG568" s="7"/>
    </row>
    <row r="569">
      <c r="Q569" s="7"/>
      <c r="Z569" s="7"/>
      <c r="AA569" s="7"/>
      <c r="AB569" s="7"/>
      <c r="AC569" s="7"/>
      <c r="AD569" s="7"/>
      <c r="AG569" s="7"/>
    </row>
    <row r="570">
      <c r="Q570" s="7"/>
      <c r="Z570" s="7"/>
      <c r="AA570" s="7"/>
      <c r="AB570" s="7"/>
      <c r="AC570" s="7"/>
      <c r="AD570" s="7"/>
      <c r="AG570" s="7"/>
    </row>
    <row r="571">
      <c r="Q571" s="7"/>
      <c r="Z571" s="7"/>
      <c r="AA571" s="7"/>
      <c r="AB571" s="7"/>
      <c r="AC571" s="7"/>
      <c r="AD571" s="7"/>
      <c r="AG571" s="7"/>
    </row>
    <row r="572">
      <c r="Q572" s="7"/>
      <c r="Z572" s="7"/>
      <c r="AA572" s="7"/>
      <c r="AB572" s="7"/>
      <c r="AC572" s="7"/>
      <c r="AD572" s="7"/>
      <c r="AG572" s="7"/>
    </row>
    <row r="573">
      <c r="Q573" s="7"/>
      <c r="Z573" s="7"/>
      <c r="AA573" s="7"/>
      <c r="AB573" s="7"/>
      <c r="AC573" s="7"/>
      <c r="AD573" s="7"/>
      <c r="AG573" s="7"/>
    </row>
    <row r="574">
      <c r="Q574" s="7"/>
      <c r="Z574" s="7"/>
      <c r="AA574" s="7"/>
      <c r="AB574" s="7"/>
      <c r="AC574" s="7"/>
      <c r="AD574" s="7"/>
      <c r="AG574" s="7"/>
    </row>
    <row r="575">
      <c r="Q575" s="7"/>
      <c r="Z575" s="7"/>
      <c r="AA575" s="7"/>
      <c r="AB575" s="7"/>
      <c r="AC575" s="7"/>
      <c r="AD575" s="7"/>
      <c r="AG575" s="7"/>
    </row>
    <row r="576">
      <c r="Q576" s="7"/>
      <c r="Z576" s="7"/>
      <c r="AA576" s="7"/>
      <c r="AB576" s="7"/>
      <c r="AC576" s="7"/>
      <c r="AD576" s="7"/>
      <c r="AG576" s="7"/>
    </row>
    <row r="577">
      <c r="Q577" s="7"/>
      <c r="Z577" s="7"/>
      <c r="AA577" s="7"/>
      <c r="AB577" s="7"/>
      <c r="AC577" s="7"/>
      <c r="AD577" s="7"/>
      <c r="AG577" s="7"/>
    </row>
    <row r="578">
      <c r="Q578" s="7"/>
      <c r="Z578" s="7"/>
      <c r="AA578" s="7"/>
      <c r="AB578" s="7"/>
      <c r="AC578" s="7"/>
      <c r="AD578" s="7"/>
      <c r="AG578" s="7"/>
    </row>
    <row r="579">
      <c r="Q579" s="7"/>
      <c r="Z579" s="7"/>
      <c r="AA579" s="7"/>
      <c r="AB579" s="7"/>
      <c r="AC579" s="7"/>
      <c r="AD579" s="7"/>
      <c r="AG579" s="7"/>
    </row>
    <row r="580">
      <c r="Q580" s="7"/>
      <c r="Z580" s="7"/>
      <c r="AA580" s="7"/>
      <c r="AB580" s="7"/>
      <c r="AC580" s="7"/>
      <c r="AD580" s="7"/>
      <c r="AG580" s="7"/>
    </row>
    <row r="581">
      <c r="Q581" s="7"/>
      <c r="AG581" s="7"/>
    </row>
    <row r="582">
      <c r="Q582" s="7"/>
      <c r="AG582" s="7"/>
    </row>
    <row r="583">
      <c r="Q583" s="7"/>
      <c r="AG583" s="7"/>
    </row>
    <row r="584">
      <c r="Q584" s="7"/>
      <c r="AG584" s="7"/>
    </row>
    <row r="585">
      <c r="Q585" s="7"/>
      <c r="AG585" s="7"/>
    </row>
    <row r="586">
      <c r="Q586" s="7"/>
      <c r="AG586" s="7"/>
    </row>
    <row r="587">
      <c r="Q587" s="7"/>
      <c r="AG587" s="7"/>
    </row>
    <row r="588">
      <c r="Q588" s="7"/>
      <c r="AG588" s="7"/>
    </row>
    <row r="589">
      <c r="Q589" s="7"/>
      <c r="AG589" s="7"/>
    </row>
    <row r="590">
      <c r="Q590" s="7"/>
      <c r="AG590" s="7"/>
    </row>
    <row r="591">
      <c r="Q591" s="7"/>
      <c r="AG591" s="7"/>
    </row>
    <row r="592">
      <c r="Q592" s="7"/>
      <c r="AG592" s="7"/>
    </row>
    <row r="593">
      <c r="Q593" s="7"/>
      <c r="AG593" s="7"/>
    </row>
    <row r="594">
      <c r="Q594" s="7"/>
      <c r="AG594" s="7"/>
    </row>
    <row r="595">
      <c r="Q595" s="7"/>
      <c r="AG595" s="7"/>
    </row>
    <row r="596">
      <c r="Q596" s="7"/>
      <c r="AG596" s="7"/>
    </row>
    <row r="597">
      <c r="Q597" s="7"/>
      <c r="AG597" s="7"/>
    </row>
    <row r="598">
      <c r="Q598" s="7"/>
      <c r="AG598" s="7"/>
    </row>
    <row r="599">
      <c r="Q599" s="7"/>
      <c r="AG599" s="7"/>
    </row>
    <row r="600">
      <c r="Q600" s="7"/>
      <c r="AG600" s="7"/>
    </row>
    <row r="601">
      <c r="Q601" s="7"/>
      <c r="AG601" s="7"/>
    </row>
    <row r="602">
      <c r="Q602" s="7"/>
      <c r="AG602" s="7"/>
    </row>
    <row r="603">
      <c r="Q603" s="7"/>
      <c r="AG603" s="7"/>
    </row>
    <row r="604">
      <c r="Q604" s="7"/>
      <c r="AG604" s="7"/>
    </row>
    <row r="605">
      <c r="Q605" s="7"/>
      <c r="AG605" s="7"/>
    </row>
    <row r="606">
      <c r="Q606" s="7"/>
      <c r="AG606" s="7"/>
    </row>
    <row r="607">
      <c r="Q607" s="7"/>
      <c r="AG607" s="7"/>
    </row>
    <row r="608">
      <c r="Q608" s="7"/>
      <c r="AG608" s="7"/>
    </row>
    <row r="609">
      <c r="Q609" s="7"/>
      <c r="AG609" s="7"/>
    </row>
    <row r="610">
      <c r="Q610" s="7"/>
      <c r="AG610" s="7"/>
    </row>
    <row r="611">
      <c r="Q611" s="7"/>
      <c r="AG611" s="7"/>
    </row>
    <row r="612">
      <c r="Q612" s="7"/>
      <c r="AG612" s="7"/>
    </row>
    <row r="613">
      <c r="Q613" s="7"/>
      <c r="AG613" s="7"/>
    </row>
    <row r="614">
      <c r="Q614" s="7"/>
      <c r="AG614" s="7"/>
    </row>
    <row r="615">
      <c r="Q615" s="7"/>
      <c r="AG615" s="7"/>
    </row>
    <row r="616">
      <c r="Q616" s="7"/>
      <c r="AG616" s="7"/>
    </row>
    <row r="617">
      <c r="Q617" s="7"/>
      <c r="AG617" s="7"/>
    </row>
    <row r="618">
      <c r="Q618" s="7"/>
      <c r="AG618" s="7"/>
    </row>
    <row r="619">
      <c r="Q619" s="7"/>
      <c r="AG619" s="7"/>
    </row>
    <row r="620">
      <c r="Q620" s="7"/>
      <c r="AG620" s="7"/>
    </row>
    <row r="621">
      <c r="Q621" s="7"/>
      <c r="AG621" s="7"/>
    </row>
    <row r="622">
      <c r="Q622" s="7"/>
      <c r="AG622" s="7"/>
    </row>
    <row r="623">
      <c r="Q623" s="7"/>
      <c r="AG623" s="7"/>
    </row>
    <row r="624">
      <c r="Q624" s="7"/>
      <c r="AG624" s="7"/>
    </row>
    <row r="625">
      <c r="Q625" s="7"/>
      <c r="AG625" s="7"/>
    </row>
    <row r="626">
      <c r="Q626" s="7"/>
      <c r="AG626" s="7"/>
    </row>
    <row r="627">
      <c r="Q627" s="7"/>
      <c r="AG627" s="7"/>
    </row>
    <row r="628">
      <c r="Q628" s="7"/>
      <c r="AG628" s="7"/>
    </row>
    <row r="629">
      <c r="Q629" s="7"/>
      <c r="AG629" s="7"/>
    </row>
    <row r="630">
      <c r="Q630" s="7"/>
      <c r="AG630" s="7"/>
    </row>
    <row r="631">
      <c r="Q631" s="7"/>
      <c r="AG631" s="7"/>
    </row>
    <row r="632">
      <c r="Q632" s="7"/>
      <c r="AG632" s="7"/>
    </row>
    <row r="633">
      <c r="Q633" s="7"/>
      <c r="AG633" s="7"/>
    </row>
    <row r="634">
      <c r="Q634" s="7"/>
      <c r="AG634" s="7"/>
    </row>
    <row r="635">
      <c r="Q635" s="7"/>
      <c r="AG635" s="7"/>
    </row>
    <row r="636">
      <c r="Q636" s="7"/>
      <c r="AG636" s="7"/>
    </row>
    <row r="637">
      <c r="Q637" s="7"/>
      <c r="AG637" s="7"/>
    </row>
    <row r="638">
      <c r="Q638" s="7"/>
      <c r="AG638" s="7"/>
    </row>
    <row r="639">
      <c r="Q639" s="7"/>
      <c r="AG639" s="7"/>
    </row>
    <row r="640">
      <c r="Q640" s="7"/>
      <c r="AG640" s="7"/>
    </row>
    <row r="641">
      <c r="Q641" s="7"/>
      <c r="AG641" s="7"/>
    </row>
    <row r="642">
      <c r="Q642" s="7"/>
      <c r="AG642" s="7"/>
    </row>
    <row r="643">
      <c r="Q643" s="7"/>
      <c r="AG643" s="7"/>
    </row>
    <row r="644">
      <c r="Q644" s="7"/>
      <c r="AG644" s="7"/>
    </row>
    <row r="645">
      <c r="Q645" s="7"/>
      <c r="AG645" s="7"/>
    </row>
    <row r="646">
      <c r="Q646" s="7"/>
      <c r="AG646" s="7"/>
    </row>
    <row r="647">
      <c r="Q647" s="7"/>
      <c r="AG647" s="7"/>
    </row>
    <row r="648">
      <c r="Q648" s="7"/>
      <c r="AG648" s="7"/>
    </row>
    <row r="649">
      <c r="Q649" s="7"/>
      <c r="AG649" s="7"/>
    </row>
    <row r="650">
      <c r="Q650" s="7"/>
      <c r="AG650" s="7"/>
    </row>
    <row r="651">
      <c r="Q651" s="7"/>
      <c r="AG651" s="7"/>
    </row>
    <row r="652">
      <c r="Q652" s="7"/>
      <c r="AG652" s="7"/>
    </row>
    <row r="653">
      <c r="Q653" s="7"/>
      <c r="AG653" s="7"/>
    </row>
    <row r="654">
      <c r="Q654" s="7"/>
      <c r="AG654" s="7"/>
    </row>
    <row r="655">
      <c r="Q655" s="7"/>
      <c r="AG655" s="7"/>
    </row>
    <row r="656">
      <c r="Q656" s="7"/>
      <c r="AG656" s="7"/>
    </row>
    <row r="657">
      <c r="Q657" s="7"/>
      <c r="AG657" s="7"/>
    </row>
    <row r="658">
      <c r="Q658" s="7"/>
      <c r="AG658" s="7"/>
    </row>
    <row r="659">
      <c r="Q659" s="7"/>
      <c r="AG659" s="7"/>
    </row>
    <row r="660">
      <c r="Q660" s="7"/>
      <c r="AG660" s="7"/>
    </row>
    <row r="661">
      <c r="Q661" s="7"/>
      <c r="AG661" s="7"/>
    </row>
    <row r="662">
      <c r="Q662" s="7"/>
      <c r="AG662" s="7"/>
    </row>
    <row r="663">
      <c r="Q663" s="7"/>
      <c r="AG663" s="7"/>
    </row>
    <row r="664">
      <c r="Q664" s="7"/>
      <c r="AG664" s="7"/>
    </row>
    <row r="665">
      <c r="Q665" s="7"/>
      <c r="AG665" s="7"/>
    </row>
    <row r="666">
      <c r="Q666" s="7"/>
      <c r="AG666" s="7"/>
    </row>
    <row r="667">
      <c r="Q667" s="7"/>
      <c r="AG667" s="7"/>
    </row>
    <row r="668">
      <c r="Q668" s="7"/>
      <c r="AG668" s="7"/>
    </row>
    <row r="669">
      <c r="Q669" s="7"/>
      <c r="AG669" s="7"/>
    </row>
    <row r="670">
      <c r="Q670" s="7"/>
      <c r="AG670" s="7"/>
    </row>
    <row r="671">
      <c r="Q671" s="7"/>
      <c r="AG671" s="7"/>
    </row>
    <row r="672">
      <c r="Q672" s="7"/>
      <c r="AG672" s="7"/>
    </row>
    <row r="673">
      <c r="Q673" s="7"/>
      <c r="AG673" s="7"/>
    </row>
    <row r="674">
      <c r="Q674" s="7"/>
      <c r="AG674" s="7"/>
    </row>
    <row r="675">
      <c r="Q675" s="7"/>
      <c r="AG675" s="7"/>
    </row>
    <row r="676">
      <c r="Q676" s="7"/>
      <c r="AG676" s="7"/>
    </row>
    <row r="677">
      <c r="Q677" s="7"/>
      <c r="AG677" s="7"/>
    </row>
    <row r="678">
      <c r="Q678" s="7"/>
      <c r="AG678" s="7"/>
    </row>
    <row r="679">
      <c r="Q679" s="7"/>
      <c r="AG679" s="7"/>
    </row>
    <row r="680">
      <c r="Q680" s="7"/>
      <c r="AG680" s="7"/>
    </row>
    <row r="681">
      <c r="Q681" s="7"/>
      <c r="AG681" s="7"/>
    </row>
    <row r="682">
      <c r="Q682" s="7"/>
      <c r="AG682" s="7"/>
    </row>
    <row r="683">
      <c r="Q683" s="7"/>
      <c r="AG683" s="7"/>
    </row>
    <row r="684">
      <c r="Q684" s="7"/>
      <c r="AG684" s="7"/>
    </row>
    <row r="685">
      <c r="Q685" s="7"/>
      <c r="AG685" s="7"/>
    </row>
    <row r="686">
      <c r="Q686" s="7"/>
      <c r="AG686" s="7"/>
    </row>
    <row r="687">
      <c r="Q687" s="7"/>
      <c r="AG687" s="7"/>
    </row>
    <row r="688">
      <c r="Q688" s="7"/>
      <c r="AG688" s="7"/>
    </row>
    <row r="689">
      <c r="Q689" s="7"/>
      <c r="AG689" s="7"/>
    </row>
    <row r="690">
      <c r="Q690" s="7"/>
      <c r="AG690" s="7"/>
    </row>
    <row r="691">
      <c r="Q691" s="7"/>
      <c r="AG691" s="7"/>
    </row>
    <row r="692">
      <c r="Q692" s="7"/>
      <c r="AG692" s="7"/>
    </row>
    <row r="693">
      <c r="Q693" s="7"/>
      <c r="AG693" s="7"/>
    </row>
    <row r="694">
      <c r="Q694" s="7"/>
      <c r="AG694" s="7"/>
    </row>
    <row r="695">
      <c r="Q695" s="7"/>
      <c r="AG695" s="7"/>
    </row>
    <row r="696">
      <c r="Q696" s="7"/>
      <c r="AG696" s="7"/>
    </row>
    <row r="697">
      <c r="Q697" s="7"/>
      <c r="AG697" s="7"/>
    </row>
    <row r="698">
      <c r="Q698" s="7"/>
      <c r="AG698" s="7"/>
    </row>
    <row r="699">
      <c r="Q699" s="7"/>
      <c r="AG699" s="7"/>
    </row>
    <row r="700">
      <c r="Q700" s="7"/>
      <c r="AG700" s="7"/>
    </row>
    <row r="701">
      <c r="Q701" s="7"/>
      <c r="AG701" s="7"/>
    </row>
    <row r="702">
      <c r="Q702" s="7"/>
      <c r="AG702" s="7"/>
    </row>
    <row r="703">
      <c r="Q703" s="7"/>
      <c r="AG703" s="7"/>
    </row>
    <row r="704">
      <c r="Q704" s="7"/>
      <c r="AG704" s="7"/>
    </row>
    <row r="705">
      <c r="Q705" s="7"/>
      <c r="AG705" s="7"/>
    </row>
    <row r="706">
      <c r="Q706" s="7"/>
      <c r="AG706" s="7"/>
    </row>
    <row r="707">
      <c r="Q707" s="7"/>
      <c r="AG707" s="7"/>
    </row>
    <row r="708">
      <c r="Q708" s="7"/>
      <c r="AG708" s="7"/>
    </row>
    <row r="709">
      <c r="Q709" s="7"/>
      <c r="AG709" s="7"/>
    </row>
    <row r="710">
      <c r="Q710" s="7"/>
      <c r="AG710" s="7"/>
    </row>
    <row r="711">
      <c r="Q711" s="7"/>
      <c r="AG711" s="7"/>
    </row>
    <row r="712">
      <c r="Q712" s="7"/>
      <c r="AG712" s="7"/>
    </row>
    <row r="713">
      <c r="Q713" s="7"/>
      <c r="AG713" s="7"/>
    </row>
    <row r="714">
      <c r="Q714" s="7"/>
      <c r="AG714" s="7"/>
    </row>
    <row r="715">
      <c r="Q715" s="7"/>
      <c r="AG715" s="7"/>
    </row>
    <row r="716">
      <c r="Q716" s="7"/>
      <c r="AG716" s="7"/>
    </row>
    <row r="717">
      <c r="Q717" s="7"/>
      <c r="AG717" s="7"/>
    </row>
    <row r="718">
      <c r="Q718" s="7"/>
      <c r="AG718" s="7"/>
    </row>
    <row r="719">
      <c r="Q719" s="7"/>
      <c r="AG719" s="7"/>
    </row>
    <row r="720">
      <c r="Q720" s="7"/>
      <c r="AG720" s="7"/>
    </row>
    <row r="721">
      <c r="Q721" s="7"/>
      <c r="AG721" s="7"/>
    </row>
    <row r="722">
      <c r="Q722" s="7"/>
      <c r="AG722" s="7"/>
    </row>
    <row r="723">
      <c r="Q723" s="7"/>
      <c r="AG723" s="7"/>
    </row>
    <row r="724">
      <c r="Q724" s="7"/>
      <c r="AG724" s="7"/>
    </row>
    <row r="725">
      <c r="Q725" s="7"/>
      <c r="AG725" s="7"/>
    </row>
    <row r="726">
      <c r="Q726" s="7"/>
      <c r="AG726" s="7"/>
    </row>
    <row r="727">
      <c r="Q727" s="7"/>
      <c r="AG727" s="7"/>
    </row>
    <row r="728">
      <c r="Q728" s="7"/>
      <c r="AG728" s="7"/>
    </row>
    <row r="729">
      <c r="Q729" s="7"/>
      <c r="AG729" s="7"/>
    </row>
    <row r="730">
      <c r="Q730" s="7"/>
      <c r="AG730" s="7"/>
    </row>
    <row r="731">
      <c r="Q731" s="7"/>
      <c r="AG731" s="7"/>
    </row>
    <row r="732">
      <c r="Q732" s="7"/>
      <c r="AG732" s="7"/>
    </row>
    <row r="733">
      <c r="Q733" s="7"/>
      <c r="AG733" s="7"/>
    </row>
    <row r="734">
      <c r="Q734" s="7"/>
      <c r="AG734" s="7"/>
    </row>
    <row r="735">
      <c r="Q735" s="7"/>
      <c r="AG735" s="7"/>
    </row>
    <row r="736">
      <c r="Q736" s="7"/>
      <c r="AG736" s="7"/>
    </row>
    <row r="737">
      <c r="Q737" s="7"/>
      <c r="AG737" s="7"/>
    </row>
    <row r="738">
      <c r="Q738" s="7"/>
      <c r="AG738" s="7"/>
    </row>
    <row r="739">
      <c r="Q739" s="7"/>
      <c r="AG739" s="7"/>
    </row>
    <row r="740">
      <c r="Q740" s="7"/>
      <c r="AG740" s="7"/>
    </row>
    <row r="741">
      <c r="Q741" s="7"/>
      <c r="AG741" s="7"/>
    </row>
    <row r="742">
      <c r="Q742" s="7"/>
      <c r="AG742" s="7"/>
    </row>
    <row r="743">
      <c r="Q743" s="7"/>
      <c r="AG743" s="7"/>
    </row>
    <row r="744">
      <c r="Q744" s="7"/>
      <c r="AG744" s="7"/>
    </row>
    <row r="745">
      <c r="Q745" s="7"/>
      <c r="AG745" s="7"/>
    </row>
    <row r="746">
      <c r="Q746" s="7"/>
      <c r="AG746" s="7"/>
    </row>
    <row r="747">
      <c r="Q747" s="7"/>
      <c r="AG747" s="7"/>
    </row>
    <row r="748">
      <c r="Q748" s="7"/>
      <c r="AG748" s="7"/>
    </row>
    <row r="749">
      <c r="Q749" s="7"/>
      <c r="AG749" s="7"/>
    </row>
    <row r="750">
      <c r="Q750" s="7"/>
      <c r="AG750" s="7"/>
    </row>
    <row r="751">
      <c r="Q751" s="7"/>
      <c r="AG751" s="7"/>
    </row>
    <row r="752">
      <c r="Q752" s="7"/>
      <c r="AG752" s="7"/>
    </row>
    <row r="753">
      <c r="Q753" s="7"/>
      <c r="AG753" s="7"/>
    </row>
    <row r="754">
      <c r="Q754" s="7"/>
      <c r="AG754" s="7"/>
    </row>
    <row r="755">
      <c r="Q755" s="7"/>
      <c r="AG755" s="7"/>
    </row>
    <row r="756">
      <c r="Q756" s="7"/>
      <c r="AG756" s="7"/>
    </row>
    <row r="757">
      <c r="Q757" s="7"/>
      <c r="AG757" s="7"/>
    </row>
    <row r="758">
      <c r="Q758" s="7"/>
      <c r="AG758" s="7"/>
    </row>
    <row r="759">
      <c r="Q759" s="7"/>
      <c r="AG759" s="7"/>
    </row>
    <row r="760">
      <c r="Q760" s="7"/>
      <c r="AG760" s="7"/>
    </row>
    <row r="761">
      <c r="Q761" s="7"/>
      <c r="AG761" s="7"/>
    </row>
    <row r="762">
      <c r="Q762" s="7"/>
      <c r="AG762" s="7"/>
    </row>
    <row r="763">
      <c r="Q763" s="7"/>
      <c r="AG763" s="7"/>
    </row>
    <row r="764">
      <c r="Q764" s="7"/>
      <c r="AG764" s="7"/>
    </row>
    <row r="765">
      <c r="Q765" s="7"/>
      <c r="AG765" s="7"/>
    </row>
    <row r="766">
      <c r="Q766" s="7"/>
      <c r="AG766" s="7"/>
    </row>
    <row r="767">
      <c r="Q767" s="7"/>
      <c r="AG767" s="7"/>
    </row>
    <row r="768">
      <c r="Q768" s="7"/>
      <c r="AG768" s="7"/>
    </row>
    <row r="769">
      <c r="Q769" s="7"/>
      <c r="AG769" s="7"/>
    </row>
    <row r="770">
      <c r="Q770" s="7"/>
      <c r="AG770" s="7"/>
    </row>
    <row r="771">
      <c r="Q771" s="7"/>
      <c r="AG771" s="7"/>
    </row>
    <row r="772">
      <c r="Q772" s="7"/>
      <c r="AG772" s="7"/>
    </row>
    <row r="773">
      <c r="Q773" s="7"/>
      <c r="AG773" s="7"/>
    </row>
    <row r="774">
      <c r="Q774" s="7"/>
      <c r="AG774" s="7"/>
    </row>
    <row r="775">
      <c r="Q775" s="7"/>
      <c r="AG775" s="7"/>
    </row>
    <row r="776">
      <c r="Q776" s="7"/>
      <c r="AG776" s="7"/>
    </row>
    <row r="777">
      <c r="Q777" s="7"/>
      <c r="AG777" s="7"/>
    </row>
    <row r="778">
      <c r="Q778" s="7"/>
      <c r="AG778" s="7"/>
    </row>
    <row r="779">
      <c r="Q779" s="7"/>
      <c r="AG779" s="7"/>
    </row>
    <row r="780">
      <c r="Q780" s="7"/>
      <c r="AG780" s="7"/>
    </row>
    <row r="781">
      <c r="Q781" s="7"/>
      <c r="AG781" s="7"/>
    </row>
    <row r="782">
      <c r="Q782" s="7"/>
      <c r="AG782" s="7"/>
    </row>
    <row r="783">
      <c r="Q783" s="7"/>
      <c r="AG783" s="7"/>
    </row>
    <row r="784">
      <c r="Q784" s="7"/>
      <c r="AG784" s="7"/>
    </row>
    <row r="785">
      <c r="Q785" s="7"/>
      <c r="AG785" s="7"/>
    </row>
    <row r="786">
      <c r="Q786" s="7"/>
      <c r="AG786" s="7"/>
    </row>
    <row r="787">
      <c r="Q787" s="7"/>
      <c r="AG787" s="7"/>
    </row>
    <row r="788">
      <c r="Q788" s="7"/>
      <c r="AG788" s="7"/>
    </row>
    <row r="789">
      <c r="Q789" s="7"/>
      <c r="AG789" s="7"/>
    </row>
    <row r="790">
      <c r="Q790" s="7"/>
      <c r="AG790" s="7"/>
    </row>
    <row r="791">
      <c r="Q791" s="7"/>
      <c r="AG791" s="7"/>
    </row>
    <row r="792">
      <c r="Q792" s="7"/>
      <c r="AG792" s="7"/>
    </row>
    <row r="793">
      <c r="Q793" s="7"/>
      <c r="AG793" s="7"/>
    </row>
    <row r="794">
      <c r="Q794" s="7"/>
      <c r="AG794" s="7"/>
    </row>
    <row r="795">
      <c r="Q795" s="7"/>
      <c r="AG795" s="7"/>
    </row>
    <row r="796">
      <c r="Q796" s="7"/>
      <c r="AG796" s="7"/>
    </row>
    <row r="797">
      <c r="Q797" s="7"/>
      <c r="AG797" s="7"/>
    </row>
    <row r="798">
      <c r="Q798" s="7"/>
      <c r="AG798" s="7"/>
    </row>
    <row r="799">
      <c r="Q799" s="7"/>
      <c r="AG799" s="7"/>
    </row>
    <row r="800">
      <c r="Q800" s="7"/>
      <c r="AG800" s="7"/>
    </row>
    <row r="801">
      <c r="Q801" s="7"/>
      <c r="AG801" s="7"/>
    </row>
    <row r="802">
      <c r="Q802" s="7"/>
      <c r="AG802" s="7"/>
    </row>
    <row r="803">
      <c r="Q803" s="7"/>
      <c r="AG803" s="7"/>
    </row>
    <row r="804">
      <c r="Q804" s="7"/>
      <c r="AG804" s="7"/>
    </row>
    <row r="805">
      <c r="Q805" s="7"/>
      <c r="AG805" s="7"/>
    </row>
    <row r="806">
      <c r="Q806" s="7"/>
      <c r="AG806" s="7"/>
    </row>
    <row r="807">
      <c r="Q807" s="7"/>
      <c r="AG807" s="7"/>
    </row>
    <row r="808">
      <c r="Q808" s="7"/>
      <c r="AG808" s="7"/>
    </row>
    <row r="809">
      <c r="Q809" s="7"/>
      <c r="AG809" s="7"/>
    </row>
    <row r="810">
      <c r="Q810" s="7"/>
      <c r="AG810" s="7"/>
    </row>
    <row r="811">
      <c r="Q811" s="7"/>
      <c r="AG811" s="7"/>
    </row>
    <row r="812">
      <c r="Q812" s="7"/>
      <c r="AG812" s="7"/>
    </row>
    <row r="813">
      <c r="Q813" s="7"/>
      <c r="AG813" s="7"/>
    </row>
    <row r="814">
      <c r="Q814" s="7"/>
      <c r="AG814" s="7"/>
    </row>
    <row r="815">
      <c r="Q815" s="7"/>
      <c r="AG815" s="7"/>
    </row>
    <row r="816">
      <c r="Q816" s="7"/>
      <c r="AG816" s="7"/>
    </row>
    <row r="817">
      <c r="Q817" s="7"/>
      <c r="AG817" s="7"/>
    </row>
    <row r="818">
      <c r="Q818" s="7"/>
      <c r="AG818" s="7"/>
    </row>
    <row r="819">
      <c r="Q819" s="7"/>
      <c r="AG819" s="7"/>
    </row>
    <row r="820">
      <c r="Q820" s="7"/>
      <c r="AG820" s="7"/>
    </row>
    <row r="821">
      <c r="Q821" s="7"/>
      <c r="AG821" s="7"/>
    </row>
    <row r="822">
      <c r="Q822" s="7"/>
      <c r="AG822" s="7"/>
    </row>
    <row r="823">
      <c r="Q823" s="7"/>
      <c r="AG823" s="7"/>
    </row>
    <row r="824">
      <c r="Q824" s="7"/>
      <c r="AG824" s="7"/>
    </row>
    <row r="825">
      <c r="Q825" s="7"/>
      <c r="AG825" s="7"/>
    </row>
    <row r="826">
      <c r="Q826" s="7"/>
      <c r="AG826" s="7"/>
    </row>
    <row r="827">
      <c r="Q827" s="7"/>
      <c r="AG827" s="7"/>
    </row>
    <row r="828">
      <c r="Q828" s="7"/>
      <c r="AG828" s="7"/>
    </row>
    <row r="829">
      <c r="Q829" s="7"/>
      <c r="AG829" s="7"/>
    </row>
    <row r="830">
      <c r="Q830" s="7"/>
      <c r="AG830" s="7"/>
    </row>
    <row r="831">
      <c r="Q831" s="7"/>
      <c r="AG831" s="7"/>
    </row>
    <row r="832">
      <c r="Q832" s="7"/>
      <c r="AG832" s="7"/>
    </row>
    <row r="833">
      <c r="Q833" s="7"/>
      <c r="AG833" s="7"/>
    </row>
    <row r="834">
      <c r="Q834" s="7"/>
      <c r="AG834" s="7"/>
    </row>
    <row r="835">
      <c r="Q835" s="7"/>
      <c r="AG835" s="7"/>
    </row>
    <row r="836">
      <c r="Q836" s="7"/>
      <c r="AG836" s="7"/>
    </row>
    <row r="837">
      <c r="Q837" s="7"/>
      <c r="AG837" s="7"/>
    </row>
    <row r="838">
      <c r="Q838" s="7"/>
      <c r="AG838" s="7"/>
    </row>
    <row r="839">
      <c r="Q839" s="7"/>
      <c r="AG839" s="7"/>
    </row>
    <row r="840">
      <c r="Q840" s="7"/>
      <c r="AG840" s="7"/>
    </row>
    <row r="841">
      <c r="Q841" s="7"/>
      <c r="AG841" s="7"/>
    </row>
    <row r="842">
      <c r="Q842" s="7"/>
      <c r="AG842" s="7"/>
    </row>
    <row r="843">
      <c r="Q843" s="7"/>
      <c r="AG843" s="7"/>
    </row>
    <row r="844">
      <c r="Q844" s="7"/>
      <c r="AG844" s="7"/>
    </row>
    <row r="845">
      <c r="Q845" s="7"/>
      <c r="AG845" s="7"/>
    </row>
    <row r="846">
      <c r="Q846" s="7"/>
      <c r="AG846" s="7"/>
    </row>
    <row r="847">
      <c r="Q847" s="7"/>
      <c r="AG847" s="7"/>
    </row>
    <row r="848">
      <c r="Q848" s="7"/>
      <c r="AG848" s="7"/>
    </row>
    <row r="849">
      <c r="Q849" s="7"/>
      <c r="AG849" s="7"/>
    </row>
    <row r="850">
      <c r="Q850" s="7"/>
      <c r="AG850" s="7"/>
    </row>
    <row r="851">
      <c r="Q851" s="7"/>
      <c r="AG851" s="7"/>
    </row>
    <row r="852">
      <c r="Q852" s="7"/>
      <c r="AG852" s="7"/>
    </row>
    <row r="853">
      <c r="Q853" s="7"/>
      <c r="AG853" s="7"/>
    </row>
    <row r="854">
      <c r="Q854" s="7"/>
      <c r="AG854" s="7"/>
    </row>
    <row r="855">
      <c r="Q855" s="7"/>
      <c r="AG855" s="7"/>
    </row>
    <row r="856">
      <c r="Q856" s="7"/>
      <c r="AG856" s="7"/>
    </row>
    <row r="857">
      <c r="Q857" s="7"/>
      <c r="AG857" s="7"/>
    </row>
    <row r="858">
      <c r="Q858" s="7"/>
      <c r="AG858" s="7"/>
    </row>
    <row r="859">
      <c r="Q859" s="7"/>
      <c r="AG859" s="7"/>
    </row>
    <row r="860">
      <c r="Q860" s="7"/>
      <c r="AG860" s="7"/>
    </row>
    <row r="861">
      <c r="Q861" s="7"/>
      <c r="AG861" s="7"/>
    </row>
    <row r="862">
      <c r="Q862" s="7"/>
      <c r="AG862" s="7"/>
    </row>
    <row r="863">
      <c r="Q863" s="7"/>
      <c r="AG863" s="7"/>
    </row>
    <row r="864">
      <c r="Q864" s="7"/>
      <c r="AG864" s="7"/>
    </row>
    <row r="865">
      <c r="Q865" s="7"/>
      <c r="AG865" s="7"/>
    </row>
    <row r="866">
      <c r="Q866" s="7"/>
      <c r="AG866" s="7"/>
    </row>
    <row r="867">
      <c r="Q867" s="7"/>
      <c r="AG867" s="7"/>
    </row>
    <row r="868">
      <c r="Q868" s="7"/>
      <c r="AG868" s="7"/>
    </row>
    <row r="869">
      <c r="Q869" s="7"/>
      <c r="AG869" s="7"/>
    </row>
    <row r="870">
      <c r="Q870" s="7"/>
      <c r="AG870" s="7"/>
    </row>
    <row r="871">
      <c r="Q871" s="7"/>
      <c r="AG871" s="7"/>
    </row>
    <row r="872">
      <c r="Q872" s="7"/>
      <c r="AG872" s="7"/>
    </row>
    <row r="873">
      <c r="Q873" s="7"/>
      <c r="AG873" s="7"/>
    </row>
    <row r="874">
      <c r="Q874" s="7"/>
      <c r="AG874" s="7"/>
    </row>
    <row r="875">
      <c r="Q875" s="7"/>
      <c r="AG875" s="7"/>
    </row>
    <row r="876">
      <c r="Q876" s="7"/>
      <c r="AG876" s="7"/>
    </row>
    <row r="877">
      <c r="Q877" s="7"/>
      <c r="AG877" s="7"/>
    </row>
    <row r="878">
      <c r="Q878" s="7"/>
      <c r="AG878" s="7"/>
    </row>
    <row r="879">
      <c r="Q879" s="7"/>
      <c r="AG879" s="7"/>
    </row>
    <row r="880">
      <c r="Q880" s="7"/>
      <c r="AG880" s="7"/>
    </row>
    <row r="881">
      <c r="Q881" s="7"/>
      <c r="AG881" s="7"/>
    </row>
    <row r="882">
      <c r="Q882" s="7"/>
      <c r="AG882" s="7"/>
    </row>
    <row r="883">
      <c r="Q883" s="7"/>
      <c r="AG883" s="7"/>
    </row>
    <row r="884">
      <c r="Q884" s="7"/>
      <c r="AG884" s="7"/>
    </row>
    <row r="885">
      <c r="Q885" s="7"/>
      <c r="AG885" s="7"/>
    </row>
    <row r="886">
      <c r="Q886" s="7"/>
      <c r="AG886" s="7"/>
    </row>
    <row r="887">
      <c r="Q887" s="7"/>
      <c r="AG887" s="7"/>
    </row>
    <row r="888">
      <c r="Q888" s="7"/>
      <c r="AG888" s="7"/>
    </row>
    <row r="889">
      <c r="Q889" s="7"/>
      <c r="AG889" s="7"/>
    </row>
    <row r="890">
      <c r="Q890" s="7"/>
      <c r="AG890" s="7"/>
    </row>
    <row r="891">
      <c r="Q891" s="7"/>
      <c r="AG891" s="7"/>
    </row>
    <row r="892">
      <c r="Q892" s="7"/>
      <c r="AG892" s="7"/>
    </row>
    <row r="893">
      <c r="Q893" s="7"/>
      <c r="AG893" s="7"/>
    </row>
    <row r="894">
      <c r="Q894" s="7"/>
      <c r="AG894" s="7"/>
    </row>
    <row r="895">
      <c r="Q895" s="7"/>
      <c r="AG895" s="7"/>
    </row>
    <row r="896">
      <c r="Q896" s="7"/>
      <c r="AG896" s="7"/>
    </row>
    <row r="897">
      <c r="Q897" s="7"/>
      <c r="AG897" s="7"/>
    </row>
    <row r="898">
      <c r="Q898" s="7"/>
      <c r="AG898" s="7"/>
    </row>
    <row r="899">
      <c r="Q899" s="7"/>
      <c r="AG899" s="7"/>
    </row>
    <row r="900">
      <c r="Q900" s="7"/>
      <c r="AG900" s="7"/>
    </row>
    <row r="901">
      <c r="Q901" s="7"/>
      <c r="AG901" s="7"/>
    </row>
    <row r="902">
      <c r="Q902" s="7"/>
      <c r="AG902" s="7"/>
    </row>
    <row r="903">
      <c r="Q903" s="7"/>
      <c r="AG903" s="7"/>
    </row>
    <row r="904">
      <c r="Q904" s="7"/>
      <c r="AG904" s="7"/>
    </row>
    <row r="905">
      <c r="Q905" s="7"/>
      <c r="AG905" s="7"/>
    </row>
    <row r="906">
      <c r="Q906" s="7"/>
      <c r="AG906" s="7"/>
    </row>
    <row r="907">
      <c r="Q907" s="7"/>
      <c r="AG907" s="7"/>
    </row>
    <row r="908">
      <c r="Q908" s="7"/>
      <c r="AG908" s="7"/>
    </row>
    <row r="909">
      <c r="Q909" s="7"/>
      <c r="AG909" s="7"/>
    </row>
    <row r="910">
      <c r="Q910" s="7"/>
      <c r="AG910" s="7"/>
    </row>
    <row r="911">
      <c r="Q911" s="7"/>
      <c r="AG911" s="7"/>
    </row>
    <row r="912">
      <c r="Q912" s="7"/>
      <c r="AG912" s="7"/>
    </row>
    <row r="913">
      <c r="Q913" s="7"/>
      <c r="AG913" s="7"/>
    </row>
    <row r="914">
      <c r="Q914" s="7"/>
      <c r="AG914" s="7"/>
    </row>
    <row r="915">
      <c r="Q915" s="7"/>
      <c r="AG915" s="7"/>
    </row>
    <row r="916">
      <c r="Q916" s="7"/>
      <c r="AG916" s="7"/>
    </row>
    <row r="917">
      <c r="Q917" s="7"/>
      <c r="AG917" s="7"/>
    </row>
    <row r="918">
      <c r="Q918" s="7"/>
      <c r="AG918" s="7"/>
    </row>
    <row r="919">
      <c r="Q919" s="7"/>
      <c r="AG919" s="7"/>
    </row>
    <row r="920">
      <c r="Q920" s="7"/>
      <c r="AG920" s="7"/>
    </row>
    <row r="921">
      <c r="Q921" s="7"/>
      <c r="AG921" s="7"/>
    </row>
    <row r="922">
      <c r="Q922" s="7"/>
      <c r="AG922" s="7"/>
    </row>
    <row r="923">
      <c r="Q923" s="7"/>
      <c r="AG923" s="7"/>
    </row>
    <row r="924">
      <c r="Q924" s="7"/>
      <c r="AG924" s="7"/>
    </row>
    <row r="925">
      <c r="Q925" s="7"/>
      <c r="AG925" s="7"/>
    </row>
    <row r="926">
      <c r="Q926" s="7"/>
      <c r="AG926" s="7"/>
    </row>
    <row r="927">
      <c r="Q927" s="7"/>
      <c r="AG927" s="7"/>
    </row>
    <row r="928">
      <c r="Q928" s="7"/>
      <c r="AG928" s="7"/>
    </row>
    <row r="929">
      <c r="Q929" s="7"/>
      <c r="AG929" s="7"/>
    </row>
    <row r="930">
      <c r="Q930" s="7"/>
      <c r="AG930" s="7"/>
    </row>
    <row r="931">
      <c r="Q931" s="7"/>
      <c r="AG931" s="7"/>
    </row>
    <row r="932">
      <c r="Q932" s="7"/>
      <c r="AG932" s="7"/>
    </row>
    <row r="933">
      <c r="Q933" s="7"/>
      <c r="AG933" s="7"/>
    </row>
    <row r="934">
      <c r="Q934" s="7"/>
      <c r="AG934" s="7"/>
    </row>
    <row r="935">
      <c r="Q935" s="7"/>
      <c r="AG935" s="7"/>
    </row>
    <row r="936">
      <c r="Q936" s="7"/>
      <c r="AG936" s="7"/>
    </row>
    <row r="937">
      <c r="Q937" s="7"/>
      <c r="AG937" s="7"/>
    </row>
    <row r="938">
      <c r="Q938" s="7"/>
      <c r="AG938" s="7"/>
    </row>
    <row r="939">
      <c r="Q939" s="7"/>
      <c r="AG939" s="7"/>
    </row>
    <row r="940">
      <c r="Q940" s="7"/>
      <c r="AG940" s="7"/>
    </row>
    <row r="941">
      <c r="Q941" s="7"/>
      <c r="AG941" s="7"/>
    </row>
    <row r="942">
      <c r="Q942" s="7"/>
      <c r="AG942" s="7"/>
    </row>
    <row r="943">
      <c r="Q943" s="7"/>
      <c r="AG943" s="7"/>
    </row>
    <row r="944">
      <c r="Q944" s="7"/>
      <c r="AG944" s="7"/>
    </row>
    <row r="945">
      <c r="Q945" s="7"/>
      <c r="AG945" s="7"/>
    </row>
    <row r="946">
      <c r="Q946" s="7"/>
      <c r="AG946" s="7"/>
    </row>
    <row r="947">
      <c r="Q947" s="7"/>
      <c r="AG947" s="7"/>
    </row>
    <row r="948">
      <c r="Q948" s="7"/>
      <c r="AG948" s="7"/>
    </row>
    <row r="949">
      <c r="Q949" s="7"/>
      <c r="AG949" s="7"/>
    </row>
    <row r="950">
      <c r="Q950" s="7"/>
      <c r="AG950" s="7"/>
    </row>
    <row r="951">
      <c r="Q951" s="7"/>
      <c r="AG951" s="7"/>
    </row>
    <row r="952">
      <c r="Q952" s="7"/>
      <c r="AG952" s="7"/>
    </row>
    <row r="953">
      <c r="Q953" s="7"/>
      <c r="AG953" s="7"/>
    </row>
    <row r="954">
      <c r="Q954" s="7"/>
      <c r="AG954" s="7"/>
    </row>
    <row r="955">
      <c r="Q955" s="7"/>
      <c r="AG955" s="7"/>
    </row>
    <row r="956">
      <c r="Q956" s="7"/>
      <c r="AG956" s="7"/>
    </row>
    <row r="957">
      <c r="Q957" s="7"/>
      <c r="AG957" s="7"/>
    </row>
    <row r="958">
      <c r="Q958" s="7"/>
      <c r="AG958" s="7"/>
    </row>
    <row r="959">
      <c r="Q959" s="7"/>
      <c r="AG959" s="7"/>
    </row>
    <row r="960">
      <c r="Q960" s="7"/>
      <c r="AG960" s="7"/>
    </row>
    <row r="961">
      <c r="Q961" s="7"/>
      <c r="AG961" s="7"/>
    </row>
    <row r="962">
      <c r="Q962" s="7"/>
      <c r="AG962" s="7"/>
    </row>
    <row r="963">
      <c r="Q963" s="7"/>
      <c r="AG963" s="7"/>
    </row>
    <row r="964">
      <c r="Q964" s="7"/>
      <c r="AG964" s="7"/>
    </row>
    <row r="965">
      <c r="Q965" s="7"/>
      <c r="AG965" s="7"/>
    </row>
    <row r="966">
      <c r="Q966" s="7"/>
      <c r="AG966" s="7"/>
    </row>
    <row r="967">
      <c r="Q967" s="7"/>
      <c r="AG967" s="7"/>
    </row>
    <row r="968">
      <c r="Q968" s="7"/>
      <c r="AG968" s="7"/>
    </row>
    <row r="969">
      <c r="Q969" s="7"/>
      <c r="AG969" s="7"/>
    </row>
    <row r="970">
      <c r="Q970" s="7"/>
      <c r="AG970" s="7"/>
    </row>
    <row r="971">
      <c r="Q971" s="7"/>
      <c r="AG971" s="7"/>
    </row>
    <row r="972">
      <c r="Q972" s="7"/>
      <c r="AG972" s="7"/>
    </row>
    <row r="973">
      <c r="Q973" s="7"/>
      <c r="AG973" s="7"/>
    </row>
    <row r="974">
      <c r="Q974" s="7"/>
      <c r="AG974" s="7"/>
    </row>
    <row r="975">
      <c r="Q975" s="7"/>
      <c r="AG975" s="7"/>
    </row>
    <row r="976">
      <c r="Q976" s="7"/>
      <c r="AG976" s="7"/>
    </row>
    <row r="977">
      <c r="Q977" s="7"/>
      <c r="AG977" s="7"/>
    </row>
    <row r="978">
      <c r="Q978" s="7"/>
      <c r="AG978" s="7"/>
    </row>
    <row r="979">
      <c r="Q979" s="7"/>
      <c r="AG979" s="7"/>
    </row>
    <row r="980">
      <c r="Q980" s="7"/>
      <c r="AG980" s="7"/>
    </row>
    <row r="981">
      <c r="Q981" s="7"/>
      <c r="AG981" s="7"/>
    </row>
    <row r="982">
      <c r="Q982" s="7"/>
      <c r="AG982" s="7"/>
    </row>
    <row r="983">
      <c r="Q983" s="7"/>
      <c r="AG983" s="7"/>
    </row>
    <row r="984">
      <c r="Q984" s="7"/>
      <c r="AG984" s="7"/>
    </row>
    <row r="985">
      <c r="Q985" s="7"/>
      <c r="AG985" s="7"/>
    </row>
    <row r="986">
      <c r="Q986" s="7"/>
      <c r="AG986" s="7"/>
    </row>
    <row r="987">
      <c r="Q987" s="7"/>
      <c r="AG987" s="7"/>
    </row>
    <row r="988">
      <c r="Q988" s="7"/>
      <c r="AG988" s="7"/>
    </row>
    <row r="989">
      <c r="Q989" s="7"/>
      <c r="AG989" s="7"/>
    </row>
    <row r="990">
      <c r="Q990" s="7"/>
      <c r="AG990" s="7"/>
    </row>
    <row r="991">
      <c r="Q991" s="7"/>
      <c r="AG991" s="7"/>
    </row>
    <row r="992">
      <c r="Q992" s="7"/>
      <c r="AG992" s="7"/>
    </row>
    <row r="993">
      <c r="Q993" s="7"/>
      <c r="AG993" s="7"/>
    </row>
    <row r="994">
      <c r="Q994" s="7"/>
      <c r="AG994" s="7"/>
    </row>
    <row r="995">
      <c r="Q995" s="7"/>
      <c r="AG995" s="7"/>
    </row>
    <row r="996">
      <c r="Q996" s="7"/>
      <c r="AG996" s="7"/>
    </row>
    <row r="997">
      <c r="Q997" s="7"/>
      <c r="AG997" s="7"/>
    </row>
    <row r="998">
      <c r="Q998" s="7"/>
      <c r="AG998" s="7"/>
    </row>
    <row r="999">
      <c r="Q999" s="7"/>
      <c r="AG999" s="7"/>
    </row>
    <row r="1000">
      <c r="Q1000" s="7"/>
      <c r="AG1000" s="7"/>
    </row>
    <row r="1001">
      <c r="Q1001" s="7"/>
      <c r="AG1001" s="7"/>
    </row>
    <row r="1002">
      <c r="Q1002" s="7"/>
      <c r="AG1002" s="7"/>
    </row>
  </sheetData>
  <conditionalFormatting sqref="B4:B136">
    <cfRule type="cellIs" dxfId="1" priority="1" operator="equal">
      <formula>"Pago"</formula>
    </cfRule>
  </conditionalFormatting>
  <conditionalFormatting sqref="H1 G4:G191">
    <cfRule type="cellIs" dxfId="1" priority="2" operator="equal">
      <formula>"Si"</formula>
    </cfRule>
  </conditionalFormatting>
  <conditionalFormatting sqref="C4:C172">
    <cfRule type="cellIs" dxfId="1" priority="3" operator="equal">
      <formula>"Ok"</formula>
    </cfRule>
  </conditionalFormatting>
  <conditionalFormatting sqref="D4:D208">
    <cfRule type="cellIs" dxfId="1" priority="4" operator="equal">
      <formula>"Si"</formula>
    </cfRule>
  </conditionalFormatting>
  <conditionalFormatting sqref="E4:E293">
    <cfRule type="cellIs" dxfId="1" priority="5" operator="equal">
      <formula>"Si"</formula>
    </cfRule>
  </conditionalFormatting>
  <conditionalFormatting sqref="AB4:AD1002">
    <cfRule type="cellIs" dxfId="3" priority="6" operator="equal">
      <formula>"Terminado"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2" max="2" width="17.0"/>
    <col customWidth="1" min="4" max="4" width="14.5"/>
    <col customWidth="1" min="5" max="5" width="11.38"/>
    <col customWidth="1" min="6" max="6" width="14.38"/>
    <col customWidth="1" hidden="1" min="7" max="7" width="16.25"/>
    <col customWidth="1" hidden="1" min="8" max="8" width="5.5"/>
    <col customWidth="1" hidden="1" min="9" max="9" width="6.0"/>
    <col hidden="1" min="10" max="11" width="12.63"/>
    <col customWidth="1" min="12" max="12" width="8.5"/>
    <col customWidth="1" min="13" max="13" width="10.5"/>
    <col customWidth="1" min="14" max="14" width="8.63"/>
    <col customWidth="1" hidden="1" min="15" max="15" width="4.5"/>
    <col customWidth="1" min="16" max="16" width="4.75"/>
    <col customWidth="1" min="17" max="17" width="5.63"/>
    <col customWidth="1" min="18" max="18" width="14.38"/>
    <col customWidth="1" min="19" max="19" width="20.5"/>
    <col customWidth="1" hidden="1" min="20" max="25" width="9.75"/>
    <col customWidth="1" min="26" max="26" width="6.5"/>
    <col customWidth="1" hidden="1" min="27" max="27" width="10.75"/>
    <col customWidth="1" min="28" max="28" width="9.63"/>
    <col customWidth="1" hidden="1" min="29" max="29" width="13.63"/>
    <col customWidth="1" hidden="1" min="30" max="30" width="10.63"/>
    <col hidden="1" min="31" max="31" width="12.63"/>
    <col customWidth="1" min="32" max="32" width="11.1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43</v>
      </c>
      <c r="C2" s="3"/>
      <c r="D2" s="65"/>
      <c r="E2" s="3"/>
      <c r="F2" s="3" t="str">
        <f>"Inscriptos: "&amp;COUNTA(C4:C100)</f>
        <v>Inscriptos: 23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>
        <v>420.0</v>
      </c>
      <c r="B3" s="86" t="str">
        <f>IFERROR(__xludf.DUMMYFUNCTION("query(Titulos)"),"Dia y Hora")</f>
        <v>Dia y Hora</v>
      </c>
      <c r="C3" s="86" t="str">
        <f>IFERROR(__xludf.DUMMYFUNCTION("""COMPUTED_VALUE"""),"Nombre")</f>
        <v>Nombre</v>
      </c>
      <c r="D3" s="86" t="str">
        <f>IFERROR(__xludf.DUMMYFUNCTION("""COMPUTED_VALUE"""),"Apellido")</f>
        <v>Apellido</v>
      </c>
      <c r="E3" s="86" t="str">
        <f>IFERROR(__xludf.DUMMYFUNCTION("""COMPUTED_VALUE"""),"Ciudad")</f>
        <v>Ciudad</v>
      </c>
      <c r="F3" s="86" t="str">
        <f>IFERROR(__xludf.DUMMYFUNCTION("""COMPUTED_VALUE"""),"Pais")</f>
        <v>Pais</v>
      </c>
      <c r="G3" s="86" t="str">
        <f>IFERROR(__xludf.DUMMYFUNCTION("""COMPUTED_VALUE"""),"DNI")</f>
        <v>DNI</v>
      </c>
      <c r="H3" s="86" t="str">
        <f>IFERROR(__xludf.DUMMYFUNCTION("""COMPUTED_VALUE"""),"Nacimiento")</f>
        <v>Nacimiento</v>
      </c>
      <c r="I3" s="86" t="str">
        <f>IFERROR(__xludf.DUMMYFUNCTION("""COMPUTED_VALUE"""),"Celular de Contacto")</f>
        <v>Celular de Contacto</v>
      </c>
      <c r="J3" s="86" t="str">
        <f>IFERROR(__xludf.DUMMYFUNCTION("""COMPUTED_VALUE"""),"Celular de Emergencias")</f>
        <v>Celular de Emergencias</v>
      </c>
      <c r="K3" s="86" t="str">
        <f>IFERROR(__xludf.DUMMYFUNCTION("""COMPUTED_VALUE"""),"email")</f>
        <v>email</v>
      </c>
      <c r="L3" s="86" t="str">
        <f>IFERROR(__xludf.DUMMYFUNCTION("""COMPUTED_VALUE"""),"Sexo")</f>
        <v>Sexo</v>
      </c>
      <c r="M3" s="86" t="str">
        <f>IFERROR(__xludf.DUMMYFUNCTION("""COMPUTED_VALUE"""),"Club")</f>
        <v>Club</v>
      </c>
      <c r="N3" s="86" t="str">
        <f>IFERROR(__xludf.DUMMYFUNCTION("""COMPUTED_VALUE"""),"Categoría")</f>
        <v>Categoría</v>
      </c>
      <c r="O3" s="86" t="str">
        <f>IFERROR(__xludf.DUMMYFUNCTION("""COMPUTED_VALUE"""),"Clase")</f>
        <v>Clase</v>
      </c>
      <c r="P3" s="86" t="str">
        <f>IFERROR(__xludf.DUMMYFUNCTION("""COMPUTED_VALUE"""),"Proa Nº")</f>
        <v>Proa Nº</v>
      </c>
      <c r="Q3" s="86" t="str">
        <f>IFERROR(__xludf.DUMMYFUNCTION("""COMPUTED_VALUE"""),"Vela")</f>
        <v>Vela</v>
      </c>
      <c r="R3" s="86" t="str">
        <f>IFERROR(__xludf.DUMMYFUNCTION("""COMPUTED_VALUE"""),"Nombre del Barco")</f>
        <v>Nombre del Barco</v>
      </c>
      <c r="S3" s="86" t="str">
        <f>IFERROR(__xludf.DUMMYFUNCTION("""COMPUTED_VALUE"""),"Tripulante 1")</f>
        <v>Tripulante 1</v>
      </c>
      <c r="T3" s="86" t="str">
        <f>IFERROR(__xludf.DUMMYFUNCTION("""COMPUTED_VALUE"""),"Tripulante 2")</f>
        <v>Tripulante 2</v>
      </c>
      <c r="U3" s="86" t="str">
        <f>IFERROR(__xludf.DUMMYFUNCTION("""COMPUTED_VALUE"""),"Tripulante 3")</f>
        <v>Tripulante 3</v>
      </c>
      <c r="V3" s="86" t="str">
        <f>IFERROR(__xludf.DUMMYFUNCTION("""COMPUTED_VALUE"""),"Tripulante 4")</f>
        <v>Tripulante 4</v>
      </c>
      <c r="W3" s="86" t="str">
        <f>IFERROR(__xludf.DUMMYFUNCTION("""COMPUTED_VALUE"""),"Tripulante 5")</f>
        <v>Tripulante 5</v>
      </c>
      <c r="X3" s="86" t="str">
        <f>IFERROR(__xludf.DUMMYFUNCTION("""COMPUTED_VALUE"""),"Tripulante 6")</f>
        <v>Tripulante 6</v>
      </c>
      <c r="Y3" s="86" t="str">
        <f>IFERROR(__xludf.DUMMYFUNCTION("""COMPUTED_VALUE"""),"Obra Social/Nº Afiliado")</f>
        <v>Obra Social/Nº Afiliado</v>
      </c>
      <c r="Z3" s="86" t="str">
        <f>IFERROR(__xludf.DUMMYFUNCTION("""COMPUTED_VALUE"""),"Bajada YCO")</f>
        <v>Bajada YCO</v>
      </c>
      <c r="AA3" s="86" t="str">
        <f>IFERROR(__xludf.DUMMYFUNCTION("""COMPUTED_VALUE"""),"Términos y Condiciones")</f>
        <v>Términos y Condiciones</v>
      </c>
      <c r="AB3" s="86" t="str">
        <f>IFERROR(__xludf.DUMMYFUNCTION("""COMPUTED_VALUE"""),"Pago")</f>
        <v>Pago</v>
      </c>
      <c r="AC3" s="86" t="str">
        <f>IFERROR(__xludf.DUMMYFUNCTION("""COMPUTED_VALUE"""),"Importe")</f>
        <v>Importe</v>
      </c>
      <c r="AD3" s="86" t="str">
        <f>IFERROR(__xludf.DUMMYFUNCTION("""COMPUTED_VALUE"""),"RECIBO")</f>
        <v>RECIBO</v>
      </c>
      <c r="AE3" s="87"/>
      <c r="AF3" s="88" t="s">
        <v>39</v>
      </c>
      <c r="AG3" s="89" t="s">
        <v>44</v>
      </c>
    </row>
    <row r="4" hidden="1">
      <c r="B4" s="90">
        <f>IFERROR(__xludf.DUMMYFUNCTION("filter(Datos,Clases=A3)"),45539.73666873843)</f>
        <v>45539.73667</v>
      </c>
      <c r="C4" s="91" t="str">
        <f>IFERROR(__xludf.DUMMYFUNCTION("""COMPUTED_VALUE"""),"NOMBRE")</f>
        <v>NOMBRE</v>
      </c>
      <c r="D4" s="91" t="str">
        <f>IFERROR(__xludf.DUMMYFUNCTION("""COMPUTED_VALUE"""),"APELLIDO")</f>
        <v>APELLIDO</v>
      </c>
      <c r="E4" s="91" t="str">
        <f>IFERROR(__xludf.DUMMYFUNCTION("""COMPUTED_VALUE"""),"OLIVOS")</f>
        <v>OLIVOS</v>
      </c>
      <c r="F4" s="92" t="str">
        <f>IFERROR(__xludf.DUMMYFUNCTION("""COMPUTED_VALUE"""),"ARG")</f>
        <v>ARG</v>
      </c>
      <c r="G4" s="92">
        <f>IFERROR(__xludf.DUMMYFUNCTION("""COMPUTED_VALUE"""),1.1111111E7)</f>
        <v>11111111</v>
      </c>
      <c r="H4" s="93">
        <f>IFERROR(__xludf.DUMMYFUNCTION("""COMPUTED_VALUE"""),25323.0)</f>
        <v>25323</v>
      </c>
      <c r="I4" s="94">
        <f>IFERROR(__xludf.DUMMYFUNCTION("""COMPUTED_VALUE"""),1.122226666E9)</f>
        <v>1122226666</v>
      </c>
      <c r="J4" s="94">
        <f>IFERROR(__xludf.DUMMYFUNCTION("""COMPUTED_VALUE"""),1.166668888E9)</f>
        <v>1166668888</v>
      </c>
      <c r="K4" s="94" t="str">
        <f>IFERROR(__xludf.DUMMYFUNCTION("""COMPUTED_VALUE"""),"MAIL@OTRO.COM")</f>
        <v>MAIL@OTRO.COM</v>
      </c>
      <c r="L4" s="94" t="str">
        <f>IFERROR(__xludf.DUMMYFUNCTION("""COMPUTED_VALUE"""),"Femenino")</f>
        <v>Femenino</v>
      </c>
      <c r="M4" s="94" t="str">
        <f>IFERROR(__xludf.DUMMYFUNCTION("""COMPUTED_VALUE"""),"YCO")</f>
        <v>YCO</v>
      </c>
      <c r="N4" s="94" t="str">
        <f>IFERROR(__xludf.DUMMYFUNCTION("""COMPUTED_VALUE"""),"PRUEBA CATE")</f>
        <v>PRUEBA CATE</v>
      </c>
      <c r="O4" s="94">
        <f>IFERROR(__xludf.DUMMYFUNCTION("""COMPUTED_VALUE"""),420.0)</f>
        <v>420</v>
      </c>
      <c r="P4" s="94">
        <f>IFERROR(__xludf.DUMMYFUNCTION("""COMPUTED_VALUE"""),6.0)</f>
        <v>6</v>
      </c>
      <c r="Q4" s="94">
        <f>IFERROR(__xludf.DUMMYFUNCTION("""COMPUTED_VALUE"""),1111.0)</f>
        <v>1111</v>
      </c>
      <c r="R4" s="94" t="str">
        <f>IFERROR(__xludf.DUMMYFUNCTION("""COMPUTED_VALUE"""),"UNO")</f>
        <v>UNO</v>
      </c>
      <c r="S4" s="94" t="str">
        <f>IFERROR(__xludf.DUMMYFUNCTION("""COMPUTED_VALUE"""),"UNO")</f>
        <v>UNO</v>
      </c>
      <c r="T4" s="94" t="str">
        <f>IFERROR(__xludf.DUMMYFUNCTION("""COMPUTED_VALUE"""),"DOS")</f>
        <v>DOS</v>
      </c>
      <c r="U4" s="94" t="str">
        <f>IFERROR(__xludf.DUMMYFUNCTION("""COMPUTED_VALUE"""),"TRTES")</f>
        <v>TRTES</v>
      </c>
      <c r="V4" s="94" t="str">
        <f>IFERROR(__xludf.DUMMYFUNCTION("""COMPUTED_VALUE"""),"CUATO")</f>
        <v>CUATO</v>
      </c>
      <c r="W4" s="94" t="str">
        <f>IFERROR(__xludf.DUMMYFUNCTION("""COMPUTED_VALUE"""),"FIVE")</f>
        <v>FIVE</v>
      </c>
      <c r="X4" s="94" t="str">
        <f>IFERROR(__xludf.DUMMYFUNCTION("""COMPUTED_VALUE"""),"SIX")</f>
        <v>SIX</v>
      </c>
      <c r="Y4" s="94">
        <f>IFERROR(__xludf.DUMMYFUNCTION("""COMPUTED_VALUE"""),22.0)</f>
        <v>22</v>
      </c>
      <c r="Z4" s="92" t="str">
        <f>IFERROR(__xludf.DUMMYFUNCTION("""COMPUTED_VALUE"""),"Si")</f>
        <v>Si</v>
      </c>
      <c r="AA4" s="92" t="str">
        <f>IFERROR(__xludf.DUMMYFUNCTION("""COMPUTED_VALUE"""),"Acepto")</f>
        <v>Acepto</v>
      </c>
      <c r="AB4" s="92" t="str">
        <f>IFERROR(__xludf.DUMMYFUNCTION("""COMPUTED_VALUE"""),"Repetido")</f>
        <v>Repetido</v>
      </c>
      <c r="AC4" s="94"/>
      <c r="AD4" s="94"/>
      <c r="AE4" s="94"/>
      <c r="AF4" s="94" t="str">
        <f>IFERROR(__xludf.DUMMYFUNCTION("""COMPUTED_VALUE"""),"No Corresp")</f>
        <v>No Corresp</v>
      </c>
      <c r="AG4" s="94"/>
    </row>
    <row r="5">
      <c r="B5" s="95">
        <f>IFERROR(__xludf.DUMMYFUNCTION("""COMPUTED_VALUE"""),45534.39677173611)</f>
        <v>45534.39677</v>
      </c>
      <c r="C5" s="91" t="str">
        <f>IFERROR(__xludf.DUMMYFUNCTION("""COMPUTED_VALUE"""),"Agustín")</f>
        <v>Agustín</v>
      </c>
      <c r="D5" s="91" t="str">
        <f>IFERROR(__xludf.DUMMYFUNCTION("""COMPUTED_VALUE"""),"Bianchi")</f>
        <v>Bianchi</v>
      </c>
      <c r="E5" s="91" t="str">
        <f>IFERROR(__xludf.DUMMYFUNCTION("""COMPUTED_VALUE"""),"Tigre")</f>
        <v>Tigre</v>
      </c>
      <c r="F5" s="92" t="str">
        <f>IFERROR(__xludf.DUMMYFUNCTION("""COMPUTED_VALUE"""),"ARG")</f>
        <v>ARG</v>
      </c>
      <c r="G5" s="92">
        <f>IFERROR(__xludf.DUMMYFUNCTION("""COMPUTED_VALUE"""),2.652317E7)</f>
        <v>26523170</v>
      </c>
      <c r="H5" s="93">
        <f>IFERROR(__xludf.DUMMYFUNCTION("""COMPUTED_VALUE"""),28645.0)</f>
        <v>28645</v>
      </c>
      <c r="I5" s="94">
        <f>IFERROR(__xludf.DUMMYFUNCTION("""COMPUTED_VALUE"""),1.159648285E9)</f>
        <v>1159648285</v>
      </c>
      <c r="J5" s="94">
        <f>IFERROR(__xludf.DUMMYFUNCTION("""COMPUTED_VALUE"""),1.168302939E9)</f>
        <v>1168302939</v>
      </c>
      <c r="K5" s="94" t="str">
        <f>IFERROR(__xludf.DUMMYFUNCTION("""COMPUTED_VALUE"""),"agustinbian@hotmail.com")</f>
        <v>agustinbian@hotmail.com</v>
      </c>
      <c r="L5" s="94" t="str">
        <f>IFERROR(__xludf.DUMMYFUNCTION("""COMPUTED_VALUE"""),"Masculino")</f>
        <v>Masculino</v>
      </c>
      <c r="M5" s="94" t="str">
        <f>IFERROR(__xludf.DUMMYFUNCTION("""COMPUTED_VALUE"""),"YCA")</f>
        <v>YCA</v>
      </c>
      <c r="N5" s="94"/>
      <c r="O5" s="94">
        <f>IFERROR(__xludf.DUMMYFUNCTION("""COMPUTED_VALUE"""),420.0)</f>
        <v>420</v>
      </c>
      <c r="P5" s="94">
        <f>IFERROR(__xludf.DUMMYFUNCTION("""COMPUTED_VALUE"""),41.0)</f>
        <v>41</v>
      </c>
      <c r="Q5" s="94">
        <f>IFERROR(__xludf.DUMMYFUNCTION("""COMPUTED_VALUE"""),52654.0)</f>
        <v>52654</v>
      </c>
      <c r="R5" s="94" t="str">
        <f>IFERROR(__xludf.DUMMYFUNCTION("""COMPUTED_VALUE"""),"Vecchia Scuola")</f>
        <v>Vecchia Scuola</v>
      </c>
      <c r="S5" s="94" t="str">
        <f>IFERROR(__xludf.DUMMYFUNCTION("""COMPUTED_VALUE"""),"Nicole De Leone")</f>
        <v>Nicole De Leone</v>
      </c>
      <c r="T5" s="94"/>
      <c r="U5" s="94"/>
      <c r="V5" s="94"/>
      <c r="W5" s="94"/>
      <c r="X5" s="94"/>
      <c r="Y5" s="94" t="str">
        <f>IFERROR(__xludf.DUMMYFUNCTION("""COMPUTED_VALUE"""),"Medicus")</f>
        <v>Medicus</v>
      </c>
      <c r="Z5" s="92" t="str">
        <f>IFERROR(__xludf.DUMMYFUNCTION("""COMPUTED_VALUE"""),"No")</f>
        <v>No</v>
      </c>
      <c r="AA5" s="92" t="str">
        <f>IFERROR(__xludf.DUMMYFUNCTION("""COMPUTED_VALUE"""),"Acepto")</f>
        <v>Acepto</v>
      </c>
      <c r="AB5" s="92" t="str">
        <f>IFERROR(__xludf.DUMMYFUNCTION("""COMPUTED_VALUE"""),"Terminado")</f>
        <v>Terminado</v>
      </c>
      <c r="AC5" s="94">
        <f>IFERROR(__xludf.DUMMYFUNCTION("""COMPUTED_VALUE"""),75000.0)</f>
        <v>75000</v>
      </c>
      <c r="AD5" s="94">
        <f>IFERROR(__xludf.DUMMYFUNCTION("""COMPUTED_VALUE"""),205094.0)</f>
        <v>205094</v>
      </c>
      <c r="AE5" s="94" t="str">
        <f>IFERROR(__xludf.DUMMYFUNCTION("""COMPUTED_VALUE"""),"TRF 30-08")</f>
        <v>TRF 30-08</v>
      </c>
      <c r="AF5" s="92" t="str">
        <f>IFERROR(__xludf.DUMMYFUNCTION("""COMPUTED_VALUE"""),"OK")</f>
        <v>OK</v>
      </c>
      <c r="AG5" s="94" t="str">
        <f>IFERROR(__xludf.DUMMYFUNCTION("""COMPUTED_VALUE"""),"Si")</f>
        <v>Si</v>
      </c>
    </row>
    <row r="6">
      <c r="B6" s="95">
        <f>IFERROR(__xludf.DUMMYFUNCTION("""COMPUTED_VALUE"""),45535.50059534722)</f>
        <v>45535.5006</v>
      </c>
      <c r="C6" s="91" t="str">
        <f>IFERROR(__xludf.DUMMYFUNCTION("""COMPUTED_VALUE"""),"Pedro")</f>
        <v>Pedro</v>
      </c>
      <c r="D6" s="91" t="str">
        <f>IFERROR(__xludf.DUMMYFUNCTION("""COMPUTED_VALUE"""),"Bianchi")</f>
        <v>Bianchi</v>
      </c>
      <c r="E6" s="91" t="str">
        <f>IFERROR(__xludf.DUMMYFUNCTION("""COMPUTED_VALUE"""),"Buenos Aires")</f>
        <v>Buenos Aires</v>
      </c>
      <c r="F6" s="92" t="str">
        <f>IFERROR(__xludf.DUMMYFUNCTION("""COMPUTED_VALUE"""),"ARG")</f>
        <v>ARG</v>
      </c>
      <c r="G6" s="92">
        <f>IFERROR(__xludf.DUMMYFUNCTION("""COMPUTED_VALUE"""),4.8704974E7)</f>
        <v>48704974</v>
      </c>
      <c r="H6" s="93">
        <f>IFERROR(__xludf.DUMMYFUNCTION("""COMPUTED_VALUE"""),39537.0)</f>
        <v>39537</v>
      </c>
      <c r="I6" s="94" t="str">
        <f>IFERROR(__xludf.DUMMYFUNCTION("""COMPUTED_VALUE"""),"+5491166579475")</f>
        <v>+5491166579475</v>
      </c>
      <c r="J6" s="94" t="str">
        <f>IFERROR(__xludf.DUMMYFUNCTION("""COMPUTED_VALUE"""),"+5491168302939")</f>
        <v>+5491168302939</v>
      </c>
      <c r="K6" s="94" t="str">
        <f>IFERROR(__xludf.DUMMYFUNCTION("""COMPUTED_VALUE"""),"pedro.bianchi.yca@gmail.com")</f>
        <v>pedro.bianchi.yca@gmail.com</v>
      </c>
      <c r="L6" s="94" t="str">
        <f>IFERROR(__xludf.DUMMYFUNCTION("""COMPUTED_VALUE"""),"Masculino")</f>
        <v>Masculino</v>
      </c>
      <c r="M6" s="94" t="str">
        <f>IFERROR(__xludf.DUMMYFUNCTION("""COMPUTED_VALUE"""),"YCA")</f>
        <v>YCA</v>
      </c>
      <c r="N6" s="94"/>
      <c r="O6" s="94">
        <f>IFERROR(__xludf.DUMMYFUNCTION("""COMPUTED_VALUE"""),420.0)</f>
        <v>420</v>
      </c>
      <c r="P6" s="94">
        <f>IFERROR(__xludf.DUMMYFUNCTION("""COMPUTED_VALUE"""),59.0)</f>
        <v>59</v>
      </c>
      <c r="Q6" s="94">
        <f>IFERROR(__xludf.DUMMYFUNCTION("""COMPUTED_VALUE"""),54838.0)</f>
        <v>54838</v>
      </c>
      <c r="R6" s="94" t="str">
        <f>IFERROR(__xludf.DUMMYFUNCTION("""COMPUTED_VALUE"""),"Sensei")</f>
        <v>Sensei</v>
      </c>
      <c r="S6" s="94" t="str">
        <f>IFERROR(__xludf.DUMMYFUNCTION("""COMPUTED_VALUE"""),"Magdalena Caranti")</f>
        <v>Magdalena Caranti</v>
      </c>
      <c r="T6" s="94"/>
      <c r="U6" s="94"/>
      <c r="V6" s="94"/>
      <c r="W6" s="94"/>
      <c r="X6" s="94"/>
      <c r="Y6" s="94" t="str">
        <f>IFERROR(__xludf.DUMMYFUNCTION("""COMPUTED_VALUE"""),"Medicus")</f>
        <v>Medicus</v>
      </c>
      <c r="Z6" s="92" t="str">
        <f>IFERROR(__xludf.DUMMYFUNCTION("""COMPUTED_VALUE"""),"No")</f>
        <v>No</v>
      </c>
      <c r="AA6" s="92" t="str">
        <f>IFERROR(__xludf.DUMMYFUNCTION("""COMPUTED_VALUE"""),"Acepto")</f>
        <v>Acepto</v>
      </c>
      <c r="AB6" s="92" t="str">
        <f>IFERROR(__xludf.DUMMYFUNCTION("""COMPUTED_VALUE"""),"Terminado")</f>
        <v>Terminado</v>
      </c>
      <c r="AC6" s="94">
        <f>IFERROR(__xludf.DUMMYFUNCTION("""COMPUTED_VALUE"""),75000.0)</f>
        <v>75000</v>
      </c>
      <c r="AD6" s="94">
        <f>IFERROR(__xludf.DUMMYFUNCTION("""COMPUTED_VALUE"""),205491.0)</f>
        <v>205491</v>
      </c>
      <c r="AE6" s="94" t="str">
        <f>IFERROR(__xludf.DUMMYFUNCTION("""COMPUTED_VALUE"""),"TRF 31-08")</f>
        <v>TRF 31-08</v>
      </c>
      <c r="AF6" s="92" t="str">
        <f>IFERROR(__xludf.DUMMYFUNCTION("""COMPUTED_VALUE"""),"OK")</f>
        <v>OK</v>
      </c>
      <c r="AG6" s="94" t="str">
        <f>IFERROR(__xludf.DUMMYFUNCTION("""COMPUTED_VALUE"""),"Si")</f>
        <v>Si</v>
      </c>
    </row>
    <row r="7">
      <c r="B7" s="95">
        <f>IFERROR(__xludf.DUMMYFUNCTION("""COMPUTED_VALUE"""),45538.85747483796)</f>
        <v>45538.85747</v>
      </c>
      <c r="C7" s="91" t="str">
        <f>IFERROR(__xludf.DUMMYFUNCTION("""COMPUTED_VALUE"""),"Joaquin")</f>
        <v>Joaquin</v>
      </c>
      <c r="D7" s="91" t="str">
        <f>IFERROR(__xludf.DUMMYFUNCTION("""COMPUTED_VALUE"""),"Blousson")</f>
        <v>Blousson</v>
      </c>
      <c r="E7" s="91" t="str">
        <f>IFERROR(__xludf.DUMMYFUNCTION("""COMPUTED_VALUE"""),"CABA")</f>
        <v>CABA</v>
      </c>
      <c r="F7" s="92" t="str">
        <f>IFERROR(__xludf.DUMMYFUNCTION("""COMPUTED_VALUE"""),"ARG")</f>
        <v>ARG</v>
      </c>
      <c r="G7" s="92">
        <f>IFERROR(__xludf.DUMMYFUNCTION("""COMPUTED_VALUE"""),4.885739E7)</f>
        <v>48857390</v>
      </c>
      <c r="H7" s="93">
        <f>IFERROR(__xludf.DUMMYFUNCTION("""COMPUTED_VALUE"""),-690812.0)</f>
        <v>-690812</v>
      </c>
      <c r="I7" s="94">
        <f>IFERROR(__xludf.DUMMYFUNCTION("""COMPUTED_VALUE"""),1.158179367E9)</f>
        <v>1158179367</v>
      </c>
      <c r="J7" s="94"/>
      <c r="K7" s="94" t="str">
        <f>IFERROR(__xludf.DUMMYFUNCTION("""COMPUTED_VALUE"""),"jblousson@gmail.com")</f>
        <v>jblousson@gmail.com</v>
      </c>
      <c r="L7" s="94" t="str">
        <f>IFERROR(__xludf.DUMMYFUNCTION("""COMPUTED_VALUE"""),"Masculino")</f>
        <v>Masculino</v>
      </c>
      <c r="M7" s="94" t="str">
        <f>IFERROR(__xludf.DUMMYFUNCTION("""COMPUTED_VALUE"""),"YCA")</f>
        <v>YCA</v>
      </c>
      <c r="N7" s="94"/>
      <c r="O7" s="94">
        <f>IFERROR(__xludf.DUMMYFUNCTION("""COMPUTED_VALUE"""),420.0)</f>
        <v>420</v>
      </c>
      <c r="P7" s="94">
        <f>IFERROR(__xludf.DUMMYFUNCTION("""COMPUTED_VALUE"""),63.0)</f>
        <v>63</v>
      </c>
      <c r="Q7" s="94">
        <f>IFERROR(__xludf.DUMMYFUNCTION("""COMPUTED_VALUE"""),54842.0)</f>
        <v>54842</v>
      </c>
      <c r="R7" s="94" t="str">
        <f>IFERROR(__xludf.DUMMYFUNCTION("""COMPUTED_VALUE"""),"Sonia")</f>
        <v>Sonia</v>
      </c>
      <c r="S7" s="94" t="str">
        <f>IFERROR(__xludf.DUMMYFUNCTION("""COMPUTED_VALUE"""),"Joaquin Blousson")</f>
        <v>Joaquin Blousson</v>
      </c>
      <c r="T7" s="94" t="str">
        <f>IFERROR(__xludf.DUMMYFUNCTION("""COMPUTED_VALUE"""),"Franco Blousson")</f>
        <v>Franco Blousson</v>
      </c>
      <c r="U7" s="94"/>
      <c r="V7" s="94"/>
      <c r="W7" s="94"/>
      <c r="X7" s="94"/>
      <c r="Y7" s="94" t="str">
        <f>IFERROR(__xludf.DUMMYFUNCTION("""COMPUTED_VALUE"""),"OSDE")</f>
        <v>OSDE</v>
      </c>
      <c r="Z7" s="92" t="str">
        <f>IFERROR(__xludf.DUMMYFUNCTION("""COMPUTED_VALUE"""),"No")</f>
        <v>No</v>
      </c>
      <c r="AA7" s="92" t="str">
        <f>IFERROR(__xludf.DUMMYFUNCTION("""COMPUTED_VALUE"""),"Acepto")</f>
        <v>Acepto</v>
      </c>
      <c r="AB7" s="92" t="str">
        <f>IFERROR(__xludf.DUMMYFUNCTION("""COMPUTED_VALUE"""),"Terminado")</f>
        <v>Terminado</v>
      </c>
      <c r="AC7" s="94">
        <f>IFERROR(__xludf.DUMMYFUNCTION("""COMPUTED_VALUE"""),80000.0)</f>
        <v>80000</v>
      </c>
      <c r="AD7" s="94">
        <f>IFERROR(__xludf.DUMMYFUNCTION("""COMPUTED_VALUE"""),205407.0)</f>
        <v>205407</v>
      </c>
      <c r="AE7" s="94" t="str">
        <f>IFERROR(__xludf.DUMMYFUNCTION("""COMPUTED_VALUE"""),"TRF 03-09")</f>
        <v>TRF 03-09</v>
      </c>
      <c r="AF7" s="92" t="str">
        <f>IFERROR(__xludf.DUMMYFUNCTION("""COMPUTED_VALUE"""),"OK")</f>
        <v>OK</v>
      </c>
      <c r="AG7" s="94" t="str">
        <f>IFERROR(__xludf.DUMMYFUNCTION("""COMPUTED_VALUE"""),"SI")</f>
        <v>SI</v>
      </c>
    </row>
    <row r="8">
      <c r="B8" s="95">
        <f>IFERROR(__xludf.DUMMYFUNCTION("""COMPUTED_VALUE"""),45537.414796875004)</f>
        <v>45537.4148</v>
      </c>
      <c r="C8" s="91" t="str">
        <f>IFERROR(__xludf.DUMMYFUNCTION("""COMPUTED_VALUE"""),"Camila")</f>
        <v>Camila</v>
      </c>
      <c r="D8" s="91" t="str">
        <f>IFERROR(__xludf.DUMMYFUNCTION("""COMPUTED_VALUE"""),"Del carril")</f>
        <v>Del carril</v>
      </c>
      <c r="E8" s="91" t="str">
        <f>IFERROR(__xludf.DUMMYFUNCTION("""COMPUTED_VALUE"""),"Buenos aires")</f>
        <v>Buenos aires</v>
      </c>
      <c r="F8" s="92" t="str">
        <f>IFERROR(__xludf.DUMMYFUNCTION("""COMPUTED_VALUE"""),"ARG")</f>
        <v>ARG</v>
      </c>
      <c r="G8" s="92">
        <f>IFERROR(__xludf.DUMMYFUNCTION("""COMPUTED_VALUE"""),4.8793632E7)</f>
        <v>48793632</v>
      </c>
      <c r="H8" s="93">
        <f>IFERROR(__xludf.DUMMYFUNCTION("""COMPUTED_VALUE"""),39631.0)</f>
        <v>39631</v>
      </c>
      <c r="I8" s="94">
        <f>IFERROR(__xludf.DUMMYFUNCTION("""COMPUTED_VALUE"""),1.165318147E9)</f>
        <v>1165318147</v>
      </c>
      <c r="J8" s="94">
        <f>IFERROR(__xludf.DUMMYFUNCTION("""COMPUTED_VALUE"""),1.50575173E8)</f>
        <v>150575173</v>
      </c>
      <c r="K8" s="94" t="str">
        <f>IFERROR(__xludf.DUMMYFUNCTION("""COMPUTED_VALUE"""),"camiladelcarril55@gmail.com")</f>
        <v>camiladelcarril55@gmail.com</v>
      </c>
      <c r="L8" s="94" t="str">
        <f>IFERROR(__xludf.DUMMYFUNCTION("""COMPUTED_VALUE"""),"Femenino")</f>
        <v>Femenino</v>
      </c>
      <c r="M8" s="94" t="str">
        <f>IFERROR(__xludf.DUMMYFUNCTION("""COMPUTED_VALUE"""),"CNSI")</f>
        <v>CNSI</v>
      </c>
      <c r="N8" s="94"/>
      <c r="O8" s="94">
        <f>IFERROR(__xludf.DUMMYFUNCTION("""COMPUTED_VALUE"""),420.0)</f>
        <v>420</v>
      </c>
      <c r="P8" s="94" t="str">
        <f>IFERROR(__xludf.DUMMYFUNCTION("""COMPUTED_VALUE"""),"04")</f>
        <v>04</v>
      </c>
      <c r="Q8" s="94">
        <f>IFERROR(__xludf.DUMMYFUNCTION("""COMPUTED_VALUE"""),551819.0)</f>
        <v>551819</v>
      </c>
      <c r="R8" s="94"/>
      <c r="S8" s="94" t="str">
        <f>IFERROR(__xludf.DUMMYFUNCTION("""COMPUTED_VALUE"""),"Eugenio bradley")</f>
        <v>Eugenio bradley</v>
      </c>
      <c r="T8" s="94"/>
      <c r="U8" s="94"/>
      <c r="V8" s="94"/>
      <c r="W8" s="94"/>
      <c r="X8" s="94"/>
      <c r="Y8" s="94" t="str">
        <f>IFERROR(__xludf.DUMMYFUNCTION("""COMPUTED_VALUE"""),"Hospital alemán 10639810773803")</f>
        <v>Hospital alemán 10639810773803</v>
      </c>
      <c r="Z8" s="92" t="str">
        <f>IFERROR(__xludf.DUMMYFUNCTION("""COMPUTED_VALUE"""),"No")</f>
        <v>No</v>
      </c>
      <c r="AA8" s="92" t="str">
        <f>IFERROR(__xludf.DUMMYFUNCTION("""COMPUTED_VALUE"""),"Acepto")</f>
        <v>Acepto</v>
      </c>
      <c r="AB8" s="92" t="str">
        <f>IFERROR(__xludf.DUMMYFUNCTION("""COMPUTED_VALUE"""),"Pendiente")</f>
        <v>Pendiente</v>
      </c>
      <c r="AC8" s="94"/>
      <c r="AD8" s="94"/>
      <c r="AE8" s="94"/>
      <c r="AF8" s="92" t="str">
        <f>IFERROR(__xludf.DUMMYFUNCTION("""COMPUTED_VALUE"""),"OK")</f>
        <v>OK</v>
      </c>
      <c r="AG8" s="94"/>
    </row>
    <row r="9">
      <c r="B9" s="95">
        <f>IFERROR(__xludf.DUMMYFUNCTION("""COMPUTED_VALUE"""),45535.52085274305)</f>
        <v>45535.52085</v>
      </c>
      <c r="C9" s="91" t="str">
        <f>IFERROR(__xludf.DUMMYFUNCTION("""COMPUTED_VALUE"""),"Beltran ")</f>
        <v>Beltran </v>
      </c>
      <c r="D9" s="91" t="str">
        <f>IFERROR(__xludf.DUMMYFUNCTION("""COMPUTED_VALUE"""),"Lepori")</f>
        <v>Lepori</v>
      </c>
      <c r="E9" s="91" t="str">
        <f>IFERROR(__xludf.DUMMYFUNCTION("""COMPUTED_VALUE"""),"CABA")</f>
        <v>CABA</v>
      </c>
      <c r="F9" s="92" t="str">
        <f>IFERROR(__xludf.DUMMYFUNCTION("""COMPUTED_VALUE"""),"ARG")</f>
        <v>ARG</v>
      </c>
      <c r="G9" s="92">
        <f>IFERROR(__xludf.DUMMYFUNCTION("""COMPUTED_VALUE"""),4.7436729E7)</f>
        <v>47436729</v>
      </c>
      <c r="H9" s="93">
        <f>IFERROR(__xludf.DUMMYFUNCTION("""COMPUTED_VALUE"""),38946.0)</f>
        <v>38946</v>
      </c>
      <c r="I9" s="94">
        <f>IFERROR(__xludf.DUMMYFUNCTION("""COMPUTED_VALUE"""),1.163353841E9)</f>
        <v>1163353841</v>
      </c>
      <c r="J9" s="94">
        <f>IFERROR(__xludf.DUMMYFUNCTION("""COMPUTED_VALUE"""),1.561528948E9)</f>
        <v>1561528948</v>
      </c>
      <c r="K9" s="94" t="str">
        <f>IFERROR(__xludf.DUMMYFUNCTION("""COMPUTED_VALUE"""),"bi.lepori@scms.edu.ar")</f>
        <v>bi.lepori@scms.edu.ar</v>
      </c>
      <c r="L9" s="94" t="str">
        <f>IFERROR(__xludf.DUMMYFUNCTION("""COMPUTED_VALUE"""),"Masculino")</f>
        <v>Masculino</v>
      </c>
      <c r="M9" s="94" t="str">
        <f>IFERROR(__xludf.DUMMYFUNCTION("""COMPUTED_VALUE"""),"YCA")</f>
        <v>YCA</v>
      </c>
      <c r="N9" s="94"/>
      <c r="O9" s="94">
        <f>IFERROR(__xludf.DUMMYFUNCTION("""COMPUTED_VALUE"""),420.0)</f>
        <v>420</v>
      </c>
      <c r="P9" s="94" t="str">
        <f>IFERROR(__xludf.DUMMYFUNCTION("""COMPUTED_VALUE"""),"02")</f>
        <v>02</v>
      </c>
      <c r="Q9" s="94">
        <f>IFERROR(__xludf.DUMMYFUNCTION("""COMPUTED_VALUE"""),57295.0)</f>
        <v>57295</v>
      </c>
      <c r="R9" s="94" t="str">
        <f>IFERROR(__xludf.DUMMYFUNCTION("""COMPUTED_VALUE"""),"KATANGA")</f>
        <v>KATANGA</v>
      </c>
      <c r="S9" s="94" t="str">
        <f>IFERROR(__xludf.DUMMYFUNCTION("""COMPUTED_VALUE"""),"Celeste Parini")</f>
        <v>Celeste Parini</v>
      </c>
      <c r="T9" s="94"/>
      <c r="U9" s="94"/>
      <c r="V9" s="94"/>
      <c r="W9" s="94"/>
      <c r="X9" s="94"/>
      <c r="Y9" s="94" t="str">
        <f>IFERROR(__xludf.DUMMYFUNCTION("""COMPUTED_VALUE"""),"OSDE")</f>
        <v>OSDE</v>
      </c>
      <c r="Z9" s="92" t="str">
        <f>IFERROR(__xludf.DUMMYFUNCTION("""COMPUTED_VALUE"""),"No")</f>
        <v>No</v>
      </c>
      <c r="AA9" s="92" t="str">
        <f>IFERROR(__xludf.DUMMYFUNCTION("""COMPUTED_VALUE"""),"Acepto")</f>
        <v>Acepto</v>
      </c>
      <c r="AB9" s="92" t="str">
        <f>IFERROR(__xludf.DUMMYFUNCTION("""COMPUTED_VALUE"""),"Repetido")</f>
        <v>Repetido</v>
      </c>
      <c r="AC9" s="94"/>
      <c r="AD9" s="94"/>
      <c r="AE9" s="94"/>
      <c r="AF9" s="92" t="str">
        <f>IFERROR(__xludf.DUMMYFUNCTION("""COMPUTED_VALUE"""),"No Corresp")</f>
        <v>No Corresp</v>
      </c>
      <c r="AG9" s="94"/>
    </row>
    <row r="10">
      <c r="B10" s="95">
        <f>IFERROR(__xludf.DUMMYFUNCTION("""COMPUTED_VALUE"""),45536.81861803241)</f>
        <v>45536.81862</v>
      </c>
      <c r="C10" s="91" t="str">
        <f>IFERROR(__xludf.DUMMYFUNCTION("""COMPUTED_VALUE"""),"Beltran ")</f>
        <v>Beltran </v>
      </c>
      <c r="D10" s="91" t="str">
        <f>IFERROR(__xludf.DUMMYFUNCTION("""COMPUTED_VALUE"""),"Lepori")</f>
        <v>Lepori</v>
      </c>
      <c r="E10" s="91" t="str">
        <f>IFERROR(__xludf.DUMMYFUNCTION("""COMPUTED_VALUE"""),"CABA")</f>
        <v>CABA</v>
      </c>
      <c r="F10" s="92" t="str">
        <f>IFERROR(__xludf.DUMMYFUNCTION("""COMPUTED_VALUE"""),"ARG")</f>
        <v>ARG</v>
      </c>
      <c r="G10" s="92">
        <f>IFERROR(__xludf.DUMMYFUNCTION("""COMPUTED_VALUE"""),4.7436729E7)</f>
        <v>47436729</v>
      </c>
      <c r="H10" s="93">
        <f>IFERROR(__xludf.DUMMYFUNCTION("""COMPUTED_VALUE"""),38946.0)</f>
        <v>38946</v>
      </c>
      <c r="I10" s="94" t="str">
        <f>IFERROR(__xludf.DUMMYFUNCTION("""COMPUTED_VALUE"""),"6335-3841")</f>
        <v>6335-3841</v>
      </c>
      <c r="J10" s="94">
        <f>IFERROR(__xludf.DUMMYFUNCTION("""COMPUTED_VALUE"""),1.561528948E9)</f>
        <v>1561528948</v>
      </c>
      <c r="K10" s="94" t="str">
        <f>IFERROR(__xludf.DUMMYFUNCTION("""COMPUTED_VALUE"""),"bi.lepori@scms.edu.ar")</f>
        <v>bi.lepori@scms.edu.ar</v>
      </c>
      <c r="L10" s="94" t="str">
        <f>IFERROR(__xludf.DUMMYFUNCTION("""COMPUTED_VALUE"""),"Masculino")</f>
        <v>Masculino</v>
      </c>
      <c r="M10" s="94" t="str">
        <f>IFERROR(__xludf.DUMMYFUNCTION("""COMPUTED_VALUE"""),"YCA")</f>
        <v>YCA</v>
      </c>
      <c r="N10" s="94"/>
      <c r="O10" s="94">
        <f>IFERROR(__xludf.DUMMYFUNCTION("""COMPUTED_VALUE"""),420.0)</f>
        <v>420</v>
      </c>
      <c r="P10" s="94" t="str">
        <f>IFERROR(__xludf.DUMMYFUNCTION("""COMPUTED_VALUE"""),"02")</f>
        <v>02</v>
      </c>
      <c r="Q10" s="94">
        <f>IFERROR(__xludf.DUMMYFUNCTION("""COMPUTED_VALUE"""),57295.0)</f>
        <v>57295</v>
      </c>
      <c r="R10" s="94" t="str">
        <f>IFERROR(__xludf.DUMMYFUNCTION("""COMPUTED_VALUE"""),"KATANGA")</f>
        <v>KATANGA</v>
      </c>
      <c r="S10" s="94" t="str">
        <f>IFERROR(__xludf.DUMMYFUNCTION("""COMPUTED_VALUE"""),"Celeste Parini")</f>
        <v>Celeste Parini</v>
      </c>
      <c r="T10" s="94"/>
      <c r="U10" s="94"/>
      <c r="V10" s="94"/>
      <c r="W10" s="94"/>
      <c r="X10" s="94"/>
      <c r="Y10" s="94"/>
      <c r="Z10" s="92" t="str">
        <f>IFERROR(__xludf.DUMMYFUNCTION("""COMPUTED_VALUE"""),"No")</f>
        <v>No</v>
      </c>
      <c r="AA10" s="92" t="str">
        <f>IFERROR(__xludf.DUMMYFUNCTION("""COMPUTED_VALUE"""),"Acepto")</f>
        <v>Acepto</v>
      </c>
      <c r="AB10" s="92" t="str">
        <f>IFERROR(__xludf.DUMMYFUNCTION("""COMPUTED_VALUE"""),"Terminado")</f>
        <v>Terminado</v>
      </c>
      <c r="AC10" s="94">
        <f>IFERROR(__xludf.DUMMYFUNCTION("""COMPUTED_VALUE"""),65000.0)</f>
        <v>65000</v>
      </c>
      <c r="AD10" s="94">
        <f>IFERROR(__xludf.DUMMYFUNCTION("""COMPUTED_VALUE"""),205548.0)</f>
        <v>205548</v>
      </c>
      <c r="AE10" s="94" t="str">
        <f>IFERROR(__xludf.DUMMYFUNCTION("""COMPUTED_VALUE"""),"TRF 06-09")</f>
        <v>TRF 06-09</v>
      </c>
      <c r="AF10" s="92" t="str">
        <f>IFERROR(__xludf.DUMMYFUNCTION("""COMPUTED_VALUE"""),"Ok")</f>
        <v>Ok</v>
      </c>
      <c r="AG10" s="94" t="str">
        <f>IFERROR(__xludf.DUMMYFUNCTION("""COMPUTED_VALUE"""),"Si")</f>
        <v>Si</v>
      </c>
    </row>
    <row r="11">
      <c r="B11" s="95">
        <f>IFERROR(__xludf.DUMMYFUNCTION("""COMPUTED_VALUE"""),45534.95115460648)</f>
        <v>45534.95115</v>
      </c>
      <c r="C11" s="91" t="str">
        <f>IFERROR(__xludf.DUMMYFUNCTION("""COMPUTED_VALUE"""),"Sofia")</f>
        <v>Sofia</v>
      </c>
      <c r="D11" s="91" t="str">
        <f>IFERROR(__xludf.DUMMYFUNCTION("""COMPUTED_VALUE"""),"Orella")</f>
        <v>Orella</v>
      </c>
      <c r="E11" s="91" t="str">
        <f>IFERROR(__xludf.DUMMYFUNCTION("""COMPUTED_VALUE"""),"Buenos Aires")</f>
        <v>Buenos Aires</v>
      </c>
      <c r="F11" s="92" t="str">
        <f>IFERROR(__xludf.DUMMYFUNCTION("""COMPUTED_VALUE"""),"ARG")</f>
        <v>ARG</v>
      </c>
      <c r="G11" s="92">
        <f>IFERROR(__xludf.DUMMYFUNCTION("""COMPUTED_VALUE"""),4.8801008E7)</f>
        <v>48801008</v>
      </c>
      <c r="H11" s="93">
        <f>IFERROR(__xludf.DUMMYFUNCTION("""COMPUTED_VALUE"""),39617.0)</f>
        <v>39617</v>
      </c>
      <c r="I11" s="94" t="str">
        <f>IFERROR(__xludf.DUMMYFUNCTION("""COMPUTED_VALUE"""),"+54 9 11 6929-9731")</f>
        <v>+54 9 11 6929-9731</v>
      </c>
      <c r="J11" s="94" t="str">
        <f>IFERROR(__xludf.DUMMYFUNCTION("""COMPUTED_VALUE"""),"+54 9 11 4028-5075")</f>
        <v>+54 9 11 4028-5075</v>
      </c>
      <c r="K11" s="94" t="str">
        <f>IFERROR(__xludf.DUMMYFUNCTION("""COMPUTED_VALUE"""),"morellamail@gmail.com")</f>
        <v>morellamail@gmail.com</v>
      </c>
      <c r="L11" s="94" t="str">
        <f>IFERROR(__xludf.DUMMYFUNCTION("""COMPUTED_VALUE"""),"Femenino")</f>
        <v>Femenino</v>
      </c>
      <c r="M11" s="94" t="str">
        <f>IFERROR(__xludf.DUMMYFUNCTION("""COMPUTED_VALUE"""),"CNSI")</f>
        <v>CNSI</v>
      </c>
      <c r="N11" s="94" t="str">
        <f>IFERROR(__xludf.DUMMYFUNCTION("""COMPUTED_VALUE"""),"Femenino")</f>
        <v>Femenino</v>
      </c>
      <c r="O11" s="94">
        <f>IFERROR(__xludf.DUMMYFUNCTION("""COMPUTED_VALUE"""),420.0)</f>
        <v>420</v>
      </c>
      <c r="P11" s="94">
        <f>IFERROR(__xludf.DUMMYFUNCTION("""COMPUTED_VALUE"""),29.0)</f>
        <v>29</v>
      </c>
      <c r="Q11" s="94">
        <f>IFERROR(__xludf.DUMMYFUNCTION("""COMPUTED_VALUE"""),50794.0)</f>
        <v>50794</v>
      </c>
      <c r="R11" s="94" t="str">
        <f>IFERROR(__xludf.DUMMYFUNCTION("""COMPUTED_VALUE"""),"N/A")</f>
        <v>N/A</v>
      </c>
      <c r="S11" s="94" t="str">
        <f>IFERROR(__xludf.DUMMYFUNCTION("""COMPUTED_VALUE"""),"Trinidad Tommasi")</f>
        <v>Trinidad Tommasi</v>
      </c>
      <c r="T11" s="94"/>
      <c r="U11" s="94"/>
      <c r="V11" s="94"/>
      <c r="W11" s="94"/>
      <c r="X11" s="94"/>
      <c r="Y11" s="94" t="str">
        <f>IFERROR(__xludf.DUMMYFUNCTION("""COMPUTED_VALUE"""),"OSDE 310 60595657904")</f>
        <v>OSDE 310 60595657904</v>
      </c>
      <c r="Z11" s="92" t="str">
        <f>IFERROR(__xludf.DUMMYFUNCTION("""COMPUTED_VALUE"""),"No")</f>
        <v>No</v>
      </c>
      <c r="AA11" s="92" t="str">
        <f>IFERROR(__xludf.DUMMYFUNCTION("""COMPUTED_VALUE"""),"Acepto")</f>
        <v>Acepto</v>
      </c>
      <c r="AB11" s="92" t="str">
        <f>IFERROR(__xludf.DUMMYFUNCTION("""COMPUTED_VALUE"""),"Terminado")</f>
        <v>Terminado</v>
      </c>
      <c r="AC11" s="94">
        <f>IFERROR(__xludf.DUMMYFUNCTION("""COMPUTED_VALUE"""),65000.0)</f>
        <v>65000</v>
      </c>
      <c r="AD11" s="94">
        <f>IFERROR(__xludf.DUMMYFUNCTION("""COMPUTED_VALUE"""),205118.0)</f>
        <v>205118</v>
      </c>
      <c r="AE11" s="94" t="str">
        <f>IFERROR(__xludf.DUMMYFUNCTION("""COMPUTED_VALUE"""),"Tarj.31-08")</f>
        <v>Tarj.31-08</v>
      </c>
      <c r="AF11" s="92" t="str">
        <f>IFERROR(__xludf.DUMMYFUNCTION("""COMPUTED_VALUE"""),"OK")</f>
        <v>OK</v>
      </c>
      <c r="AG11" s="94"/>
    </row>
    <row r="12">
      <c r="B12" s="95">
        <f>IFERROR(__xludf.DUMMYFUNCTION("""COMPUTED_VALUE"""),45534.73083231482)</f>
        <v>45534.73083</v>
      </c>
      <c r="C12" s="91" t="str">
        <f>IFERROR(__xludf.DUMMYFUNCTION("""COMPUTED_VALUE"""),"Pelado ")</f>
        <v>Pelado </v>
      </c>
      <c r="D12" s="91" t="str">
        <f>IFERROR(__xludf.DUMMYFUNCTION("""COMPUTED_VALUE"""),"Roldán ")</f>
        <v>Roldán </v>
      </c>
      <c r="E12" s="91" t="str">
        <f>IFERROR(__xludf.DUMMYFUNCTION("""COMPUTED_VALUE"""),"SAN ISIDRO - SAN ISIDRO")</f>
        <v>SAN ISIDRO - SAN ISIDRO</v>
      </c>
      <c r="F12" s="92" t="str">
        <f>IFERROR(__xludf.DUMMYFUNCTION("""COMPUTED_VALUE"""),"ARG")</f>
        <v>ARG</v>
      </c>
      <c r="G12" s="92">
        <f>IFERROR(__xludf.DUMMYFUNCTION("""COMPUTED_VALUE"""),4.121373E7)</f>
        <v>41213730</v>
      </c>
      <c r="H12" s="93">
        <f>IFERROR(__xludf.DUMMYFUNCTION("""COMPUTED_VALUE"""),35993.0)</f>
        <v>35993</v>
      </c>
      <c r="I12" s="94">
        <f>IFERROR(__xludf.DUMMYFUNCTION("""COMPUTED_VALUE"""),1.153082589E9)</f>
        <v>1153082589</v>
      </c>
      <c r="J12" s="94"/>
      <c r="K12" s="94" t="str">
        <f>IFERROR(__xludf.DUMMYFUNCTION("""COMPUTED_VALUE"""),"roldanmatu@gmail.com")</f>
        <v>roldanmatu@gmail.com</v>
      </c>
      <c r="L12" s="94" t="str">
        <f>IFERROR(__xludf.DUMMYFUNCTION("""COMPUTED_VALUE"""),"Masculino")</f>
        <v>Masculino</v>
      </c>
      <c r="M12" s="94" t="str">
        <f>IFERROR(__xludf.DUMMYFUNCTION("""COMPUTED_VALUE"""),"CNSI ")</f>
        <v>CNSI </v>
      </c>
      <c r="N12" s="94"/>
      <c r="O12" s="94">
        <f>IFERROR(__xludf.DUMMYFUNCTION("""COMPUTED_VALUE"""),420.0)</f>
        <v>420</v>
      </c>
      <c r="P12" s="94">
        <f>IFERROR(__xludf.DUMMYFUNCTION("""COMPUTED_VALUE"""),89.0)</f>
        <v>89</v>
      </c>
      <c r="Q12" s="94">
        <f>IFERROR(__xludf.DUMMYFUNCTION("""COMPUTED_VALUE"""),52651.0)</f>
        <v>52651</v>
      </c>
      <c r="R12" s="94" t="str">
        <f>IFERROR(__xludf.DUMMYFUNCTION("""COMPUTED_VALUE"""),"La rata")</f>
        <v>La rata</v>
      </c>
      <c r="S12" s="94" t="str">
        <f>IFERROR(__xludf.DUMMYFUNCTION("""COMPUTED_VALUE"""),"Indigo")</f>
        <v>Indigo</v>
      </c>
      <c r="T12" s="94"/>
      <c r="U12" s="94"/>
      <c r="V12" s="94"/>
      <c r="W12" s="94"/>
      <c r="X12" s="94"/>
      <c r="Y12" s="94"/>
      <c r="Z12" s="92" t="str">
        <f>IFERROR(__xludf.DUMMYFUNCTION("""COMPUTED_VALUE"""),"No")</f>
        <v>No</v>
      </c>
      <c r="AA12" s="92" t="str">
        <f>IFERROR(__xludf.DUMMYFUNCTION("""COMPUTED_VALUE"""),"Acepto")</f>
        <v>Acepto</v>
      </c>
      <c r="AB12" s="92" t="str">
        <f>IFERROR(__xludf.DUMMYFUNCTION("""COMPUTED_VALUE"""),"Terminado")</f>
        <v>Terminado</v>
      </c>
      <c r="AC12" s="94">
        <f>IFERROR(__xludf.DUMMYFUNCTION("""COMPUTED_VALUE"""),65000.0)</f>
        <v>65000</v>
      </c>
      <c r="AD12" s="94">
        <f>IFERROR(__xludf.DUMMYFUNCTION("""COMPUTED_VALUE"""),205544.0)</f>
        <v>205544</v>
      </c>
      <c r="AE12" s="94" t="str">
        <f>IFERROR(__xludf.DUMMYFUNCTION("""COMPUTED_VALUE"""),"TRF 06-09")</f>
        <v>TRF 06-09</v>
      </c>
      <c r="AF12" s="92" t="str">
        <f>IFERROR(__xludf.DUMMYFUNCTION("""COMPUTED_VALUE"""),"No Corresp")</f>
        <v>No Corresp</v>
      </c>
      <c r="AG12" s="94" t="str">
        <f>IFERROR(__xludf.DUMMYFUNCTION("""COMPUTED_VALUE"""),"SI")</f>
        <v>SI</v>
      </c>
    </row>
    <row r="13">
      <c r="B13" s="95">
        <f>IFERROR(__xludf.DUMMYFUNCTION("""COMPUTED_VALUE"""),45537.41260751158)</f>
        <v>45537.41261</v>
      </c>
      <c r="C13" s="91" t="str">
        <f>IFERROR(__xludf.DUMMYFUNCTION("""COMPUTED_VALUE"""),"Tiago")</f>
        <v>Tiago</v>
      </c>
      <c r="D13" s="91" t="str">
        <f>IFERROR(__xludf.DUMMYFUNCTION("""COMPUTED_VALUE"""),"Troilo")</f>
        <v>Troilo</v>
      </c>
      <c r="E13" s="91" t="str">
        <f>IFERROR(__xludf.DUMMYFUNCTION("""COMPUTED_VALUE"""),"Tigre ")</f>
        <v>Tigre </v>
      </c>
      <c r="F13" s="92" t="str">
        <f>IFERROR(__xludf.DUMMYFUNCTION("""COMPUTED_VALUE"""),"ARG")</f>
        <v>ARG</v>
      </c>
      <c r="G13" s="92">
        <f>IFERROR(__xludf.DUMMYFUNCTION("""COMPUTED_VALUE"""),4.8231861E7)</f>
        <v>48231861</v>
      </c>
      <c r="H13" s="93">
        <f>IFERROR(__xludf.DUMMYFUNCTION("""COMPUTED_VALUE"""),39455.0)</f>
        <v>39455</v>
      </c>
      <c r="I13" s="94" t="str">
        <f>IFERROR(__xludf.DUMMYFUNCTION("""COMPUTED_VALUE"""),"11 49749551")</f>
        <v>11 49749551</v>
      </c>
      <c r="J13" s="94" t="str">
        <f>IFERROR(__xludf.DUMMYFUNCTION("""COMPUTED_VALUE"""),"11 65452744")</f>
        <v>11 65452744</v>
      </c>
      <c r="K13" s="94" t="str">
        <f>IFERROR(__xludf.DUMMYFUNCTION("""COMPUTED_VALUE"""),"Tiagofedetf08@gmail.com")</f>
        <v>Tiagofedetf08@gmail.com</v>
      </c>
      <c r="L13" s="94" t="str">
        <f>IFERROR(__xludf.DUMMYFUNCTION("""COMPUTED_VALUE"""),"Masculino")</f>
        <v>Masculino</v>
      </c>
      <c r="M13" s="94" t="str">
        <f>IFERROR(__xludf.DUMMYFUNCTION("""COMPUTED_VALUE"""),"CPNLB")</f>
        <v>CPNLB</v>
      </c>
      <c r="N13" s="94"/>
      <c r="O13" s="94">
        <f>IFERROR(__xludf.DUMMYFUNCTION("""COMPUTED_VALUE"""),420.0)</f>
        <v>420</v>
      </c>
      <c r="P13" s="94">
        <f>IFERROR(__xludf.DUMMYFUNCTION("""COMPUTED_VALUE"""),73.0)</f>
        <v>73</v>
      </c>
      <c r="Q13" s="94">
        <f>IFERROR(__xludf.DUMMYFUNCTION("""COMPUTED_VALUE"""),55348.0)</f>
        <v>55348</v>
      </c>
      <c r="R13" s="94"/>
      <c r="S13" s="94" t="str">
        <f>IFERROR(__xludf.DUMMYFUNCTION("""COMPUTED_VALUE"""),"Tomas lopez")</f>
        <v>Tomas lopez</v>
      </c>
      <c r="T13" s="94"/>
      <c r="U13" s="94"/>
      <c r="V13" s="94"/>
      <c r="W13" s="94"/>
      <c r="X13" s="94"/>
      <c r="Y13" s="94"/>
      <c r="Z13" s="92" t="str">
        <f>IFERROR(__xludf.DUMMYFUNCTION("""COMPUTED_VALUE"""),"No")</f>
        <v>No</v>
      </c>
      <c r="AA13" s="92" t="str">
        <f>IFERROR(__xludf.DUMMYFUNCTION("""COMPUTED_VALUE"""),"Acepto")</f>
        <v>Acepto</v>
      </c>
      <c r="AB13" s="92" t="str">
        <f>IFERROR(__xludf.DUMMYFUNCTION("""COMPUTED_VALUE"""),"Pendiente")</f>
        <v>Pendiente</v>
      </c>
      <c r="AC13" s="94"/>
      <c r="AD13" s="94"/>
      <c r="AE13" s="94"/>
      <c r="AF13" s="92" t="str">
        <f>IFERROR(__xludf.DUMMYFUNCTION("""COMPUTED_VALUE"""),"OK")</f>
        <v>OK</v>
      </c>
      <c r="AG13" s="94"/>
    </row>
    <row r="14">
      <c r="B14" s="95">
        <f>IFERROR(__xludf.DUMMYFUNCTION("""COMPUTED_VALUE"""),45537.403070416665)</f>
        <v>45537.40307</v>
      </c>
      <c r="C14" s="91" t="str">
        <f>IFERROR(__xludf.DUMMYFUNCTION("""COMPUTED_VALUE"""),"Lola")</f>
        <v>Lola</v>
      </c>
      <c r="D14" s="91" t="str">
        <f>IFERROR(__xludf.DUMMYFUNCTION("""COMPUTED_VALUE"""),"Varela")</f>
        <v>Varela</v>
      </c>
      <c r="E14" s="91" t="str">
        <f>IFERROR(__xludf.DUMMYFUNCTION("""COMPUTED_VALUE"""),"Buenos aires")</f>
        <v>Buenos aires</v>
      </c>
      <c r="F14" s="92" t="str">
        <f>IFERROR(__xludf.DUMMYFUNCTION("""COMPUTED_VALUE"""),"ARG")</f>
        <v>ARG</v>
      </c>
      <c r="G14" s="92">
        <f>IFERROR(__xludf.DUMMYFUNCTION("""COMPUTED_VALUE"""),4.8801719E7)</f>
        <v>48801719</v>
      </c>
      <c r="H14" s="93">
        <f>IFERROR(__xludf.DUMMYFUNCTION("""COMPUTED_VALUE"""),39609.0)</f>
        <v>39609</v>
      </c>
      <c r="I14" s="94">
        <f>IFERROR(__xludf.DUMMYFUNCTION("""COMPUTED_VALUE"""),5.8733548E7)</f>
        <v>58733548</v>
      </c>
      <c r="J14" s="94"/>
      <c r="K14" s="94" t="str">
        <f>IFERROR(__xludf.DUMMYFUNCTION("""COMPUTED_VALUE"""),"Lolavarelacardinali@gmail.com")</f>
        <v>Lolavarelacardinali@gmail.com</v>
      </c>
      <c r="L14" s="94" t="str">
        <f>IFERROR(__xludf.DUMMYFUNCTION("""COMPUTED_VALUE"""),"Femenino")</f>
        <v>Femenino</v>
      </c>
      <c r="M14" s="94" t="str">
        <f>IFERROR(__xludf.DUMMYFUNCTION("""COMPUTED_VALUE"""),"Cnsi")</f>
        <v>Cnsi</v>
      </c>
      <c r="N14" s="94" t="str">
        <f>IFERROR(__xludf.DUMMYFUNCTION("""COMPUTED_VALUE"""),"Femenino")</f>
        <v>Femenino</v>
      </c>
      <c r="O14" s="94">
        <f>IFERROR(__xludf.DUMMYFUNCTION("""COMPUTED_VALUE"""),420.0)</f>
        <v>420</v>
      </c>
      <c r="P14" s="94">
        <f>IFERROR(__xludf.DUMMYFUNCTION("""COMPUTED_VALUE"""),68.0)</f>
        <v>68</v>
      </c>
      <c r="Q14" s="94">
        <f>IFERROR(__xludf.DUMMYFUNCTION("""COMPUTED_VALUE"""),55343.0)</f>
        <v>55343</v>
      </c>
      <c r="R14" s="94"/>
      <c r="S14" s="94" t="str">
        <f>IFERROR(__xludf.DUMMYFUNCTION("""COMPUTED_VALUE"""),"Faustina busch")</f>
        <v>Faustina busch</v>
      </c>
      <c r="T14" s="94"/>
      <c r="U14" s="94"/>
      <c r="V14" s="94"/>
      <c r="W14" s="94"/>
      <c r="X14" s="94"/>
      <c r="Y14" s="94"/>
      <c r="Z14" s="92" t="str">
        <f>IFERROR(__xludf.DUMMYFUNCTION("""COMPUTED_VALUE"""),"No")</f>
        <v>No</v>
      </c>
      <c r="AA14" s="92" t="str">
        <f>IFERROR(__xludf.DUMMYFUNCTION("""COMPUTED_VALUE"""),"Acepto")</f>
        <v>Acepto</v>
      </c>
      <c r="AB14" s="92" t="str">
        <f>IFERROR(__xludf.DUMMYFUNCTION("""COMPUTED_VALUE"""),"Terminado")</f>
        <v>Terminado</v>
      </c>
      <c r="AC14" s="94">
        <f>IFERROR(__xludf.DUMMYFUNCTION("""COMPUTED_VALUE"""),65000.0)</f>
        <v>65000</v>
      </c>
      <c r="AD14" s="94">
        <f>IFERROR(__xludf.DUMMYFUNCTION("""COMPUTED_VALUE"""),205400.0)</f>
        <v>205400</v>
      </c>
      <c r="AE14" s="94" t="str">
        <f>IFERROR(__xludf.DUMMYFUNCTION("""COMPUTED_VALUE"""),"TRF 02-09")</f>
        <v>TRF 02-09</v>
      </c>
      <c r="AF14" s="92" t="str">
        <f>IFERROR(__xludf.DUMMYFUNCTION("""COMPUTED_VALUE"""),"OK")</f>
        <v>OK</v>
      </c>
      <c r="AG14" s="94" t="str">
        <f>IFERROR(__xludf.DUMMYFUNCTION("""COMPUTED_VALUE"""),"SI")</f>
        <v>SI</v>
      </c>
    </row>
    <row r="15">
      <c r="B15" s="95">
        <f>IFERROR(__xludf.DUMMYFUNCTION("""COMPUTED_VALUE"""),45541.862908634255)</f>
        <v>45541.86291</v>
      </c>
      <c r="C15" s="91" t="str">
        <f>IFERROR(__xludf.DUMMYFUNCTION("""COMPUTED_VALUE"""),"Félix ")</f>
        <v>Félix </v>
      </c>
      <c r="D15" s="91" t="str">
        <f>IFERROR(__xludf.DUMMYFUNCTION("""COMPUTED_VALUE"""),"Ballestrin")</f>
        <v>Ballestrin</v>
      </c>
      <c r="E15" s="91" t="str">
        <f>IFERROR(__xludf.DUMMYFUNCTION("""COMPUTED_VALUE"""),"CABA")</f>
        <v>CABA</v>
      </c>
      <c r="F15" s="92" t="str">
        <f>IFERROR(__xludf.DUMMYFUNCTION("""COMPUTED_VALUE"""),"ARG")</f>
        <v>ARG</v>
      </c>
      <c r="G15" s="92">
        <f>IFERROR(__xludf.DUMMYFUNCTION("""COMPUTED_VALUE"""),4.786693E7)</f>
        <v>47866930</v>
      </c>
      <c r="H15" s="93">
        <f>IFERROR(__xludf.DUMMYFUNCTION("""COMPUTED_VALUE"""),39310.0)</f>
        <v>39310</v>
      </c>
      <c r="I15" s="94">
        <f>IFERROR(__xludf.DUMMYFUNCTION("""COMPUTED_VALUE"""),9.1128805595E10)</f>
        <v>91128805595</v>
      </c>
      <c r="J15" s="94">
        <f>IFERROR(__xludf.DUMMYFUNCTION("""COMPUTED_VALUE"""),9.1128805595E10)</f>
        <v>91128805595</v>
      </c>
      <c r="K15" s="94" t="str">
        <f>IFERROR(__xludf.DUMMYFUNCTION("""COMPUTED_VALUE"""),"felixballestrin2@gmail.com")</f>
        <v>felixballestrin2@gmail.com</v>
      </c>
      <c r="L15" s="94" t="str">
        <f>IFERROR(__xludf.DUMMYFUNCTION("""COMPUTED_VALUE"""),"Masculino")</f>
        <v>Masculino</v>
      </c>
      <c r="M15" s="94" t="str">
        <f>IFERROR(__xludf.DUMMYFUNCTION("""COMPUTED_VALUE"""),"CUBA")</f>
        <v>CUBA</v>
      </c>
      <c r="N15" s="94"/>
      <c r="O15" s="94">
        <f>IFERROR(__xludf.DUMMYFUNCTION("""COMPUTED_VALUE"""),420.0)</f>
        <v>420</v>
      </c>
      <c r="P15" s="94">
        <f>IFERROR(__xludf.DUMMYFUNCTION("""COMPUTED_VALUE"""),70.0)</f>
        <v>70</v>
      </c>
      <c r="Q15" s="94">
        <f>IFERROR(__xludf.DUMMYFUNCTION("""COMPUTED_VALUE"""),55345.0)</f>
        <v>55345</v>
      </c>
      <c r="R15" s="94"/>
      <c r="S15" s="94" t="str">
        <f>IFERROR(__xludf.DUMMYFUNCTION("""COMPUTED_VALUE"""),"Alejo stern")</f>
        <v>Alejo stern</v>
      </c>
      <c r="T15" s="94" t="str">
        <f>IFERROR(__xludf.DUMMYFUNCTION("""COMPUTED_VALUE"""),"Félix Ballestrin")</f>
        <v>Félix Ballestrin</v>
      </c>
      <c r="U15" s="94"/>
      <c r="V15" s="94"/>
      <c r="W15" s="94"/>
      <c r="X15" s="94"/>
      <c r="Y15" s="94" t="str">
        <f>IFERROR(__xludf.DUMMYFUNCTION("""COMPUTED_VALUE"""),"Osde ")</f>
        <v>Osde </v>
      </c>
      <c r="Z15" s="92" t="str">
        <f>IFERROR(__xludf.DUMMYFUNCTION("""COMPUTED_VALUE"""),"No")</f>
        <v>No</v>
      </c>
      <c r="AA15" s="92" t="str">
        <f>IFERROR(__xludf.DUMMYFUNCTION("""COMPUTED_VALUE"""),"Acepto")</f>
        <v>Acepto</v>
      </c>
      <c r="AB15" s="92" t="str">
        <f>IFERROR(__xludf.DUMMYFUNCTION("""COMPUTED_VALUE"""),"Terminado")</f>
        <v>Terminado</v>
      </c>
      <c r="AC15" s="94">
        <f>IFERROR(__xludf.DUMMYFUNCTION("""COMPUTED_VALUE"""),65000.0)</f>
        <v>65000</v>
      </c>
      <c r="AD15" s="94">
        <f>IFERROR(__xludf.DUMMYFUNCTION("""COMPUTED_VALUE"""),205688.0)</f>
        <v>205688</v>
      </c>
      <c r="AE15" s="94" t="str">
        <f>IFERROR(__xludf.DUMMYFUNCTION("""COMPUTED_VALUE"""),"TRF 11-09")</f>
        <v>TRF 11-09</v>
      </c>
      <c r="AF15" s="92" t="str">
        <f>IFERROR(__xludf.DUMMYFUNCTION("""COMPUTED_VALUE"""),"OK")</f>
        <v>OK</v>
      </c>
      <c r="AG15" s="94" t="str">
        <f>IFERROR(__xludf.DUMMYFUNCTION("""COMPUTED_VALUE"""),"Si")</f>
        <v>Si</v>
      </c>
    </row>
    <row r="16">
      <c r="B16" s="95">
        <f>IFERROR(__xludf.DUMMYFUNCTION("""COMPUTED_VALUE"""),45542.74855215278)</f>
        <v>45542.74855</v>
      </c>
      <c r="C16" s="91" t="str">
        <f>IFERROR(__xludf.DUMMYFUNCTION("""COMPUTED_VALUE"""),"Félix ")</f>
        <v>Félix </v>
      </c>
      <c r="D16" s="91" t="str">
        <f>IFERROR(__xludf.DUMMYFUNCTION("""COMPUTED_VALUE"""),"Bürg")</f>
        <v>Bürg</v>
      </c>
      <c r="E16" s="91" t="str">
        <f>IFERROR(__xludf.DUMMYFUNCTION("""COMPUTED_VALUE"""),"Martinez")</f>
        <v>Martinez</v>
      </c>
      <c r="F16" s="92" t="str">
        <f>IFERROR(__xludf.DUMMYFUNCTION("""COMPUTED_VALUE"""),"ARG")</f>
        <v>ARG</v>
      </c>
      <c r="G16" s="92">
        <f>IFERROR(__xludf.DUMMYFUNCTION("""COMPUTED_VALUE"""),4.9588515E7)</f>
        <v>49588515</v>
      </c>
      <c r="H16" s="93">
        <f>IFERROR(__xludf.DUMMYFUNCTION("""COMPUTED_VALUE"""),40308.0)</f>
        <v>40308</v>
      </c>
      <c r="I16" s="94">
        <f>IFERROR(__xludf.DUMMYFUNCTION("""COMPUTED_VALUE"""),1.150127302E9)</f>
        <v>1150127302</v>
      </c>
      <c r="J16" s="94">
        <f>IFERROR(__xludf.DUMMYFUNCTION("""COMPUTED_VALUE"""),1.150127302E9)</f>
        <v>1150127302</v>
      </c>
      <c r="K16" s="94" t="str">
        <f>IFERROR(__xludf.DUMMYFUNCTION("""COMPUTED_VALUE"""),"Feliiiixbuurg@gmail.com")</f>
        <v>Feliiiixbuurg@gmail.com</v>
      </c>
      <c r="L16" s="94" t="str">
        <f>IFERROR(__xludf.DUMMYFUNCTION("""COMPUTED_VALUE"""),"Masculino")</f>
        <v>Masculino</v>
      </c>
      <c r="M16" s="94" t="str">
        <f>IFERROR(__xludf.DUMMYFUNCTION("""COMPUTED_VALUE"""),"CPNLB")</f>
        <v>CPNLB</v>
      </c>
      <c r="N16" s="94"/>
      <c r="O16" s="94">
        <f>IFERROR(__xludf.DUMMYFUNCTION("""COMPUTED_VALUE"""),420.0)</f>
        <v>420</v>
      </c>
      <c r="P16" s="94">
        <f>IFERROR(__xludf.DUMMYFUNCTION("""COMPUTED_VALUE"""),72.0)</f>
        <v>72</v>
      </c>
      <c r="Q16" s="94">
        <f>IFERROR(__xludf.DUMMYFUNCTION("""COMPUTED_VALUE"""),55348.0)</f>
        <v>55348</v>
      </c>
      <c r="R16" s="94"/>
      <c r="S16" s="94" t="str">
        <f>IFERROR(__xludf.DUMMYFUNCTION("""COMPUTED_VALUE"""),"Félix Bürg")</f>
        <v>Félix Bürg</v>
      </c>
      <c r="T16" s="94" t="str">
        <f>IFERROR(__xludf.DUMMYFUNCTION("""COMPUTED_VALUE"""),"Matias Fernandez ")</f>
        <v>Matias Fernandez </v>
      </c>
      <c r="U16" s="94"/>
      <c r="V16" s="94"/>
      <c r="W16" s="94"/>
      <c r="X16" s="94"/>
      <c r="Y16" s="94" t="str">
        <f>IFERROR(__xludf.DUMMYFUNCTION("""COMPUTED_VALUE"""),"OSDE 60858218104")</f>
        <v>OSDE 60858218104</v>
      </c>
      <c r="Z16" s="92" t="str">
        <f>IFERROR(__xludf.DUMMYFUNCTION("""COMPUTED_VALUE"""),"No")</f>
        <v>No</v>
      </c>
      <c r="AA16" s="92" t="str">
        <f>IFERROR(__xludf.DUMMYFUNCTION("""COMPUTED_VALUE"""),"Acepto")</f>
        <v>Acepto</v>
      </c>
      <c r="AB16" s="92" t="str">
        <f>IFERROR(__xludf.DUMMYFUNCTION("""COMPUTED_VALUE"""),"Pendiente")</f>
        <v>Pendiente</v>
      </c>
      <c r="AC16" s="94"/>
      <c r="AD16" s="94"/>
      <c r="AE16" s="94"/>
      <c r="AF16" s="92" t="str">
        <f>IFERROR(__xludf.DUMMYFUNCTION("""COMPUTED_VALUE"""),"OK")</f>
        <v>OK</v>
      </c>
      <c r="AG16" s="94"/>
    </row>
    <row r="17">
      <c r="B17" s="95">
        <f>IFERROR(__xludf.DUMMYFUNCTION("""COMPUTED_VALUE"""),45542.85817928241)</f>
        <v>45542.85818</v>
      </c>
      <c r="C17" s="91" t="str">
        <f>IFERROR(__xludf.DUMMYFUNCTION("""COMPUTED_VALUE"""),"Joaquin ")</f>
        <v>Joaquin </v>
      </c>
      <c r="D17" s="91" t="str">
        <f>IFERROR(__xludf.DUMMYFUNCTION("""COMPUTED_VALUE"""),"Lopez Tilli ")</f>
        <v>Lopez Tilli </v>
      </c>
      <c r="E17" s="91" t="str">
        <f>IFERROR(__xludf.DUMMYFUNCTION("""COMPUTED_VALUE"""),"CABA")</f>
        <v>CABA</v>
      </c>
      <c r="F17" s="92" t="str">
        <f>IFERROR(__xludf.DUMMYFUNCTION("""COMPUTED_VALUE"""),"ARG")</f>
        <v>ARG</v>
      </c>
      <c r="G17" s="92">
        <f>IFERROR(__xludf.DUMMYFUNCTION("""COMPUTED_VALUE"""),4.8860728E7)</f>
        <v>48860728</v>
      </c>
      <c r="H17" s="93">
        <f>IFERROR(__xludf.DUMMYFUNCTION("""COMPUTED_VALUE"""),39675.0)</f>
        <v>39675</v>
      </c>
      <c r="I17" s="94" t="str">
        <f>IFERROR(__xludf.DUMMYFUNCTION("""COMPUTED_VALUE"""),"11 5501 5252")</f>
        <v>11 5501 5252</v>
      </c>
      <c r="J17" s="94" t="str">
        <f>IFERROR(__xludf.DUMMYFUNCTION("""COMPUTED_VALUE"""),"11 5953 8203")</f>
        <v>11 5953 8203</v>
      </c>
      <c r="K17" s="94" t="str">
        <f>IFERROR(__xludf.DUMMYFUNCTION("""COMPUTED_VALUE"""),"jmlopeztilli@gmail.com")</f>
        <v>jmlopeztilli@gmail.com</v>
      </c>
      <c r="L17" s="94" t="str">
        <f>IFERROR(__xludf.DUMMYFUNCTION("""COMPUTED_VALUE"""),"Masculino")</f>
        <v>Masculino</v>
      </c>
      <c r="M17" s="94" t="str">
        <f>IFERROR(__xludf.DUMMYFUNCTION("""COMPUTED_VALUE"""),"CUBA")</f>
        <v>CUBA</v>
      </c>
      <c r="N17" s="94">
        <f>IFERROR(__xludf.DUMMYFUNCTION("""COMPUTED_VALUE"""),420.0)</f>
        <v>420</v>
      </c>
      <c r="O17" s="94">
        <f>IFERROR(__xludf.DUMMYFUNCTION("""COMPUTED_VALUE"""),420.0)</f>
        <v>420</v>
      </c>
      <c r="P17" s="94">
        <f>IFERROR(__xludf.DUMMYFUNCTION("""COMPUTED_VALUE"""),40.0)</f>
        <v>40</v>
      </c>
      <c r="Q17" s="94">
        <f>IFERROR(__xludf.DUMMYFUNCTION("""COMPUTED_VALUE"""),57445.0)</f>
        <v>57445</v>
      </c>
      <c r="R17" s="94"/>
      <c r="S17" s="94" t="str">
        <f>IFERROR(__xludf.DUMMYFUNCTION("""COMPUTED_VALUE"""),"Claire Lopez Tilli ")</f>
        <v>Claire Lopez Tilli </v>
      </c>
      <c r="T17" s="94" t="str">
        <f>IFERROR(__xludf.DUMMYFUNCTION("""COMPUTED_VALUE"""),"Joaquin Lopez Tilli ")</f>
        <v>Joaquin Lopez Tilli </v>
      </c>
      <c r="U17" s="94"/>
      <c r="V17" s="94"/>
      <c r="W17" s="94"/>
      <c r="X17" s="94"/>
      <c r="Y17" s="94" t="str">
        <f>IFERROR(__xludf.DUMMYFUNCTION("""COMPUTED_VALUE"""),"OSDE 310")</f>
        <v>OSDE 310</v>
      </c>
      <c r="Z17" s="92" t="str">
        <f>IFERROR(__xludf.DUMMYFUNCTION("""COMPUTED_VALUE"""),"No")</f>
        <v>No</v>
      </c>
      <c r="AA17" s="92" t="str">
        <f>IFERROR(__xludf.DUMMYFUNCTION("""COMPUTED_VALUE"""),"Acepto")</f>
        <v>Acepto</v>
      </c>
      <c r="AB17" s="92" t="str">
        <f>IFERROR(__xludf.DUMMYFUNCTION("""COMPUTED_VALUE"""),"Terminado")</f>
        <v>Terminado</v>
      </c>
      <c r="AC17" s="94">
        <f>IFERROR(__xludf.DUMMYFUNCTION("""COMPUTED_VALUE"""),65000.0)</f>
        <v>65000</v>
      </c>
      <c r="AD17" s="94">
        <f>IFERROR(__xludf.DUMMYFUNCTION("""COMPUTED_VALUE"""),205632.0)</f>
        <v>205632</v>
      </c>
      <c r="AE17" s="94" t="str">
        <f>IFERROR(__xludf.DUMMYFUNCTION("""COMPUTED_VALUE"""),"TRF 09-09")</f>
        <v>TRF 09-09</v>
      </c>
      <c r="AF17" s="92" t="str">
        <f>IFERROR(__xludf.DUMMYFUNCTION("""COMPUTED_VALUE"""),"OK")</f>
        <v>OK</v>
      </c>
      <c r="AG17" s="94" t="str">
        <f>IFERROR(__xludf.DUMMYFUNCTION("""COMPUTED_VALUE"""),"Si")</f>
        <v>Si</v>
      </c>
    </row>
    <row r="18">
      <c r="B18" s="90">
        <f>IFERROR(__xludf.DUMMYFUNCTION("""COMPUTED_VALUE"""),45543.72844057871)</f>
        <v>45543.72844</v>
      </c>
      <c r="C18" s="91" t="str">
        <f>IFERROR(__xludf.DUMMYFUNCTION("""COMPUTED_VALUE"""),"Valentino ")</f>
        <v>Valentino </v>
      </c>
      <c r="D18" s="91" t="str">
        <f>IFERROR(__xludf.DUMMYFUNCTION("""COMPUTED_VALUE"""),"Lannia ")</f>
        <v>Lannia </v>
      </c>
      <c r="E18" s="91" t="str">
        <f>IFERROR(__xludf.DUMMYFUNCTION("""COMPUTED_VALUE"""),"Lanús ")</f>
        <v>Lanús </v>
      </c>
      <c r="F18" s="92" t="str">
        <f>IFERROR(__xludf.DUMMYFUNCTION("""COMPUTED_VALUE"""),"ARG")</f>
        <v>ARG</v>
      </c>
      <c r="G18" s="92">
        <f>IFERROR(__xludf.DUMMYFUNCTION("""COMPUTED_VALUE"""),4.6917994E7)</f>
        <v>46917994</v>
      </c>
      <c r="H18" s="93">
        <f>IFERROR(__xludf.DUMMYFUNCTION("""COMPUTED_VALUE"""),38614.0)</f>
        <v>38614</v>
      </c>
      <c r="I18" s="94">
        <f>IFERROR(__xludf.DUMMYFUNCTION("""COMPUTED_VALUE"""),1.136587503E9)</f>
        <v>1136587503</v>
      </c>
      <c r="J18" s="94">
        <f>IFERROR(__xludf.DUMMYFUNCTION("""COMPUTED_VALUE"""),1.136587503E9)</f>
        <v>1136587503</v>
      </c>
      <c r="K18" s="94" t="str">
        <f>IFERROR(__xludf.DUMMYFUNCTION("""COMPUTED_VALUE"""),"valentinolannia@gmail.com")</f>
        <v>valentinolannia@gmail.com</v>
      </c>
      <c r="L18" s="94" t="str">
        <f>IFERROR(__xludf.DUMMYFUNCTION("""COMPUTED_VALUE"""),"Masculino")</f>
        <v>Masculino</v>
      </c>
      <c r="M18" s="94" t="str">
        <f>IFERROR(__xludf.DUMMYFUNCTION("""COMPUTED_VALUE"""),"CVB")</f>
        <v>CVB</v>
      </c>
      <c r="N18" s="94"/>
      <c r="O18" s="94">
        <f>IFERROR(__xludf.DUMMYFUNCTION("""COMPUTED_VALUE"""),420.0)</f>
        <v>420</v>
      </c>
      <c r="P18" s="94">
        <f>IFERROR(__xludf.DUMMYFUNCTION("""COMPUTED_VALUE"""),22.0)</f>
        <v>22</v>
      </c>
      <c r="Q18" s="94">
        <f>IFERROR(__xludf.DUMMYFUNCTION("""COMPUTED_VALUE"""),57291.0)</f>
        <v>57291</v>
      </c>
      <c r="R18" s="94"/>
      <c r="S18" s="94" t="str">
        <f>IFERROR(__xludf.DUMMYFUNCTION("""COMPUTED_VALUE"""),"Agustín Amblard")</f>
        <v>Agustín Amblard</v>
      </c>
      <c r="T18" s="94"/>
      <c r="U18" s="94"/>
      <c r="V18" s="94"/>
      <c r="W18" s="94"/>
      <c r="X18" s="94"/>
      <c r="Y18" s="94" t="str">
        <f>IFERROR(__xludf.DUMMYFUNCTION("""COMPUTED_VALUE"""),"800006 3400466 03 0036")</f>
        <v>800006 3400466 03 0036</v>
      </c>
      <c r="Z18" s="92" t="str">
        <f>IFERROR(__xludf.DUMMYFUNCTION("""COMPUTED_VALUE"""),"No")</f>
        <v>No</v>
      </c>
      <c r="AA18" s="92" t="str">
        <f>IFERROR(__xludf.DUMMYFUNCTION("""COMPUTED_VALUE"""),"Acepto")</f>
        <v>Acepto</v>
      </c>
      <c r="AB18" s="92" t="str">
        <f>IFERROR(__xludf.DUMMYFUNCTION("""COMPUTED_VALUE"""),"Pendiente")</f>
        <v>Pendiente</v>
      </c>
      <c r="AC18" s="94"/>
      <c r="AD18" s="94"/>
      <c r="AE18" s="94"/>
      <c r="AF18" s="92" t="str">
        <f>IFERROR(__xludf.DUMMYFUNCTION("""COMPUTED_VALUE"""),"No Corresp")</f>
        <v>No Corresp</v>
      </c>
      <c r="AG18" s="94"/>
    </row>
    <row r="19">
      <c r="B19" s="90">
        <f>IFERROR(__xludf.DUMMYFUNCTION("""COMPUTED_VALUE"""),45543.79086057871)</f>
        <v>45543.79086</v>
      </c>
      <c r="C19" s="91" t="str">
        <f>IFERROR(__xludf.DUMMYFUNCTION("""COMPUTED_VALUE"""),"Ana")</f>
        <v>Ana</v>
      </c>
      <c r="D19" s="91" t="str">
        <f>IFERROR(__xludf.DUMMYFUNCTION("""COMPUTED_VALUE"""),"Constantin")</f>
        <v>Constantin</v>
      </c>
      <c r="E19" s="91" t="str">
        <f>IFERROR(__xludf.DUMMYFUNCTION("""COMPUTED_VALUE"""),"CABA")</f>
        <v>CABA</v>
      </c>
      <c r="F19" s="92" t="str">
        <f>IFERROR(__xludf.DUMMYFUNCTION("""COMPUTED_VALUE"""),"ARG")</f>
        <v>ARG</v>
      </c>
      <c r="G19" s="92">
        <f>IFERROR(__xludf.DUMMYFUNCTION("""COMPUTED_VALUE"""),4.8715917E7)</f>
        <v>48715917</v>
      </c>
      <c r="H19" s="93">
        <f>IFERROR(__xludf.DUMMYFUNCTION("""COMPUTED_VALUE"""),39607.0)</f>
        <v>39607</v>
      </c>
      <c r="I19" s="94">
        <f>IFERROR(__xludf.DUMMYFUNCTION("""COMPUTED_VALUE"""),1.164228227E9)</f>
        <v>1164228227</v>
      </c>
      <c r="J19" s="94"/>
      <c r="K19" s="94" t="str">
        <f>IFERROR(__xludf.DUMMYFUNCTION("""COMPUTED_VALUE"""),"anitaconstantin0608@gmail.com")</f>
        <v>anitaconstantin0608@gmail.com</v>
      </c>
      <c r="L19" s="94" t="str">
        <f>IFERROR(__xludf.DUMMYFUNCTION("""COMPUTED_VALUE"""),"Femenino")</f>
        <v>Femenino</v>
      </c>
      <c r="M19" s="94" t="str">
        <f>IFERROR(__xludf.DUMMYFUNCTION("""COMPUTED_VALUE"""),"CUBA")</f>
        <v>CUBA</v>
      </c>
      <c r="N19" s="94" t="str">
        <f>IFERROR(__xludf.DUMMYFUNCTION("""COMPUTED_VALUE"""),"Femenino")</f>
        <v>Femenino</v>
      </c>
      <c r="O19" s="94">
        <f>IFERROR(__xludf.DUMMYFUNCTION("""COMPUTED_VALUE"""),420.0)</f>
        <v>420</v>
      </c>
      <c r="P19" s="94" t="str">
        <f>IFERROR(__xludf.DUMMYFUNCTION("""COMPUTED_VALUE"""),"08")</f>
        <v>08</v>
      </c>
      <c r="Q19" s="94">
        <f>IFERROR(__xludf.DUMMYFUNCTION("""COMPUTED_VALUE"""),57444.0)</f>
        <v>57444</v>
      </c>
      <c r="R19" s="94"/>
      <c r="S19" s="94" t="str">
        <f>IFERROR(__xludf.DUMMYFUNCTION("""COMPUTED_VALUE"""),"Mia Lopez Oriolo")</f>
        <v>Mia Lopez Oriolo</v>
      </c>
      <c r="T19" s="94"/>
      <c r="U19" s="94"/>
      <c r="V19" s="94"/>
      <c r="W19" s="94"/>
      <c r="X19" s="94"/>
      <c r="Y19" s="94"/>
      <c r="Z19" s="92" t="str">
        <f>IFERROR(__xludf.DUMMYFUNCTION("""COMPUTED_VALUE"""),"No")</f>
        <v>No</v>
      </c>
      <c r="AA19" s="92" t="str">
        <f>IFERROR(__xludf.DUMMYFUNCTION("""COMPUTED_VALUE"""),"Acepto")</f>
        <v>Acepto</v>
      </c>
      <c r="AB19" s="92" t="str">
        <f>IFERROR(__xludf.DUMMYFUNCTION("""COMPUTED_VALUE"""),"Pendiente")</f>
        <v>Pendiente</v>
      </c>
      <c r="AC19" s="94"/>
      <c r="AD19" s="94"/>
      <c r="AE19" s="94"/>
      <c r="AF19" s="92" t="str">
        <f>IFERROR(__xludf.DUMMYFUNCTION("""COMPUTED_VALUE"""),"OK")</f>
        <v>OK</v>
      </c>
      <c r="AG19" s="94" t="str">
        <f>IFERROR(__xludf.DUMMYFUNCTION("""COMPUTED_VALUE"""),"Si")</f>
        <v>Si</v>
      </c>
    </row>
    <row r="20">
      <c r="B20" s="90">
        <f>IFERROR(__xludf.DUMMYFUNCTION("""COMPUTED_VALUE"""),45544.59006591435)</f>
        <v>45544.59007</v>
      </c>
      <c r="C20" s="91" t="str">
        <f>IFERROR(__xludf.DUMMYFUNCTION("""COMPUTED_VALUE"""),"Juan")</f>
        <v>Juan</v>
      </c>
      <c r="D20" s="91" t="str">
        <f>IFERROR(__xludf.DUMMYFUNCTION("""COMPUTED_VALUE"""),"Carmuega")</f>
        <v>Carmuega</v>
      </c>
      <c r="E20" s="91" t="str">
        <f>IFERROR(__xludf.DUMMYFUNCTION("""COMPUTED_VALUE"""),"Del Viso")</f>
        <v>Del Viso</v>
      </c>
      <c r="F20" s="92" t="str">
        <f>IFERROR(__xludf.DUMMYFUNCTION("""COMPUTED_VALUE"""),"ARG")</f>
        <v>ARG</v>
      </c>
      <c r="G20" s="92">
        <f>IFERROR(__xludf.DUMMYFUNCTION("""COMPUTED_VALUE"""),4.8044213E7)</f>
        <v>48044213</v>
      </c>
      <c r="H20" s="93">
        <f>IFERROR(__xludf.DUMMYFUNCTION("""COMPUTED_VALUE"""),39317.0)</f>
        <v>39317</v>
      </c>
      <c r="I20" s="94">
        <f>IFERROR(__xludf.DUMMYFUNCTION("""COMPUTED_VALUE"""),1.151493929E9)</f>
        <v>1151493929</v>
      </c>
      <c r="J20" s="94">
        <f>IFERROR(__xludf.DUMMYFUNCTION("""COMPUTED_VALUE"""),1.14534675E9)</f>
        <v>1145346750</v>
      </c>
      <c r="K20" s="94" t="str">
        <f>IFERROR(__xludf.DUMMYFUNCTION("""COMPUTED_VALUE"""),"juanncarmuega@gmail.com")</f>
        <v>juanncarmuega@gmail.com</v>
      </c>
      <c r="L20" s="94" t="str">
        <f>IFERROR(__xludf.DUMMYFUNCTION("""COMPUTED_VALUE"""),"Masculino")</f>
        <v>Masculino</v>
      </c>
      <c r="M20" s="94" t="str">
        <f>IFERROR(__xludf.DUMMYFUNCTION("""COMPUTED_VALUE"""),"CVB")</f>
        <v>CVB</v>
      </c>
      <c r="N20" s="94"/>
      <c r="O20" s="94">
        <f>IFERROR(__xludf.DUMMYFUNCTION("""COMPUTED_VALUE"""),420.0)</f>
        <v>420</v>
      </c>
      <c r="P20" s="94">
        <f>IFERROR(__xludf.DUMMYFUNCTION("""COMPUTED_VALUE"""),12.0)</f>
        <v>12</v>
      </c>
      <c r="Q20" s="94">
        <f>IFERROR(__xludf.DUMMYFUNCTION("""COMPUTED_VALUE"""),57442.0)</f>
        <v>57442</v>
      </c>
      <c r="R20" s="94" t="str">
        <f>IFERROR(__xludf.DUMMYFUNCTION("""COMPUTED_VALUE"""),"SUPERSALCHICHA")</f>
        <v>SUPERSALCHICHA</v>
      </c>
      <c r="S20" s="94" t="str">
        <f>IFERROR(__xludf.DUMMYFUNCTION("""COMPUTED_VALUE"""),"Lautaro Larralde")</f>
        <v>Lautaro Larralde</v>
      </c>
      <c r="T20" s="94"/>
      <c r="U20" s="94"/>
      <c r="V20" s="94"/>
      <c r="W20" s="94"/>
      <c r="X20" s="94"/>
      <c r="Y20" s="94" t="str">
        <f>IFERROR(__xludf.DUMMYFUNCTION("""COMPUTED_VALUE"""),"OSDE")</f>
        <v>OSDE</v>
      </c>
      <c r="Z20" s="92" t="str">
        <f>IFERROR(__xludf.DUMMYFUNCTION("""COMPUTED_VALUE"""),"No")</f>
        <v>No</v>
      </c>
      <c r="AA20" s="92" t="str">
        <f>IFERROR(__xludf.DUMMYFUNCTION("""COMPUTED_VALUE"""),"Acepto")</f>
        <v>Acepto</v>
      </c>
      <c r="AB20" s="92" t="str">
        <f>IFERROR(__xludf.DUMMYFUNCTION("""COMPUTED_VALUE"""),"Pendiente")</f>
        <v>Pendiente</v>
      </c>
      <c r="AC20" s="94"/>
      <c r="AD20" s="94"/>
      <c r="AE20" s="94"/>
      <c r="AF20" s="92" t="str">
        <f>IFERROR(__xludf.DUMMYFUNCTION("""COMPUTED_VALUE"""),"OK")</f>
        <v>OK</v>
      </c>
      <c r="AG20" s="94"/>
    </row>
    <row r="21">
      <c r="B21" s="96">
        <f>IFERROR(__xludf.DUMMYFUNCTION("""COMPUTED_VALUE"""),45545.34916708333)</f>
        <v>45545.34917</v>
      </c>
      <c r="C21" s="91" t="str">
        <f>IFERROR(__xludf.DUMMYFUNCTION("""COMPUTED_VALUE"""),"Federico ")</f>
        <v>Federico </v>
      </c>
      <c r="D21" s="91" t="str">
        <f>IFERROR(__xludf.DUMMYFUNCTION("""COMPUTED_VALUE"""),"Warburg ")</f>
        <v>Warburg </v>
      </c>
      <c r="E21" s="91" t="str">
        <f>IFERROR(__xludf.DUMMYFUNCTION("""COMPUTED_VALUE"""),"San Fernando, Buenos aires")</f>
        <v>San Fernando, Buenos aires</v>
      </c>
      <c r="F21" s="92" t="str">
        <f>IFERROR(__xludf.DUMMYFUNCTION("""COMPUTED_VALUE"""),"ARG")</f>
        <v>ARG</v>
      </c>
      <c r="G21" s="92">
        <f>IFERROR(__xludf.DUMMYFUNCTION("""COMPUTED_VALUE"""),4.6416265E7)</f>
        <v>46416265</v>
      </c>
      <c r="H21" s="93">
        <f>IFERROR(__xludf.DUMMYFUNCTION("""COMPUTED_VALUE"""),38364.0)</f>
        <v>38364</v>
      </c>
      <c r="I21" s="94">
        <f>IFERROR(__xludf.DUMMYFUNCTION("""COMPUTED_VALUE"""),1.15592552E9)</f>
        <v>1155925520</v>
      </c>
      <c r="J21" s="94"/>
      <c r="K21" s="94" t="str">
        <f>IFERROR(__xludf.DUMMYFUNCTION("""COMPUTED_VALUE"""),"fedewarburg@gmail.com")</f>
        <v>fedewarburg@gmail.com</v>
      </c>
      <c r="L21" s="94" t="str">
        <f>IFERROR(__xludf.DUMMYFUNCTION("""COMPUTED_VALUE"""),"Masculino")</f>
        <v>Masculino</v>
      </c>
      <c r="M21" s="94" t="str">
        <f>IFERROR(__xludf.DUMMYFUNCTION("""COMPUTED_VALUE"""),"CNSI-CPNLB")</f>
        <v>CNSI-CPNLB</v>
      </c>
      <c r="N21" s="94"/>
      <c r="O21" s="94">
        <f>IFERROR(__xludf.DUMMYFUNCTION("""COMPUTED_VALUE"""),420.0)</f>
        <v>420</v>
      </c>
      <c r="P21" s="94" t="str">
        <f>IFERROR(__xludf.DUMMYFUNCTION("""COMPUTED_VALUE"""),"01")</f>
        <v>01</v>
      </c>
      <c r="Q21" s="94">
        <f>IFERROR(__xludf.DUMMYFUNCTION("""COMPUTED_VALUE"""),57290.0)</f>
        <v>57290</v>
      </c>
      <c r="R21" s="94"/>
      <c r="S21" s="94" t="str">
        <f>IFERROR(__xludf.DUMMYFUNCTION("""COMPUTED_VALUE"""),"Gaspar Bürg ")</f>
        <v>Gaspar Bürg </v>
      </c>
      <c r="T21" s="94"/>
      <c r="U21" s="94"/>
      <c r="V21" s="94"/>
      <c r="W21" s="94"/>
      <c r="X21" s="94"/>
      <c r="Y21" s="94"/>
      <c r="Z21" s="92" t="str">
        <f>IFERROR(__xludf.DUMMYFUNCTION("""COMPUTED_VALUE"""),"No")</f>
        <v>No</v>
      </c>
      <c r="AA21" s="92" t="str">
        <f>IFERROR(__xludf.DUMMYFUNCTION("""COMPUTED_VALUE"""),"Acepto")</f>
        <v>Acepto</v>
      </c>
      <c r="AB21" s="92" t="str">
        <f>IFERROR(__xludf.DUMMYFUNCTION("""COMPUTED_VALUE"""),"Terminado")</f>
        <v>Terminado</v>
      </c>
      <c r="AC21" s="94">
        <f>IFERROR(__xludf.DUMMYFUNCTION("""COMPUTED_VALUE"""),65000.0)</f>
        <v>65000</v>
      </c>
      <c r="AD21" s="94">
        <f>IFERROR(__xludf.DUMMYFUNCTION("""COMPUTED_VALUE"""),205653.0)</f>
        <v>205653</v>
      </c>
      <c r="AE21" s="94" t="str">
        <f>IFERROR(__xludf.DUMMYFUNCTION("""COMPUTED_VALUE"""),"TRF 10-09")</f>
        <v>TRF 10-09</v>
      </c>
      <c r="AF21" s="92" t="str">
        <f>IFERROR(__xludf.DUMMYFUNCTION("""COMPUTED_VALUE"""),"No Corresp")</f>
        <v>No Corresp</v>
      </c>
      <c r="AG21" s="94" t="str">
        <f>IFERROR(__xludf.DUMMYFUNCTION("""COMPUTED_VALUE"""),"Si")</f>
        <v>Si</v>
      </c>
    </row>
    <row r="22">
      <c r="B22" s="96">
        <f>IFERROR(__xludf.DUMMYFUNCTION("""COMPUTED_VALUE"""),45545.89691753472)</f>
        <v>45545.89692</v>
      </c>
      <c r="C22" s="91" t="str">
        <f>IFERROR(__xludf.DUMMYFUNCTION("""COMPUTED_VALUE"""),"Valentina")</f>
        <v>Valentina</v>
      </c>
      <c r="D22" s="91" t="str">
        <f>IFERROR(__xludf.DUMMYFUNCTION("""COMPUTED_VALUE"""),"Martini")</f>
        <v>Martini</v>
      </c>
      <c r="E22" s="91" t="str">
        <f>IFERROR(__xludf.DUMMYFUNCTION("""COMPUTED_VALUE"""),"Caba")</f>
        <v>Caba</v>
      </c>
      <c r="F22" s="92" t="str">
        <f>IFERROR(__xludf.DUMMYFUNCTION("""COMPUTED_VALUE"""),"ARG")</f>
        <v>ARG</v>
      </c>
      <c r="G22" s="92">
        <f>IFERROR(__xludf.DUMMYFUNCTION("""COMPUTED_VALUE"""),4.7350258E7)</f>
        <v>47350258</v>
      </c>
      <c r="H22" s="93">
        <f>IFERROR(__xludf.DUMMYFUNCTION("""COMPUTED_VALUE"""),38876.0)</f>
        <v>38876</v>
      </c>
      <c r="I22" s="94">
        <f>IFERROR(__xludf.DUMMYFUNCTION("""COMPUTED_VALUE"""),1.141471909E9)</f>
        <v>1141471909</v>
      </c>
      <c r="J22" s="94">
        <f>IFERROR(__xludf.DUMMYFUNCTION("""COMPUTED_VALUE"""),1.141471909E9)</f>
        <v>1141471909</v>
      </c>
      <c r="K22" s="94" t="str">
        <f>IFERROR(__xludf.DUMMYFUNCTION("""COMPUTED_VALUE"""),"lumartinilo@gmail.com")</f>
        <v>lumartinilo@gmail.com</v>
      </c>
      <c r="L22" s="94" t="str">
        <f>IFERROR(__xludf.DUMMYFUNCTION("""COMPUTED_VALUE"""),"Femenino")</f>
        <v>Femenino</v>
      </c>
      <c r="M22" s="94" t="str">
        <f>IFERROR(__xludf.DUMMYFUNCTION("""COMPUTED_VALUE"""),"Cuba")</f>
        <v>Cuba</v>
      </c>
      <c r="N22" s="94" t="str">
        <f>IFERROR(__xludf.DUMMYFUNCTION("""COMPUTED_VALUE"""),"Femenino")</f>
        <v>Femenino</v>
      </c>
      <c r="O22" s="94">
        <f>IFERROR(__xludf.DUMMYFUNCTION("""COMPUTED_VALUE"""),420.0)</f>
        <v>420</v>
      </c>
      <c r="P22" s="94">
        <f>IFERROR(__xludf.DUMMYFUNCTION("""COMPUTED_VALUE"""),77.0)</f>
        <v>77</v>
      </c>
      <c r="Q22" s="94">
        <f>IFERROR(__xludf.DUMMYFUNCTION("""COMPUTED_VALUE"""),56303.0)</f>
        <v>56303</v>
      </c>
      <c r="R22" s="94"/>
      <c r="S22" s="94" t="str">
        <f>IFERROR(__xludf.DUMMYFUNCTION("""COMPUTED_VALUE"""),"Eugenia Méndez Barale ")</f>
        <v>Eugenia Méndez Barale </v>
      </c>
      <c r="T22" s="94"/>
      <c r="U22" s="94"/>
      <c r="V22" s="94"/>
      <c r="W22" s="94"/>
      <c r="X22" s="94"/>
      <c r="Y22" s="94" t="str">
        <f>IFERROR(__xludf.DUMMYFUNCTION("""COMPUTED_VALUE"""),"Osde 310 60744754004 ")</f>
        <v>Osde 310 60744754004 </v>
      </c>
      <c r="Z22" s="92" t="str">
        <f>IFERROR(__xludf.DUMMYFUNCTION("""COMPUTED_VALUE"""),"No")</f>
        <v>No</v>
      </c>
      <c r="AA22" s="92" t="str">
        <f>IFERROR(__xludf.DUMMYFUNCTION("""COMPUTED_VALUE"""),"Acepto")</f>
        <v>Acepto</v>
      </c>
      <c r="AB22" s="92" t="str">
        <f>IFERROR(__xludf.DUMMYFUNCTION("""COMPUTED_VALUE"""),"Terminado")</f>
        <v>Terminado</v>
      </c>
      <c r="AC22" s="94">
        <f>IFERROR(__xludf.DUMMYFUNCTION("""COMPUTED_VALUE"""),65000.0)</f>
        <v>65000</v>
      </c>
      <c r="AD22" s="94">
        <f>IFERROR(__xludf.DUMMYFUNCTION("""COMPUTED_VALUE"""),205661.0)</f>
        <v>205661</v>
      </c>
      <c r="AE22" s="94" t="str">
        <f>IFERROR(__xludf.DUMMYFUNCTION("""COMPUTED_VALUE"""),"TRF 10-09")</f>
        <v>TRF 10-09</v>
      </c>
      <c r="AF22" s="92" t="str">
        <f>IFERROR(__xludf.DUMMYFUNCTION("""COMPUTED_VALUE"""),"No Corresp")</f>
        <v>No Corresp</v>
      </c>
      <c r="AG22" s="94"/>
    </row>
    <row r="23">
      <c r="B23" s="96">
        <f>IFERROR(__xludf.DUMMYFUNCTION("""COMPUTED_VALUE"""),45545.97805481481)</f>
        <v>45545.97805</v>
      </c>
      <c r="C23" s="91" t="str">
        <f>IFERROR(__xludf.DUMMYFUNCTION("""COMPUTED_VALUE"""),"Andres")</f>
        <v>Andres</v>
      </c>
      <c r="D23" s="91" t="str">
        <f>IFERROR(__xludf.DUMMYFUNCTION("""COMPUTED_VALUE"""),"Lopez Oriolo")</f>
        <v>Lopez Oriolo</v>
      </c>
      <c r="E23" s="91" t="str">
        <f>IFERROR(__xludf.DUMMYFUNCTION("""COMPUTED_VALUE"""),"CABA")</f>
        <v>CABA</v>
      </c>
      <c r="F23" s="92" t="str">
        <f>IFERROR(__xludf.DUMMYFUNCTION("""COMPUTED_VALUE"""),"ARG")</f>
        <v>ARG</v>
      </c>
      <c r="G23" s="92">
        <f>IFERROR(__xludf.DUMMYFUNCTION("""COMPUTED_VALUE"""),4.7801314E7)</f>
        <v>47801314</v>
      </c>
      <c r="H23" s="93">
        <f>IFERROR(__xludf.DUMMYFUNCTION("""COMPUTED_VALUE"""),39105.0)</f>
        <v>39105</v>
      </c>
      <c r="I23" s="94">
        <f>IFERROR(__xludf.DUMMYFUNCTION("""COMPUTED_VALUE"""),1.132358538E9)</f>
        <v>1132358538</v>
      </c>
      <c r="J23" s="94">
        <f>IFERROR(__xludf.DUMMYFUNCTION("""COMPUTED_VALUE"""),1.166910296E9)</f>
        <v>1166910296</v>
      </c>
      <c r="K23" s="94" t="str">
        <f>IFERROR(__xludf.DUMMYFUNCTION("""COMPUTED_VALUE"""),"pablolopezoriolo@gmail.com")</f>
        <v>pablolopezoriolo@gmail.com</v>
      </c>
      <c r="L23" s="94" t="str">
        <f>IFERROR(__xludf.DUMMYFUNCTION("""COMPUTED_VALUE"""),"Masculino")</f>
        <v>Masculino</v>
      </c>
      <c r="M23" s="94" t="str">
        <f>IFERROR(__xludf.DUMMYFUNCTION("""COMPUTED_VALUE"""),"CUBA")</f>
        <v>CUBA</v>
      </c>
      <c r="N23" s="94"/>
      <c r="O23" s="94">
        <f>IFERROR(__xludf.DUMMYFUNCTION("""COMPUTED_VALUE"""),420.0)</f>
        <v>420</v>
      </c>
      <c r="P23" s="94">
        <f>IFERROR(__xludf.DUMMYFUNCTION("""COMPUTED_VALUE"""),23.0)</f>
        <v>23</v>
      </c>
      <c r="Q23" s="94">
        <f>IFERROR(__xludf.DUMMYFUNCTION("""COMPUTED_VALUE"""),57297.0)</f>
        <v>57297</v>
      </c>
      <c r="R23" s="94"/>
      <c r="S23" s="94" t="str">
        <f>IFERROR(__xludf.DUMMYFUNCTION("""COMPUTED_VALUE"""),"Vito Torino")</f>
        <v>Vito Torino</v>
      </c>
      <c r="T23" s="94"/>
      <c r="U23" s="94"/>
      <c r="V23" s="94"/>
      <c r="W23" s="94"/>
      <c r="X23" s="94"/>
      <c r="Y23" s="94" t="str">
        <f>IFERROR(__xludf.DUMMYFUNCTION("""COMPUTED_VALUE"""),"OSDE")</f>
        <v>OSDE</v>
      </c>
      <c r="Z23" s="92" t="str">
        <f>IFERROR(__xludf.DUMMYFUNCTION("""COMPUTED_VALUE"""),"No")</f>
        <v>No</v>
      </c>
      <c r="AA23" s="92" t="str">
        <f>IFERROR(__xludf.DUMMYFUNCTION("""COMPUTED_VALUE"""),"Acepto")</f>
        <v>Acepto</v>
      </c>
      <c r="AB23" s="92" t="str">
        <f>IFERROR(__xludf.DUMMYFUNCTION("""COMPUTED_VALUE"""),"Terminado")</f>
        <v>Terminado</v>
      </c>
      <c r="AC23" s="94">
        <f>IFERROR(__xludf.DUMMYFUNCTION("""COMPUTED_VALUE"""),65000.0)</f>
        <v>65000</v>
      </c>
      <c r="AD23" s="94">
        <f>IFERROR(__xludf.DUMMYFUNCTION("""COMPUTED_VALUE"""),205687.0)</f>
        <v>205687</v>
      </c>
      <c r="AE23" s="94" t="str">
        <f>IFERROR(__xludf.DUMMYFUNCTION("""COMPUTED_VALUE"""),"TRF 11-09")</f>
        <v>TRF 11-09</v>
      </c>
      <c r="AF23" s="92" t="str">
        <f>IFERROR(__xludf.DUMMYFUNCTION("""COMPUTED_VALUE"""),"OK")</f>
        <v>OK</v>
      </c>
      <c r="AG23" s="94" t="str">
        <f>IFERROR(__xludf.DUMMYFUNCTION("""COMPUTED_VALUE"""),"SI")</f>
        <v>SI</v>
      </c>
    </row>
    <row r="24">
      <c r="B24" s="96">
        <f>IFERROR(__xludf.DUMMYFUNCTION("""COMPUTED_VALUE"""),45546.49622020833)</f>
        <v>45546.49622</v>
      </c>
      <c r="C24" s="91" t="str">
        <f>IFERROR(__xludf.DUMMYFUNCTION("""COMPUTED_VALUE"""),"Bautista")</f>
        <v>Bautista</v>
      </c>
      <c r="D24" s="91" t="str">
        <f>IFERROR(__xludf.DUMMYFUNCTION("""COMPUTED_VALUE"""),"Iriberri")</f>
        <v>Iriberri</v>
      </c>
      <c r="E24" s="91" t="str">
        <f>IFERROR(__xludf.DUMMYFUNCTION("""COMPUTED_VALUE"""),"Belen de escobar")</f>
        <v>Belen de escobar</v>
      </c>
      <c r="F24" s="92" t="str">
        <f>IFERROR(__xludf.DUMMYFUNCTION("""COMPUTED_VALUE"""),"ARG")</f>
        <v>ARG</v>
      </c>
      <c r="G24" s="92">
        <f>IFERROR(__xludf.DUMMYFUNCTION("""COMPUTED_VALUE"""),4.9121519E7)</f>
        <v>49121519</v>
      </c>
      <c r="H24" s="93">
        <f>IFERROR(__xludf.DUMMYFUNCTION("""COMPUTED_VALUE"""),39736.0)</f>
        <v>39736</v>
      </c>
      <c r="I24" s="94" t="str">
        <f>IFERROR(__xludf.DUMMYFUNCTION("""COMPUTED_VALUE"""),"+54 9 11 5474-3874")</f>
        <v>+54 9 11 5474-3874</v>
      </c>
      <c r="J24" s="94" t="str">
        <f>IFERROR(__xludf.DUMMYFUNCTION("""COMPUTED_VALUE"""),"+54 9 11 5474-3874")</f>
        <v>+54 9 11 5474-3874</v>
      </c>
      <c r="K24" s="94" t="str">
        <f>IFERROR(__xludf.DUMMYFUNCTION("""COMPUTED_VALUE"""),"Bautiiriberri@gmail.com")</f>
        <v>Bautiiriberri@gmail.com</v>
      </c>
      <c r="L24" s="94" t="str">
        <f>IFERROR(__xludf.DUMMYFUNCTION("""COMPUTED_VALUE"""),"Masculino")</f>
        <v>Masculino</v>
      </c>
      <c r="M24" s="94" t="str">
        <f>IFERROR(__xludf.DUMMYFUNCTION("""COMPUTED_VALUE"""),"CVB")</f>
        <v>CVB</v>
      </c>
      <c r="N24" s="94"/>
      <c r="O24" s="94">
        <f>IFERROR(__xludf.DUMMYFUNCTION("""COMPUTED_VALUE"""),420.0)</f>
        <v>420</v>
      </c>
      <c r="P24" s="94">
        <f>IFERROR(__xludf.DUMMYFUNCTION("""COMPUTED_VALUE"""),81.0)</f>
        <v>81</v>
      </c>
      <c r="Q24" s="94">
        <f>IFERROR(__xludf.DUMMYFUNCTION("""COMPUTED_VALUE"""),56307.0)</f>
        <v>56307</v>
      </c>
      <c r="R24" s="94"/>
      <c r="S24" s="94" t="str">
        <f>IFERROR(__xludf.DUMMYFUNCTION("""COMPUTED_VALUE"""),"Lucas restaino")</f>
        <v>Lucas restaino</v>
      </c>
      <c r="T24" s="94"/>
      <c r="U24" s="94"/>
      <c r="V24" s="94"/>
      <c r="W24" s="94"/>
      <c r="X24" s="94"/>
      <c r="Y24" s="94"/>
      <c r="Z24" s="92" t="str">
        <f>IFERROR(__xludf.DUMMYFUNCTION("""COMPUTED_VALUE"""),"No")</f>
        <v>No</v>
      </c>
      <c r="AA24" s="92" t="str">
        <f>IFERROR(__xludf.DUMMYFUNCTION("""COMPUTED_VALUE"""),"Acepto")</f>
        <v>Acepto</v>
      </c>
      <c r="AB24" s="92" t="str">
        <f>IFERROR(__xludf.DUMMYFUNCTION("""COMPUTED_VALUE"""),"Pendiente")</f>
        <v>Pendiente</v>
      </c>
      <c r="AC24" s="94"/>
      <c r="AD24" s="94"/>
      <c r="AE24" s="94"/>
      <c r="AF24" s="92" t="str">
        <f>IFERROR(__xludf.DUMMYFUNCTION("""COMPUTED_VALUE"""),"OK")</f>
        <v>OK</v>
      </c>
      <c r="AG24" s="94"/>
    </row>
    <row r="25">
      <c r="B25" s="96">
        <f>IFERROR(__xludf.DUMMYFUNCTION("""COMPUTED_VALUE"""),45546.49752322916)</f>
        <v>45546.49752</v>
      </c>
      <c r="C25" s="91" t="str">
        <f>IFERROR(__xludf.DUMMYFUNCTION("""COMPUTED_VALUE"""),"Matias  ")</f>
        <v>Matias  </v>
      </c>
      <c r="D25" s="91" t="str">
        <f>IFERROR(__xludf.DUMMYFUNCTION("""COMPUTED_VALUE"""),"Fernandez")</f>
        <v>Fernandez</v>
      </c>
      <c r="E25" s="91" t="str">
        <f>IFERROR(__xludf.DUMMYFUNCTION("""COMPUTED_VALUE"""),"San isidro, bs as")</f>
        <v>San isidro, bs as</v>
      </c>
      <c r="F25" s="92" t="str">
        <f>IFERROR(__xludf.DUMMYFUNCTION("""COMPUTED_VALUE"""),"ARG")</f>
        <v>ARG</v>
      </c>
      <c r="G25" s="92">
        <f>IFERROR(__xludf.DUMMYFUNCTION("""COMPUTED_VALUE"""),4.8590122E7)</f>
        <v>48590122</v>
      </c>
      <c r="H25" s="93">
        <f>IFERROR(__xludf.DUMMYFUNCTION("""COMPUTED_VALUE"""),39519.0)</f>
        <v>39519</v>
      </c>
      <c r="I25" s="94">
        <f>IFERROR(__xludf.DUMMYFUNCTION("""COMPUTED_VALUE"""),1.25083999E8)</f>
        <v>125083999</v>
      </c>
      <c r="J25" s="94">
        <f>IFERROR(__xludf.DUMMYFUNCTION("""COMPUTED_VALUE"""),1.169661972E9)</f>
        <v>1169661972</v>
      </c>
      <c r="K25" s="94" t="str">
        <f>IFERROR(__xludf.DUMMYFUNCTION("""COMPUTED_VALUE"""),"matiasnicolasfernandezgonzalez@gmail.com")</f>
        <v>matiasnicolasfernandezgonzalez@gmail.com</v>
      </c>
      <c r="L25" s="94" t="str">
        <f>IFERROR(__xludf.DUMMYFUNCTION("""COMPUTED_VALUE"""),"Masculino")</f>
        <v>Masculino</v>
      </c>
      <c r="M25" s="94" t="str">
        <f>IFERROR(__xludf.DUMMYFUNCTION("""COMPUTED_VALUE"""),"CPNLB")</f>
        <v>CPNLB</v>
      </c>
      <c r="N25" s="94"/>
      <c r="O25" s="94">
        <f>IFERROR(__xludf.DUMMYFUNCTION("""COMPUTED_VALUE"""),420.0)</f>
        <v>420</v>
      </c>
      <c r="P25" s="94">
        <f>IFERROR(__xludf.DUMMYFUNCTION("""COMPUTED_VALUE"""),72.0)</f>
        <v>72</v>
      </c>
      <c r="Q25" s="94">
        <f>IFERROR(__xludf.DUMMYFUNCTION("""COMPUTED_VALUE"""),55348.0)</f>
        <v>55348</v>
      </c>
      <c r="R25" s="94"/>
      <c r="S25" s="94" t="str">
        <f>IFERROR(__xludf.DUMMYFUNCTION("""COMPUTED_VALUE"""),"Fernandez Matias")</f>
        <v>Fernandez Matias</v>
      </c>
      <c r="T25" s="94" t="str">
        <f>IFERROR(__xludf.DUMMYFUNCTION("""COMPUTED_VALUE"""),"Felix Burg")</f>
        <v>Felix Burg</v>
      </c>
      <c r="U25" s="94"/>
      <c r="V25" s="94"/>
      <c r="W25" s="94"/>
      <c r="X25" s="94"/>
      <c r="Y25" s="94" t="str">
        <f>IFERROR(__xludf.DUMMYFUNCTION("""COMPUTED_VALUE"""),"Osde 210")</f>
        <v>Osde 210</v>
      </c>
      <c r="Z25" s="92" t="str">
        <f>IFERROR(__xludf.DUMMYFUNCTION("""COMPUTED_VALUE"""),"No")</f>
        <v>No</v>
      </c>
      <c r="AA25" s="92" t="str">
        <f>IFERROR(__xludf.DUMMYFUNCTION("""COMPUTED_VALUE"""),"Acepto")</f>
        <v>Acepto</v>
      </c>
      <c r="AB25" s="92" t="str">
        <f>IFERROR(__xludf.DUMMYFUNCTION("""COMPUTED_VALUE"""),"Pendiente")</f>
        <v>Pendiente</v>
      </c>
      <c r="AC25" s="94"/>
      <c r="AD25" s="94"/>
      <c r="AE25" s="94"/>
      <c r="AF25" s="94" t="str">
        <f>IFERROR(__xludf.DUMMYFUNCTION("""COMPUTED_VALUE"""),"OK")</f>
        <v>OK</v>
      </c>
      <c r="AG25" s="94"/>
    </row>
    <row r="26">
      <c r="B26" s="90">
        <f>IFERROR(__xludf.DUMMYFUNCTION("""COMPUTED_VALUE"""),45546.66283450232)</f>
        <v>45546.66283</v>
      </c>
      <c r="C26" s="94" t="str">
        <f>IFERROR(__xludf.DUMMYFUNCTION("""COMPUTED_VALUE"""),"Lorna")</f>
        <v>Lorna</v>
      </c>
      <c r="D26" s="91" t="str">
        <f>IFERROR(__xludf.DUMMYFUNCTION("""COMPUTED_VALUE"""),"Jovanovich")</f>
        <v>Jovanovich</v>
      </c>
      <c r="E26" s="92" t="str">
        <f>IFERROR(__xludf.DUMMYFUNCTION("""COMPUTED_VALUE"""),"buenos aires")</f>
        <v>buenos aires</v>
      </c>
      <c r="F26" s="92" t="str">
        <f>IFERROR(__xludf.DUMMYFUNCTION("""COMPUTED_VALUE"""),"ARG")</f>
        <v>ARG</v>
      </c>
      <c r="G26" s="92">
        <f>IFERROR(__xludf.DUMMYFUNCTION("""COMPUTED_VALUE"""),4.9123842E7)</f>
        <v>49123842</v>
      </c>
      <c r="H26" s="93">
        <f>IFERROR(__xludf.DUMMYFUNCTION("""COMPUTED_VALUE"""),-690722.0)</f>
        <v>-690722</v>
      </c>
      <c r="I26" s="94">
        <f>IFERROR(__xludf.DUMMYFUNCTION("""COMPUTED_VALUE"""),1.139397002E9)</f>
        <v>1139397002</v>
      </c>
      <c r="J26" s="94">
        <f>IFERROR(__xludf.DUMMYFUNCTION("""COMPUTED_VALUE"""),1.144490201E9)</f>
        <v>1144490201</v>
      </c>
      <c r="K26" s="94" t="str">
        <f>IFERROR(__xludf.DUMMYFUNCTION("""COMPUTED_VALUE"""),"juanapgrandva@gmail.com")</f>
        <v>juanapgrandva@gmail.com</v>
      </c>
      <c r="L26" s="94" t="str">
        <f>IFERROR(__xludf.DUMMYFUNCTION("""COMPUTED_VALUE"""),"Femenino")</f>
        <v>Femenino</v>
      </c>
      <c r="M26" s="94" t="str">
        <f>IFERROR(__xludf.DUMMYFUNCTION("""COMPUTED_VALUE"""),"YCA")</f>
        <v>YCA</v>
      </c>
      <c r="N26" s="94" t="str">
        <f>IFERROR(__xludf.DUMMYFUNCTION("""COMPUTED_VALUE"""),"Femenino")</f>
        <v>Femenino</v>
      </c>
      <c r="O26" s="94">
        <f>IFERROR(__xludf.DUMMYFUNCTION("""COMPUTED_VALUE"""),420.0)</f>
        <v>420</v>
      </c>
      <c r="P26" s="94">
        <f>IFERROR(__xludf.DUMMYFUNCTION("""COMPUTED_VALUE"""),56.0)</f>
        <v>56</v>
      </c>
      <c r="Q26" s="94">
        <f>IFERROR(__xludf.DUMMYFUNCTION("""COMPUTED_VALUE"""),54835.0)</f>
        <v>54835</v>
      </c>
      <c r="R26" s="94" t="str">
        <f>IFERROR(__xludf.DUMMYFUNCTION("""COMPUTED_VALUE"""),"Nudito")</f>
        <v>Nudito</v>
      </c>
      <c r="S26" s="94" t="str">
        <f>IFERROR(__xludf.DUMMYFUNCTION("""COMPUTED_VALUE"""),"Juana Pusso")</f>
        <v>Juana Pusso</v>
      </c>
      <c r="T26" s="94"/>
      <c r="U26" s="94"/>
      <c r="V26" s="94"/>
      <c r="W26" s="94"/>
      <c r="X26" s="94"/>
      <c r="Y26" s="94" t="str">
        <f>IFERROR(__xludf.DUMMYFUNCTION("""COMPUTED_VALUE"""),"OSDE")</f>
        <v>OSDE</v>
      </c>
      <c r="Z26" s="92" t="str">
        <f>IFERROR(__xludf.DUMMYFUNCTION("""COMPUTED_VALUE"""),"No")</f>
        <v>No</v>
      </c>
      <c r="AA26" s="92" t="str">
        <f>IFERROR(__xludf.DUMMYFUNCTION("""COMPUTED_VALUE"""),"Acepto")</f>
        <v>Acepto</v>
      </c>
      <c r="AB26" s="92" t="str">
        <f>IFERROR(__xludf.DUMMYFUNCTION("""COMPUTED_VALUE"""),"Terminado")</f>
        <v>Terminado</v>
      </c>
      <c r="AC26" s="94">
        <f>IFERROR(__xludf.DUMMYFUNCTION("""COMPUTED_VALUE"""),65000.0)</f>
        <v>65000</v>
      </c>
      <c r="AD26" s="94">
        <f>IFERROR(__xludf.DUMMYFUNCTION("""COMPUTED_VALUE"""),205693.0)</f>
        <v>205693</v>
      </c>
      <c r="AE26" s="94" t="str">
        <f>IFERROR(__xludf.DUMMYFUNCTION("""COMPUTED_VALUE"""),"TRF 11-09")</f>
        <v>TRF 11-09</v>
      </c>
      <c r="AF26" s="94" t="str">
        <f>IFERROR(__xludf.DUMMYFUNCTION("""COMPUTED_VALUE"""),"OK")</f>
        <v>OK</v>
      </c>
      <c r="AG26" s="94" t="str">
        <f>IFERROR(__xludf.DUMMYFUNCTION("""COMPUTED_VALUE"""),"SI")</f>
        <v>SI</v>
      </c>
    </row>
    <row r="27">
      <c r="B27" s="94"/>
      <c r="C27" s="91"/>
      <c r="D27" s="91"/>
      <c r="E27" s="91"/>
      <c r="F27" s="92"/>
      <c r="G27" s="92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2"/>
      <c r="AA27" s="92"/>
      <c r="AB27" s="92"/>
      <c r="AC27" s="94"/>
      <c r="AD27" s="94"/>
      <c r="AE27" s="94"/>
      <c r="AF27" s="94"/>
      <c r="AG27" s="94"/>
    </row>
    <row r="28">
      <c r="B28" s="94"/>
      <c r="C28" s="91"/>
      <c r="D28" s="91"/>
      <c r="E28" s="91"/>
      <c r="F28" s="92"/>
      <c r="G28" s="92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2"/>
      <c r="AA28" s="92"/>
      <c r="AB28" s="92"/>
      <c r="AC28" s="94"/>
      <c r="AD28" s="94"/>
      <c r="AE28" s="94"/>
      <c r="AF28" s="94"/>
      <c r="AG28" s="94"/>
    </row>
    <row r="29"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Z29" s="7"/>
      <c r="AA29" s="7"/>
      <c r="AB29" s="7"/>
    </row>
    <row r="30"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Z30" s="7"/>
      <c r="AA30" s="7"/>
      <c r="AB30" s="7"/>
    </row>
    <row r="31"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Z31" s="7"/>
      <c r="AA31" s="7"/>
      <c r="AB31" s="7"/>
    </row>
    <row r="32">
      <c r="D32" s="7"/>
      <c r="E32" s="7"/>
      <c r="F32" s="7"/>
      <c r="G32" s="7"/>
      <c r="Z32" s="7"/>
      <c r="AA32" s="7"/>
      <c r="AB32" s="7"/>
    </row>
    <row r="33">
      <c r="D33" s="7"/>
      <c r="E33" s="7"/>
      <c r="F33" s="7"/>
      <c r="G33" s="7"/>
      <c r="Z33" s="7"/>
      <c r="AA33" s="7"/>
      <c r="AB33" s="7"/>
    </row>
    <row r="34">
      <c r="D34" s="7"/>
      <c r="E34" s="7"/>
      <c r="F34" s="7"/>
      <c r="G34" s="7"/>
      <c r="Z34" s="7"/>
      <c r="AA34" s="7"/>
      <c r="AB34" s="7"/>
    </row>
    <row r="35">
      <c r="D35" s="7"/>
      <c r="E35" s="7"/>
      <c r="F35" s="7"/>
      <c r="G35" s="7"/>
    </row>
    <row r="36">
      <c r="D36" s="7"/>
      <c r="E36" s="7"/>
      <c r="F36" s="7"/>
      <c r="G36" s="7"/>
    </row>
    <row r="37">
      <c r="D37" s="7"/>
      <c r="E37" s="7"/>
      <c r="F37" s="7"/>
      <c r="G37" s="7"/>
    </row>
    <row r="38">
      <c r="D38" s="7"/>
      <c r="E38" s="7"/>
      <c r="F38" s="7"/>
      <c r="G38" s="7"/>
    </row>
    <row r="39">
      <c r="D39" s="7"/>
      <c r="E39" s="7"/>
      <c r="F39" s="7"/>
      <c r="G39" s="7"/>
    </row>
    <row r="40">
      <c r="D40" s="7"/>
      <c r="E40" s="7"/>
      <c r="F40" s="7"/>
      <c r="G40" s="7"/>
    </row>
    <row r="41">
      <c r="D41" s="7"/>
      <c r="E41" s="7"/>
      <c r="F41" s="7"/>
      <c r="G41" s="7"/>
    </row>
    <row r="42">
      <c r="D42" s="7"/>
      <c r="E42" s="7"/>
      <c r="F42" s="7"/>
      <c r="G42" s="7"/>
    </row>
    <row r="43">
      <c r="D43" s="7"/>
      <c r="E43" s="7"/>
      <c r="F43" s="7"/>
      <c r="G43" s="7"/>
    </row>
    <row r="44">
      <c r="D44" s="7"/>
      <c r="E44" s="7"/>
      <c r="F44" s="7"/>
      <c r="G44" s="7"/>
    </row>
    <row r="45">
      <c r="D45" s="7"/>
      <c r="E45" s="7"/>
      <c r="F45" s="7"/>
      <c r="G45" s="7"/>
    </row>
    <row r="46">
      <c r="D46" s="7"/>
      <c r="E46" s="7"/>
      <c r="F46" s="7"/>
      <c r="G46" s="7"/>
    </row>
    <row r="47">
      <c r="D47" s="7"/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 I2 G4:G65">
    <cfRule type="cellIs" dxfId="1" priority="2" operator="equal">
      <formula>"Si"</formula>
    </cfRule>
  </conditionalFormatting>
  <conditionalFormatting sqref="AB3:AB53">
    <cfRule type="cellIs" dxfId="3" priority="3" operator="equal">
      <formula>"Terminado"</formula>
    </cfRule>
  </conditionalFormatting>
  <conditionalFormatting sqref="AF5:AF24">
    <cfRule type="cellIs" dxfId="1" priority="4" operator="equal">
      <formula>"OK"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3" max="3" width="10.0"/>
    <col customWidth="1" min="4" max="4" width="12.63"/>
    <col customWidth="1" min="5" max="5" width="21.0"/>
    <col customWidth="1" min="6" max="6" width="6.63"/>
    <col customWidth="1" hidden="1" min="7" max="7" width="6.63"/>
    <col customWidth="1" hidden="1" min="8" max="8" width="4.38"/>
    <col hidden="1" min="9" max="9" width="12.63"/>
    <col customWidth="1" hidden="1" min="10" max="10" width="6.5"/>
    <col hidden="1" min="11" max="11" width="12.63"/>
    <col customWidth="1" min="12" max="12" width="8.5"/>
    <col customWidth="1" min="13" max="13" width="9.75"/>
    <col customWidth="1" min="14" max="14" width="17.0"/>
    <col hidden="1" min="15" max="15" width="12.63"/>
    <col customWidth="1" hidden="1" min="16" max="16" width="7.0"/>
    <col customWidth="1" min="17" max="17" width="6.5"/>
    <col customWidth="1" hidden="1" min="18" max="18" width="10.13"/>
    <col hidden="1" min="19" max="24" width="12.63"/>
    <col customWidth="1" hidden="1" min="25" max="25" width="10.25"/>
    <col customWidth="1" min="26" max="26" width="6.88"/>
    <col hidden="1" min="27" max="27" width="12.63"/>
    <col customWidth="1" min="28" max="28" width="13.0"/>
    <col customWidth="1" hidden="1" min="29" max="29" width="11.13"/>
    <col customWidth="1" hidden="1" min="30" max="30" width="10.63"/>
    <col hidden="1" min="31" max="33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45</v>
      </c>
      <c r="C2" s="3"/>
      <c r="D2" s="65"/>
      <c r="E2" s="3"/>
      <c r="F2" s="66" t="str">
        <f>"Inscriptos: "&amp;COUNTA(C4:C100)</f>
        <v>Inscriptos: 7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 t="s">
        <v>46</v>
      </c>
      <c r="B3" s="97" t="str">
        <f>IFERROR(__xludf.DUMMYFUNCTION("query(Titulos)"),"Dia y Hora")</f>
        <v>Dia y Hora</v>
      </c>
      <c r="C3" s="97" t="str">
        <f>IFERROR(__xludf.DUMMYFUNCTION("""COMPUTED_VALUE"""),"Nombre")</f>
        <v>Nombre</v>
      </c>
      <c r="D3" s="97" t="str">
        <f>IFERROR(__xludf.DUMMYFUNCTION("""COMPUTED_VALUE"""),"Apellido")</f>
        <v>Apellido</v>
      </c>
      <c r="E3" s="97" t="str">
        <f>IFERROR(__xludf.DUMMYFUNCTION("""COMPUTED_VALUE"""),"Ciudad")</f>
        <v>Ciudad</v>
      </c>
      <c r="F3" s="97" t="str">
        <f>IFERROR(__xludf.DUMMYFUNCTION("""COMPUTED_VALUE"""),"Pais")</f>
        <v>Pais</v>
      </c>
      <c r="G3" s="97" t="str">
        <f>IFERROR(__xludf.DUMMYFUNCTION("""COMPUTED_VALUE"""),"DNI")</f>
        <v>DNI</v>
      </c>
      <c r="H3" s="97" t="str">
        <f>IFERROR(__xludf.DUMMYFUNCTION("""COMPUTED_VALUE"""),"Nacimiento")</f>
        <v>Nacimiento</v>
      </c>
      <c r="I3" s="97" t="str">
        <f>IFERROR(__xludf.DUMMYFUNCTION("""COMPUTED_VALUE"""),"Celular de Contacto")</f>
        <v>Celular de Contacto</v>
      </c>
      <c r="J3" s="97" t="str">
        <f>IFERROR(__xludf.DUMMYFUNCTION("""COMPUTED_VALUE"""),"Celular de Emergencias")</f>
        <v>Celular de Emergencias</v>
      </c>
      <c r="K3" s="97" t="str">
        <f>IFERROR(__xludf.DUMMYFUNCTION("""COMPUTED_VALUE"""),"email")</f>
        <v>email</v>
      </c>
      <c r="L3" s="97" t="str">
        <f>IFERROR(__xludf.DUMMYFUNCTION("""COMPUTED_VALUE"""),"Sexo")</f>
        <v>Sexo</v>
      </c>
      <c r="M3" s="97" t="str">
        <f>IFERROR(__xludf.DUMMYFUNCTION("""COMPUTED_VALUE"""),"Club")</f>
        <v>Club</v>
      </c>
      <c r="N3" s="97" t="str">
        <f>IFERROR(__xludf.DUMMYFUNCTION("""COMPUTED_VALUE"""),"Categoría")</f>
        <v>Categoría</v>
      </c>
      <c r="O3" s="97" t="str">
        <f>IFERROR(__xludf.DUMMYFUNCTION("""COMPUTED_VALUE"""),"Clase")</f>
        <v>Clase</v>
      </c>
      <c r="P3" s="97" t="str">
        <f>IFERROR(__xludf.DUMMYFUNCTION("""COMPUTED_VALUE"""),"Proa Nº")</f>
        <v>Proa Nº</v>
      </c>
      <c r="Q3" s="97" t="str">
        <f>IFERROR(__xludf.DUMMYFUNCTION("""COMPUTED_VALUE"""),"Vela")</f>
        <v>Vela</v>
      </c>
      <c r="R3" s="86" t="str">
        <f>IFERROR(__xludf.DUMMYFUNCTION("""COMPUTED_VALUE"""),"Nombre del Barco")</f>
        <v>Nombre del Barco</v>
      </c>
      <c r="S3" s="86" t="str">
        <f>IFERROR(__xludf.DUMMYFUNCTION("""COMPUTED_VALUE"""),"Tripulante 1")</f>
        <v>Tripulante 1</v>
      </c>
      <c r="T3" s="86" t="str">
        <f>IFERROR(__xludf.DUMMYFUNCTION("""COMPUTED_VALUE"""),"Tripulante 2")</f>
        <v>Tripulante 2</v>
      </c>
      <c r="U3" s="86" t="str">
        <f>IFERROR(__xludf.DUMMYFUNCTION("""COMPUTED_VALUE"""),"Tripulante 3")</f>
        <v>Tripulante 3</v>
      </c>
      <c r="V3" s="86" t="str">
        <f>IFERROR(__xludf.DUMMYFUNCTION("""COMPUTED_VALUE"""),"Tripulante 4")</f>
        <v>Tripulante 4</v>
      </c>
      <c r="W3" s="86" t="str">
        <f>IFERROR(__xludf.DUMMYFUNCTION("""COMPUTED_VALUE"""),"Tripulante 5")</f>
        <v>Tripulante 5</v>
      </c>
      <c r="X3" s="86" t="str">
        <f>IFERROR(__xludf.DUMMYFUNCTION("""COMPUTED_VALUE"""),"Tripulante 6")</f>
        <v>Tripulante 6</v>
      </c>
      <c r="Y3" s="86" t="str">
        <f>IFERROR(__xludf.DUMMYFUNCTION("""COMPUTED_VALUE"""),"Obra Social/Nº Afiliado")</f>
        <v>Obra Social/Nº Afiliado</v>
      </c>
      <c r="Z3" s="98" t="str">
        <f>IFERROR(__xludf.DUMMYFUNCTION("""COMPUTED_VALUE"""),"Bajada YCO")</f>
        <v>Bajada YCO</v>
      </c>
      <c r="AA3" s="98" t="str">
        <f>IFERROR(__xludf.DUMMYFUNCTION("""COMPUTED_VALUE"""),"Términos y Condiciones")</f>
        <v>Términos y Condiciones</v>
      </c>
      <c r="AB3" s="98" t="str">
        <f>IFERROR(__xludf.DUMMYFUNCTION("""COMPUTED_VALUE"""),"Pago")</f>
        <v>Pago</v>
      </c>
      <c r="AC3" s="86" t="str">
        <f>IFERROR(__xludf.DUMMYFUNCTION("""COMPUTED_VALUE"""),"Importe")</f>
        <v>Importe</v>
      </c>
      <c r="AD3" s="86" t="str">
        <f>IFERROR(__xludf.DUMMYFUNCTION("""COMPUTED_VALUE"""),"RECIBO")</f>
        <v>RECIBO</v>
      </c>
      <c r="AE3" s="94"/>
      <c r="AF3" s="94"/>
      <c r="AG3" s="94"/>
      <c r="AH3" s="99" t="s">
        <v>32</v>
      </c>
    </row>
    <row r="4">
      <c r="B4" s="100">
        <f>IFERROR(__xludf.DUMMYFUNCTION("filter(Datos,Clases=A3)"),45519.81226892361)</f>
        <v>45519.81227</v>
      </c>
      <c r="C4" s="91" t="str">
        <f>IFERROR(__xludf.DUMMYFUNCTION("""COMPUTED_VALUE"""),"Exequiel ")</f>
        <v>Exequiel </v>
      </c>
      <c r="D4" s="91" t="str">
        <f>IFERROR(__xludf.DUMMYFUNCTION("""COMPUTED_VALUE"""),"Balbarrey ")</f>
        <v>Balbarrey </v>
      </c>
      <c r="E4" s="91" t="str">
        <f>IFERROR(__xludf.DUMMYFUNCTION("""COMPUTED_VALUE"""),"Santa fe ")</f>
        <v>Santa fe </v>
      </c>
      <c r="F4" s="91" t="str">
        <f>IFERROR(__xludf.DUMMYFUNCTION("""COMPUTED_VALUE"""),"ARG")</f>
        <v>ARG</v>
      </c>
      <c r="G4" s="91">
        <f>IFERROR(__xludf.DUMMYFUNCTION("""COMPUTED_VALUE"""),2.3160506E7)</f>
        <v>23160506</v>
      </c>
      <c r="H4" s="101">
        <f>IFERROR(__xludf.DUMMYFUNCTION("""COMPUTED_VALUE"""),26723.0)</f>
        <v>26723</v>
      </c>
      <c r="I4" s="91">
        <f>IFERROR(__xludf.DUMMYFUNCTION("""COMPUTED_VALUE"""),3.426306642E9)</f>
        <v>3426306642</v>
      </c>
      <c r="J4" s="91">
        <f>IFERROR(__xludf.DUMMYFUNCTION("""COMPUTED_VALUE"""),3.42057667E8)</f>
        <v>342057667</v>
      </c>
      <c r="K4" s="91" t="str">
        <f>IFERROR(__xludf.DUMMYFUNCTION("""COMPUTED_VALUE"""),"exequielbalbarrey@hotmail.com")</f>
        <v>exequielbalbarrey@hotmail.com</v>
      </c>
      <c r="L4" s="91" t="str">
        <f>IFERROR(__xludf.DUMMYFUNCTION("""COMPUTED_VALUE"""),"Masculino")</f>
        <v>Masculino</v>
      </c>
      <c r="M4" s="91" t="str">
        <f>IFERROR(__xludf.DUMMYFUNCTION("""COMPUTED_VALUE"""),"CNS")</f>
        <v>CNS</v>
      </c>
      <c r="N4" s="91"/>
      <c r="O4" s="91" t="str">
        <f>IFERROR(__xludf.DUMMYFUNCTION("""COMPUTED_VALUE"""),"WING FOIL")</f>
        <v>WING FOIL</v>
      </c>
      <c r="P4" s="91"/>
      <c r="Q4" s="91">
        <f>IFERROR(__xludf.DUMMYFUNCTION("""COMPUTED_VALUE"""),10.0)</f>
        <v>10</v>
      </c>
      <c r="R4" s="94"/>
      <c r="S4" s="94"/>
      <c r="T4" s="94"/>
      <c r="U4" s="94"/>
      <c r="V4" s="94"/>
      <c r="W4" s="94"/>
      <c r="X4" s="94"/>
      <c r="Y4" s="94" t="str">
        <f>IFERROR(__xludf.DUMMYFUNCTION("""COMPUTED_VALUE"""),"Sanatorio santa fe ")</f>
        <v>Sanatorio santa fe </v>
      </c>
      <c r="Z4" s="92" t="str">
        <f>IFERROR(__xludf.DUMMYFUNCTION("""COMPUTED_VALUE"""),"Si")</f>
        <v>Si</v>
      </c>
      <c r="AA4" s="92" t="str">
        <f>IFERROR(__xludf.DUMMYFUNCTION("""COMPUTED_VALUE"""),"Acepto")</f>
        <v>Acepto</v>
      </c>
      <c r="AB4" s="92" t="str">
        <f>IFERROR(__xludf.DUMMYFUNCTION("""COMPUTED_VALUE"""),"Terminado")</f>
        <v>Terminado</v>
      </c>
      <c r="AC4" s="94">
        <f>IFERROR(__xludf.DUMMYFUNCTION("""COMPUTED_VALUE"""),10000.0)</f>
        <v>10000</v>
      </c>
      <c r="AD4" s="94">
        <f>IFERROR(__xludf.DUMMYFUNCTION("""COMPUTED_VALUE"""),205586.0)</f>
        <v>205586</v>
      </c>
      <c r="AE4" s="94" t="str">
        <f>IFERROR(__xludf.DUMMYFUNCTION("""COMPUTED_VALUE"""),"TRF 08-09")</f>
        <v>TRF 08-09</v>
      </c>
      <c r="AF4" s="94" t="str">
        <f>IFERROR(__xludf.DUMMYFUNCTION("""COMPUTED_VALUE"""),"No Corresp")</f>
        <v>No Corresp</v>
      </c>
      <c r="AG4" s="94"/>
      <c r="AH4" s="94"/>
    </row>
    <row r="5">
      <c r="B5" s="100">
        <f>IFERROR(__xludf.DUMMYFUNCTION("""COMPUTED_VALUE"""),45532.80805116898)</f>
        <v>45532.80805</v>
      </c>
      <c r="C5" s="91" t="str">
        <f>IFERROR(__xludf.DUMMYFUNCTION("""COMPUTED_VALUE"""),"Alberto ")</f>
        <v>Alberto </v>
      </c>
      <c r="D5" s="91" t="str">
        <f>IFERROR(__xludf.DUMMYFUNCTION("""COMPUTED_VALUE"""),"Catena")</f>
        <v>Catena</v>
      </c>
      <c r="E5" s="91" t="str">
        <f>IFERROR(__xludf.DUMMYFUNCTION("""COMPUTED_VALUE"""),"Quilmes")</f>
        <v>Quilmes</v>
      </c>
      <c r="F5" s="91" t="str">
        <f>IFERROR(__xludf.DUMMYFUNCTION("""COMPUTED_VALUE"""),"ARG")</f>
        <v>ARG</v>
      </c>
      <c r="G5" s="91">
        <f>IFERROR(__xludf.DUMMYFUNCTION("""COMPUTED_VALUE"""),2.8141748E7)</f>
        <v>28141748</v>
      </c>
      <c r="H5" s="101">
        <f>IFERROR(__xludf.DUMMYFUNCTION("""COMPUTED_VALUE"""),29480.0)</f>
        <v>29480</v>
      </c>
      <c r="I5" s="91">
        <f>IFERROR(__xludf.DUMMYFUNCTION("""COMPUTED_VALUE"""),1.14992055E9)</f>
        <v>1149920550</v>
      </c>
      <c r="J5" s="91"/>
      <c r="K5" s="91" t="str">
        <f>IFERROR(__xludf.DUMMYFUNCTION("""COMPUTED_VALUE"""),"Acatena80@gmail.com")</f>
        <v>Acatena80@gmail.com</v>
      </c>
      <c r="L5" s="91" t="str">
        <f>IFERROR(__xludf.DUMMYFUNCTION("""COMPUTED_VALUE"""),"Masculino")</f>
        <v>Masculino</v>
      </c>
      <c r="M5" s="91" t="str">
        <f>IFERROR(__xludf.DUMMYFUNCTION("""COMPUTED_VALUE"""),"CNQ")</f>
        <v>CNQ</v>
      </c>
      <c r="N5" s="91" t="str">
        <f>IFERROR(__xludf.DUMMYFUNCTION("""COMPUTED_VALUE"""),"Wing")</f>
        <v>Wing</v>
      </c>
      <c r="O5" s="91" t="str">
        <f>IFERROR(__xludf.DUMMYFUNCTION("""COMPUTED_VALUE"""),"WING FOIL")</f>
        <v>WING FOIL</v>
      </c>
      <c r="P5" s="91"/>
      <c r="Q5" s="91">
        <f>IFERROR(__xludf.DUMMYFUNCTION("""COMPUTED_VALUE"""),83.0)</f>
        <v>83</v>
      </c>
      <c r="R5" s="94"/>
      <c r="S5" s="94">
        <f>IFERROR(__xludf.DUMMYFUNCTION("""COMPUTED_VALUE"""),83.0)</f>
        <v>83</v>
      </c>
      <c r="T5" s="94"/>
      <c r="U5" s="94"/>
      <c r="V5" s="94"/>
      <c r="W5" s="94"/>
      <c r="X5" s="94"/>
      <c r="Y5" s="94" t="str">
        <f>IFERROR(__xludf.DUMMYFUNCTION("""COMPUTED_VALUE"""),"Construir salud ")</f>
        <v>Construir salud </v>
      </c>
      <c r="Z5" s="92" t="str">
        <f>IFERROR(__xludf.DUMMYFUNCTION("""COMPUTED_VALUE"""),"No")</f>
        <v>No</v>
      </c>
      <c r="AA5" s="92" t="str">
        <f>IFERROR(__xludf.DUMMYFUNCTION("""COMPUTED_VALUE"""),"Acepto")</f>
        <v>Acepto</v>
      </c>
      <c r="AB5" s="92" t="str">
        <f>IFERROR(__xludf.DUMMYFUNCTION("""COMPUTED_VALUE"""),"Pendiente")</f>
        <v>Pendiente</v>
      </c>
      <c r="AC5" s="94"/>
      <c r="AD5" s="94"/>
      <c r="AE5" s="94"/>
      <c r="AF5" s="94" t="str">
        <f>IFERROR(__xludf.DUMMYFUNCTION("""COMPUTED_VALUE"""),"No Corresp")</f>
        <v>No Corresp</v>
      </c>
      <c r="AG5" s="94"/>
      <c r="AH5" s="94"/>
    </row>
    <row r="6">
      <c r="B6" s="100">
        <f>IFERROR(__xludf.DUMMYFUNCTION("""COMPUTED_VALUE"""),45519.71777422454)</f>
        <v>45519.71777</v>
      </c>
      <c r="C6" s="91" t="str">
        <f>IFERROR(__xludf.DUMMYFUNCTION("""COMPUTED_VALUE"""),"Julian Maria")</f>
        <v>Julian Maria</v>
      </c>
      <c r="D6" s="91" t="str">
        <f>IFERROR(__xludf.DUMMYFUNCTION("""COMPUTED_VALUE"""),"Duarte Argerich")</f>
        <v>Duarte Argerich</v>
      </c>
      <c r="E6" s="91" t="str">
        <f>IFERROR(__xludf.DUMMYFUNCTION("""COMPUTED_VALUE"""),"Buenos Aires")</f>
        <v>Buenos Aires</v>
      </c>
      <c r="F6" s="91" t="str">
        <f>IFERROR(__xludf.DUMMYFUNCTION("""COMPUTED_VALUE"""),"ARG")</f>
        <v>ARG</v>
      </c>
      <c r="G6" s="91">
        <f>IFERROR(__xludf.DUMMYFUNCTION("""COMPUTED_VALUE"""),4.0133927E7)</f>
        <v>40133927</v>
      </c>
      <c r="H6" s="101">
        <f>IFERROR(__xludf.DUMMYFUNCTION("""COMPUTED_VALUE"""),35446.0)</f>
        <v>35446</v>
      </c>
      <c r="I6" s="91">
        <f>IFERROR(__xludf.DUMMYFUNCTION("""COMPUTED_VALUE"""),1.140504328E9)</f>
        <v>1140504328</v>
      </c>
      <c r="J6" s="91"/>
      <c r="K6" s="91" t="str">
        <f>IFERROR(__xludf.DUMMYFUNCTION("""COMPUTED_VALUE"""),"jmdargerich@gmail.com")</f>
        <v>jmdargerich@gmail.com</v>
      </c>
      <c r="L6" s="91" t="str">
        <f>IFERROR(__xludf.DUMMYFUNCTION("""COMPUTED_VALUE"""),"Masculino")</f>
        <v>Masculino</v>
      </c>
      <c r="M6" s="91" t="str">
        <f>IFERROR(__xludf.DUMMYFUNCTION("""COMPUTED_VALUE"""),"CUBA")</f>
        <v>CUBA</v>
      </c>
      <c r="N6" s="91"/>
      <c r="O6" s="91" t="str">
        <f>IFERROR(__xludf.DUMMYFUNCTION("""COMPUTED_VALUE"""),"WING FOIL")</f>
        <v>WING FOIL</v>
      </c>
      <c r="P6" s="91"/>
      <c r="Q6" s="91">
        <f>IFERROR(__xludf.DUMMYFUNCTION("""COMPUTED_VALUE"""),21.0)</f>
        <v>21</v>
      </c>
      <c r="R6" s="94"/>
      <c r="S6" s="94"/>
      <c r="T6" s="94"/>
      <c r="U6" s="94"/>
      <c r="V6" s="94"/>
      <c r="W6" s="94"/>
      <c r="X6" s="94"/>
      <c r="Y6" s="94" t="str">
        <f>IFERROR(__xludf.DUMMYFUNCTION("""COMPUTED_VALUE"""),"OSDE ")</f>
        <v>OSDE </v>
      </c>
      <c r="Z6" s="92" t="str">
        <f>IFERROR(__xludf.DUMMYFUNCTION("""COMPUTED_VALUE"""),"No")</f>
        <v>No</v>
      </c>
      <c r="AA6" s="92" t="str">
        <f>IFERROR(__xludf.DUMMYFUNCTION("""COMPUTED_VALUE"""),"Acepto")</f>
        <v>Acepto</v>
      </c>
      <c r="AB6" s="92" t="str">
        <f>IFERROR(__xludf.DUMMYFUNCTION("""COMPUTED_VALUE"""),"Pendiente")</f>
        <v>Pendiente</v>
      </c>
      <c r="AC6" s="94"/>
      <c r="AD6" s="94"/>
      <c r="AE6" s="94"/>
      <c r="AF6" s="94" t="str">
        <f>IFERROR(__xludf.DUMMYFUNCTION("""COMPUTED_VALUE"""),"No Corresp")</f>
        <v>No Corresp</v>
      </c>
      <c r="AG6" s="94"/>
      <c r="AH6" s="94"/>
    </row>
    <row r="7">
      <c r="B7" s="100">
        <f>IFERROR(__xludf.DUMMYFUNCTION("""COMPUTED_VALUE"""),45519.72257881945)</f>
        <v>45519.72258</v>
      </c>
      <c r="C7" s="91" t="str">
        <f>IFERROR(__xludf.DUMMYFUNCTION("""COMPUTED_VALUE"""),"Luciano")</f>
        <v>Luciano</v>
      </c>
      <c r="D7" s="91" t="str">
        <f>IFERROR(__xludf.DUMMYFUNCTION("""COMPUTED_VALUE"""),"Montero")</f>
        <v>Montero</v>
      </c>
      <c r="E7" s="91" t="str">
        <f>IFERROR(__xludf.DUMMYFUNCTION("""COMPUTED_VALUE"""),"Buenos aires")</f>
        <v>Buenos aires</v>
      </c>
      <c r="F7" s="91" t="str">
        <f>IFERROR(__xludf.DUMMYFUNCTION("""COMPUTED_VALUE"""),"ARG")</f>
        <v>ARG</v>
      </c>
      <c r="G7" s="91">
        <f>IFERROR(__xludf.DUMMYFUNCTION("""COMPUTED_VALUE"""),3.2936598E7)</f>
        <v>32936598</v>
      </c>
      <c r="H7" s="101">
        <f>IFERROR(__xludf.DUMMYFUNCTION("""COMPUTED_VALUE"""),32053.0)</f>
        <v>32053</v>
      </c>
      <c r="I7" s="91">
        <f>IFERROR(__xludf.DUMMYFUNCTION("""COMPUTED_VALUE"""),1.168034974E9)</f>
        <v>1168034974</v>
      </c>
      <c r="J7" s="91"/>
      <c r="K7" s="91" t="str">
        <f>IFERROR(__xludf.DUMMYFUNCTION("""COMPUTED_VALUE"""),"lmontero136@gmail.com")</f>
        <v>lmontero136@gmail.com</v>
      </c>
      <c r="L7" s="91" t="str">
        <f>IFERROR(__xludf.DUMMYFUNCTION("""COMPUTED_VALUE"""),"Masculino")</f>
        <v>Masculino</v>
      </c>
      <c r="M7" s="91" t="str">
        <f>IFERROR(__xludf.DUMMYFUNCTION("""COMPUTED_VALUE"""),"CUBA")</f>
        <v>CUBA</v>
      </c>
      <c r="N7" s="91" t="str">
        <f>IFERROR(__xludf.DUMMYFUNCTION("""COMPUTED_VALUE"""),"Wingfoil")</f>
        <v>Wingfoil</v>
      </c>
      <c r="O7" s="91" t="str">
        <f>IFERROR(__xludf.DUMMYFUNCTION("""COMPUTED_VALUE"""),"WING FOIL")</f>
        <v>WING FOIL</v>
      </c>
      <c r="P7" s="91"/>
      <c r="Q7" s="91" t="str">
        <f>IFERROR(__xludf.DUMMYFUNCTION("""COMPUTED_VALUE"""),"Número pechera 77")</f>
        <v>Número pechera 77</v>
      </c>
      <c r="R7" s="94"/>
      <c r="S7" s="94"/>
      <c r="T7" s="94"/>
      <c r="U7" s="94"/>
      <c r="V7" s="94"/>
      <c r="W7" s="94"/>
      <c r="X7" s="94"/>
      <c r="Y7" s="94"/>
      <c r="Z7" s="92" t="str">
        <f>IFERROR(__xludf.DUMMYFUNCTION("""COMPUTED_VALUE"""),"No")</f>
        <v>No</v>
      </c>
      <c r="AA7" s="92" t="str">
        <f>IFERROR(__xludf.DUMMYFUNCTION("""COMPUTED_VALUE"""),"Acepto")</f>
        <v>Acepto</v>
      </c>
      <c r="AB7" s="92" t="str">
        <f>IFERROR(__xludf.DUMMYFUNCTION("""COMPUTED_VALUE"""),"Terminado")</f>
        <v>Terminado</v>
      </c>
      <c r="AC7" s="94">
        <f>IFERROR(__xludf.DUMMYFUNCTION("""COMPUTED_VALUE"""),10000.0)</f>
        <v>10000</v>
      </c>
      <c r="AD7" s="94">
        <f>IFERROR(__xludf.DUMMYFUNCTION("""COMPUTED_VALUE"""),205641.0)</f>
        <v>205641</v>
      </c>
      <c r="AE7" s="94" t="str">
        <f>IFERROR(__xludf.DUMMYFUNCTION("""COMPUTED_VALUE"""),"TRF 10-09")</f>
        <v>TRF 10-09</v>
      </c>
      <c r="AF7" s="94" t="str">
        <f>IFERROR(__xludf.DUMMYFUNCTION("""COMPUTED_VALUE"""),"No Corresp")</f>
        <v>No Corresp</v>
      </c>
      <c r="AG7" s="94"/>
      <c r="AH7" s="94"/>
    </row>
    <row r="8">
      <c r="B8" s="100">
        <f>IFERROR(__xludf.DUMMYFUNCTION("""COMPUTED_VALUE"""),45533.70608849537)</f>
        <v>45533.70609</v>
      </c>
      <c r="C8" s="91" t="str">
        <f>IFERROR(__xludf.DUMMYFUNCTION("""COMPUTED_VALUE"""),"Agustin")</f>
        <v>Agustin</v>
      </c>
      <c r="D8" s="91" t="str">
        <f>IFERROR(__xludf.DUMMYFUNCTION("""COMPUTED_VALUE"""),"Pascual")</f>
        <v>Pascual</v>
      </c>
      <c r="E8" s="91" t="str">
        <f>IFERROR(__xludf.DUMMYFUNCTION("""COMPUTED_VALUE"""),"Caba")</f>
        <v>Caba</v>
      </c>
      <c r="F8" s="91" t="str">
        <f>IFERROR(__xludf.DUMMYFUNCTION("""COMPUTED_VALUE"""),"ARG")</f>
        <v>ARG</v>
      </c>
      <c r="G8" s="91">
        <f>IFERROR(__xludf.DUMMYFUNCTION("""COMPUTED_VALUE"""),3.4263472E7)</f>
        <v>34263472</v>
      </c>
      <c r="H8" s="101">
        <f>IFERROR(__xludf.DUMMYFUNCTION("""COMPUTED_VALUE"""),32573.0)</f>
        <v>32573</v>
      </c>
      <c r="I8" s="91">
        <f>IFERROR(__xludf.DUMMYFUNCTION("""COMPUTED_VALUE"""),1.135012888E9)</f>
        <v>1135012888</v>
      </c>
      <c r="J8" s="91"/>
      <c r="K8" s="91" t="str">
        <f>IFERROR(__xludf.DUMMYFUNCTION("""COMPUTED_VALUE"""),"juan_agustin09@hotmail.com ")</f>
        <v>juan_agustin09@hotmail.com </v>
      </c>
      <c r="L8" s="91" t="str">
        <f>IFERROR(__xludf.DUMMYFUNCTION("""COMPUTED_VALUE"""),"Masculino")</f>
        <v>Masculino</v>
      </c>
      <c r="M8" s="91" t="str">
        <f>IFERROR(__xludf.DUMMYFUNCTION("""COMPUTED_VALUE"""),"YCO")</f>
        <v>YCO</v>
      </c>
      <c r="N8" s="91"/>
      <c r="O8" s="91" t="str">
        <f>IFERROR(__xludf.DUMMYFUNCTION("""COMPUTED_VALUE"""),"WING FOIL")</f>
        <v>WING FOIL</v>
      </c>
      <c r="P8" s="91"/>
      <c r="Q8" s="91">
        <f>IFERROR(__xludf.DUMMYFUNCTION("""COMPUTED_VALUE"""),79.0)</f>
        <v>79</v>
      </c>
      <c r="R8" s="94"/>
      <c r="S8" s="94"/>
      <c r="T8" s="94"/>
      <c r="U8" s="94"/>
      <c r="V8" s="94"/>
      <c r="W8" s="94"/>
      <c r="X8" s="94"/>
      <c r="Y8" s="94"/>
      <c r="Z8" s="92" t="str">
        <f>IFERROR(__xludf.DUMMYFUNCTION("""COMPUTED_VALUE"""),"Si")</f>
        <v>Si</v>
      </c>
      <c r="AA8" s="92" t="str">
        <f>IFERROR(__xludf.DUMMYFUNCTION("""COMPUTED_VALUE"""),"Acepto")</f>
        <v>Acepto</v>
      </c>
      <c r="AB8" s="92" t="str">
        <f>IFERROR(__xludf.DUMMYFUNCTION("""COMPUTED_VALUE"""),"Pendiente")</f>
        <v>Pendiente</v>
      </c>
      <c r="AC8" s="94"/>
      <c r="AD8" s="94"/>
      <c r="AE8" s="94"/>
      <c r="AF8" s="94" t="str">
        <f>IFERROR(__xludf.DUMMYFUNCTION("""COMPUTED_VALUE"""),"No Corresp")</f>
        <v>No Corresp</v>
      </c>
      <c r="AG8" s="94"/>
      <c r="AH8" s="94"/>
    </row>
    <row r="9">
      <c r="B9" s="100">
        <f>IFERROR(__xludf.DUMMYFUNCTION("""COMPUTED_VALUE"""),45519.72620657407)</f>
        <v>45519.72621</v>
      </c>
      <c r="C9" s="91" t="str">
        <f>IFERROR(__xludf.DUMMYFUNCTION("""COMPUTED_VALUE"""),"Leon ")</f>
        <v>Leon </v>
      </c>
      <c r="D9" s="91" t="str">
        <f>IFERROR(__xludf.DUMMYFUNCTION("""COMPUTED_VALUE"""),"Pfortner")</f>
        <v>Pfortner</v>
      </c>
      <c r="E9" s="91" t="str">
        <f>IFERROR(__xludf.DUMMYFUNCTION("""COMPUTED_VALUE"""),"Buenos Aires ")</f>
        <v>Buenos Aires </v>
      </c>
      <c r="F9" s="91" t="str">
        <f>IFERROR(__xludf.DUMMYFUNCTION("""COMPUTED_VALUE"""),"ARG")</f>
        <v>ARG</v>
      </c>
      <c r="G9" s="91">
        <f>IFERROR(__xludf.DUMMYFUNCTION("""COMPUTED_VALUE"""),4.9193553E7)</f>
        <v>49193553</v>
      </c>
      <c r="H9" s="101">
        <f>IFERROR(__xludf.DUMMYFUNCTION("""COMPUTED_VALUE"""),39818.0)</f>
        <v>39818</v>
      </c>
      <c r="I9" s="91" t="str">
        <f>IFERROR(__xludf.DUMMYFUNCTION("""COMPUTED_VALUE"""),"‪+54 9 11 2466‑8132‬")</f>
        <v>‪+54 9 11 2466‑8132‬</v>
      </c>
      <c r="J9" s="91">
        <f>IFERROR(__xludf.DUMMYFUNCTION("""COMPUTED_VALUE"""),1.554731779E9)</f>
        <v>1554731779</v>
      </c>
      <c r="K9" s="91" t="str">
        <f>IFERROR(__xludf.DUMMYFUNCTION("""COMPUTED_VALUE"""),"leonpfortner@gmail.com")</f>
        <v>leonpfortner@gmail.com</v>
      </c>
      <c r="L9" s="91" t="str">
        <f>IFERROR(__xludf.DUMMYFUNCTION("""COMPUTED_VALUE"""),"Masculino")</f>
        <v>Masculino</v>
      </c>
      <c r="M9" s="91" t="str">
        <f>IFERROR(__xludf.DUMMYFUNCTION("""COMPUTED_VALUE"""),"SKB")</f>
        <v>SKB</v>
      </c>
      <c r="N9" s="91" t="str">
        <f>IFERROR(__xludf.DUMMYFUNCTION("""COMPUTED_VALUE"""),"Interior (Optimist), Master (ILCA)")</f>
        <v>Interior (Optimist), Master (ILCA)</v>
      </c>
      <c r="O9" s="91" t="str">
        <f>IFERROR(__xludf.DUMMYFUNCTION("""COMPUTED_VALUE"""),"WING FOIL")</f>
        <v>WING FOIL</v>
      </c>
      <c r="P9" s="91"/>
      <c r="Q9" s="91" t="str">
        <f>IFERROR(__xludf.DUMMYFUNCTION("""COMPUTED_VALUE"""),"5.5 , 5.0 , 6.0 ")</f>
        <v>5.5 , 5.0 , 6.0 </v>
      </c>
      <c r="R9" s="94"/>
      <c r="S9" s="94" t="str">
        <f>IFERROR(__xludf.DUMMYFUNCTION("""COMPUTED_VALUE"""),"León pfortner")</f>
        <v>León pfortner</v>
      </c>
      <c r="T9" s="94"/>
      <c r="U9" s="94"/>
      <c r="V9" s="94"/>
      <c r="W9" s="94"/>
      <c r="X9" s="94"/>
      <c r="Y9" s="94" t="str">
        <f>IFERROR(__xludf.DUMMYFUNCTION("""COMPUTED_VALUE"""),"Osde ")</f>
        <v>Osde </v>
      </c>
      <c r="Z9" s="92" t="str">
        <f>IFERROR(__xludf.DUMMYFUNCTION("""COMPUTED_VALUE"""),"No")</f>
        <v>No</v>
      </c>
      <c r="AA9" s="92" t="str">
        <f>IFERROR(__xludf.DUMMYFUNCTION("""COMPUTED_VALUE"""),"Acepto")</f>
        <v>Acepto</v>
      </c>
      <c r="AB9" s="92" t="str">
        <f>IFERROR(__xludf.DUMMYFUNCTION("""COMPUTED_VALUE"""),"Pendiente")</f>
        <v>Pendiente</v>
      </c>
      <c r="AC9" s="94"/>
      <c r="AD9" s="94"/>
      <c r="AE9" s="94"/>
      <c r="AF9" s="94" t="str">
        <f>IFERROR(__xludf.DUMMYFUNCTION("""COMPUTED_VALUE"""),"Pendiente")</f>
        <v>Pendiente</v>
      </c>
      <c r="AG9" s="94"/>
      <c r="AH9" s="94"/>
    </row>
    <row r="10">
      <c r="B10" s="100">
        <f>IFERROR(__xludf.DUMMYFUNCTION("""COMPUTED_VALUE"""),45519.73089712963)</f>
        <v>45519.7309</v>
      </c>
      <c r="C10" s="91" t="str">
        <f>IFERROR(__xludf.DUMMYFUNCTION("""COMPUTED_VALUE"""),"Santiago")</f>
        <v>Santiago</v>
      </c>
      <c r="D10" s="91" t="str">
        <f>IFERROR(__xludf.DUMMYFUNCTION("""COMPUTED_VALUE"""),"Rigoni")</f>
        <v>Rigoni</v>
      </c>
      <c r="E10" s="91" t="str">
        <f>IFERROR(__xludf.DUMMYFUNCTION("""COMPUTED_VALUE"""),"Buenos aires ")</f>
        <v>Buenos aires </v>
      </c>
      <c r="F10" s="91" t="str">
        <f>IFERROR(__xludf.DUMMYFUNCTION("""COMPUTED_VALUE"""),"ARG")</f>
        <v>ARG</v>
      </c>
      <c r="G10" s="91">
        <f>IFERROR(__xludf.DUMMYFUNCTION("""COMPUTED_VALUE"""),3.6728927E7)</f>
        <v>36728927</v>
      </c>
      <c r="H10" s="101">
        <f>IFERROR(__xludf.DUMMYFUNCTION("""COMPUTED_VALUE"""),33659.0)</f>
        <v>33659</v>
      </c>
      <c r="I10" s="91">
        <f>IFERROR(__xludf.DUMMYFUNCTION("""COMPUTED_VALUE"""),1.161454936E9)</f>
        <v>1161454936</v>
      </c>
      <c r="J10" s="91"/>
      <c r="K10" s="91" t="str">
        <f>IFERROR(__xludf.DUMMYFUNCTION("""COMPUTED_VALUE"""),"santirigoni@gmail.com")</f>
        <v>santirigoni@gmail.com</v>
      </c>
      <c r="L10" s="91" t="str">
        <f>IFERROR(__xludf.DUMMYFUNCTION("""COMPUTED_VALUE"""),"Masculino")</f>
        <v>Masculino</v>
      </c>
      <c r="M10" s="91" t="str">
        <f>IFERROR(__xludf.DUMMYFUNCTION("""COMPUTED_VALUE"""),"CUBA")</f>
        <v>CUBA</v>
      </c>
      <c r="N10" s="91"/>
      <c r="O10" s="91" t="str">
        <f>IFERROR(__xludf.DUMMYFUNCTION("""COMPUTED_VALUE"""),"WING FOIL")</f>
        <v>WING FOIL</v>
      </c>
      <c r="P10" s="91"/>
      <c r="Q10" s="91" t="str">
        <f>IFERROR(__xludf.DUMMYFUNCTION("""COMPUTED_VALUE"""),"03")</f>
        <v>03</v>
      </c>
      <c r="R10" s="94"/>
      <c r="S10" s="94"/>
      <c r="T10" s="94"/>
      <c r="U10" s="94"/>
      <c r="V10" s="94"/>
      <c r="W10" s="94"/>
      <c r="X10" s="94"/>
      <c r="Y10" s="94" t="str">
        <f>IFERROR(__xludf.DUMMYFUNCTION("""COMPUTED_VALUE"""),"Dosuba")</f>
        <v>Dosuba</v>
      </c>
      <c r="Z10" s="92" t="str">
        <f>IFERROR(__xludf.DUMMYFUNCTION("""COMPUTED_VALUE"""),"No")</f>
        <v>No</v>
      </c>
      <c r="AA10" s="92" t="str">
        <f>IFERROR(__xludf.DUMMYFUNCTION("""COMPUTED_VALUE"""),"Acepto")</f>
        <v>Acepto</v>
      </c>
      <c r="AB10" s="92" t="str">
        <f>IFERROR(__xludf.DUMMYFUNCTION("""COMPUTED_VALUE"""),"Pendiente")</f>
        <v>Pendiente</v>
      </c>
      <c r="AC10" s="94"/>
      <c r="AD10" s="94"/>
      <c r="AE10" s="94"/>
      <c r="AF10" s="94" t="str">
        <f>IFERROR(__xludf.DUMMYFUNCTION("""COMPUTED_VALUE"""),"No Corresp")</f>
        <v>No Corresp</v>
      </c>
      <c r="AG10" s="94"/>
      <c r="AH10" s="94"/>
    </row>
    <row r="11">
      <c r="B11" s="102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4"/>
      <c r="S11" s="94"/>
      <c r="T11" s="94"/>
      <c r="U11" s="94"/>
      <c r="V11" s="94"/>
      <c r="W11" s="94"/>
      <c r="X11" s="94"/>
      <c r="Y11" s="94"/>
      <c r="Z11" s="92"/>
      <c r="AA11" s="92"/>
      <c r="AB11" s="92"/>
      <c r="AC11" s="94"/>
      <c r="AD11" s="94"/>
      <c r="AE11" s="94"/>
      <c r="AF11" s="94"/>
      <c r="AG11" s="94"/>
      <c r="AH11" s="94"/>
    </row>
    <row r="12">
      <c r="B12" s="102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4"/>
      <c r="S12" s="94"/>
      <c r="T12" s="94"/>
      <c r="U12" s="94"/>
      <c r="V12" s="94"/>
      <c r="W12" s="94"/>
      <c r="X12" s="94"/>
      <c r="Y12" s="94"/>
      <c r="Z12" s="92"/>
      <c r="AA12" s="92"/>
      <c r="AB12" s="92"/>
      <c r="AC12" s="94"/>
      <c r="AD12" s="94"/>
      <c r="AE12" s="94"/>
      <c r="AF12" s="94"/>
      <c r="AG12" s="94"/>
      <c r="AH12" s="94"/>
    </row>
    <row r="13">
      <c r="B13" s="102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94"/>
      <c r="T13" s="94"/>
      <c r="U13" s="94"/>
      <c r="V13" s="94"/>
      <c r="W13" s="94"/>
      <c r="X13" s="94"/>
      <c r="Y13" s="94"/>
      <c r="Z13" s="92"/>
      <c r="AA13" s="92"/>
      <c r="AB13" s="92"/>
      <c r="AC13" s="94"/>
      <c r="AD13" s="94"/>
      <c r="AE13" s="94"/>
      <c r="AF13" s="94"/>
      <c r="AG13" s="94"/>
      <c r="AH13" s="94"/>
    </row>
    <row r="14">
      <c r="B14" s="102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4"/>
      <c r="S14" s="94"/>
      <c r="T14" s="94"/>
      <c r="U14" s="94"/>
      <c r="V14" s="94"/>
      <c r="W14" s="94"/>
      <c r="X14" s="94"/>
      <c r="Y14" s="94"/>
      <c r="Z14" s="92"/>
      <c r="AA14" s="92"/>
      <c r="AB14" s="92"/>
      <c r="AC14" s="94"/>
      <c r="AD14" s="94"/>
      <c r="AE14" s="94"/>
      <c r="AF14" s="94"/>
      <c r="AG14" s="94"/>
      <c r="AH14" s="94"/>
    </row>
    <row r="15">
      <c r="B15" s="102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4"/>
      <c r="S15" s="94"/>
      <c r="T15" s="94"/>
      <c r="U15" s="94"/>
      <c r="V15" s="94"/>
      <c r="W15" s="94"/>
      <c r="X15" s="94"/>
      <c r="Y15" s="94"/>
      <c r="Z15" s="92"/>
      <c r="AA15" s="92"/>
      <c r="AB15" s="92"/>
      <c r="AC15" s="94"/>
      <c r="AD15" s="94"/>
      <c r="AE15" s="94"/>
      <c r="AF15" s="94"/>
      <c r="AG15" s="94"/>
      <c r="AH15" s="94"/>
    </row>
    <row r="16">
      <c r="B16" s="103"/>
      <c r="C16" s="43"/>
      <c r="D16" s="43"/>
      <c r="E16" s="43"/>
      <c r="F16" s="43"/>
      <c r="G16" s="7"/>
      <c r="Z16" s="7"/>
      <c r="AA16" s="7"/>
      <c r="AB16" s="7"/>
    </row>
    <row r="17">
      <c r="B17" s="103"/>
      <c r="C17" s="43"/>
      <c r="D17" s="43"/>
      <c r="E17" s="43"/>
      <c r="F17" s="43"/>
      <c r="G17" s="7"/>
      <c r="Z17" s="7"/>
      <c r="AA17" s="7"/>
      <c r="AB17" s="7"/>
    </row>
    <row r="18">
      <c r="B18" s="103"/>
      <c r="C18" s="43"/>
      <c r="D18" s="43"/>
      <c r="E18" s="43"/>
      <c r="F18" s="43"/>
      <c r="G18" s="7"/>
      <c r="Z18" s="7"/>
      <c r="AA18" s="7"/>
      <c r="AB18" s="7"/>
    </row>
    <row r="19">
      <c r="B19" s="103"/>
      <c r="C19" s="43"/>
      <c r="D19" s="43"/>
      <c r="E19" s="43"/>
      <c r="F19" s="43"/>
      <c r="G19" s="7"/>
      <c r="Z19" s="7"/>
      <c r="AA19" s="7"/>
      <c r="AB19" s="7"/>
    </row>
    <row r="20">
      <c r="B20" s="103"/>
      <c r="C20" s="43"/>
      <c r="D20" s="43"/>
      <c r="E20" s="43"/>
      <c r="F20" s="43"/>
      <c r="G20" s="7"/>
      <c r="Z20" s="7"/>
      <c r="AA20" s="7"/>
      <c r="AB20" s="7"/>
    </row>
    <row r="21">
      <c r="B21" s="103"/>
      <c r="C21" s="43"/>
      <c r="D21" s="43"/>
      <c r="E21" s="43"/>
      <c r="F21" s="43"/>
      <c r="G21" s="7"/>
      <c r="Z21" s="7"/>
      <c r="AA21" s="7"/>
      <c r="AB21" s="7"/>
    </row>
    <row r="22">
      <c r="B22" s="103"/>
      <c r="D22" s="7"/>
      <c r="E22" s="7"/>
      <c r="F22" s="7"/>
      <c r="G22" s="7"/>
    </row>
    <row r="23">
      <c r="B23" s="103"/>
      <c r="D23" s="7"/>
      <c r="E23" s="7"/>
      <c r="F23" s="7"/>
      <c r="G23" s="7"/>
    </row>
    <row r="24">
      <c r="D24" s="7"/>
      <c r="E24" s="7"/>
      <c r="F24" s="7"/>
      <c r="G24" s="7"/>
    </row>
    <row r="25">
      <c r="D25" s="7"/>
      <c r="E25" s="7"/>
      <c r="F25" s="7"/>
      <c r="G25" s="7"/>
    </row>
    <row r="26">
      <c r="D26" s="7"/>
      <c r="E26" s="7"/>
      <c r="F26" s="7"/>
      <c r="G26" s="7"/>
    </row>
    <row r="27">
      <c r="D27" s="7"/>
      <c r="E27" s="7"/>
      <c r="F27" s="7"/>
      <c r="G27" s="7"/>
    </row>
    <row r="28">
      <c r="D28" s="7"/>
      <c r="E28" s="7"/>
      <c r="F28" s="7"/>
      <c r="G28" s="7"/>
    </row>
    <row r="29">
      <c r="D29" s="7"/>
      <c r="E29" s="7"/>
      <c r="F29" s="7"/>
      <c r="G29" s="7"/>
    </row>
    <row r="30">
      <c r="D30" s="7"/>
      <c r="E30" s="7"/>
      <c r="F30" s="7"/>
      <c r="G30" s="7"/>
    </row>
    <row r="31">
      <c r="D31" s="7"/>
      <c r="E31" s="7"/>
      <c r="F31" s="7"/>
      <c r="G31" s="7"/>
    </row>
    <row r="32">
      <c r="D32" s="7"/>
      <c r="E32" s="7"/>
      <c r="F32" s="7"/>
      <c r="G32" s="7"/>
    </row>
    <row r="33">
      <c r="D33" s="7"/>
      <c r="E33" s="7"/>
      <c r="F33" s="7"/>
      <c r="G33" s="7"/>
    </row>
    <row r="34">
      <c r="D34" s="7"/>
      <c r="E34" s="7"/>
      <c r="F34" s="7"/>
      <c r="G34" s="7"/>
    </row>
    <row r="35">
      <c r="D35" s="7"/>
      <c r="E35" s="7"/>
      <c r="F35" s="7"/>
      <c r="G35" s="7"/>
    </row>
    <row r="36">
      <c r="D36" s="7"/>
      <c r="E36" s="7"/>
      <c r="F36" s="7"/>
      <c r="G36" s="7"/>
    </row>
    <row r="37">
      <c r="D37" s="7"/>
      <c r="E37" s="7"/>
      <c r="F37" s="7"/>
      <c r="G37" s="7"/>
    </row>
    <row r="38">
      <c r="D38" s="7"/>
      <c r="E38" s="7"/>
      <c r="F38" s="7"/>
      <c r="G38" s="7"/>
    </row>
    <row r="39">
      <c r="D39" s="7"/>
      <c r="E39" s="7"/>
      <c r="F39" s="7"/>
      <c r="G39" s="7"/>
    </row>
    <row r="40">
      <c r="D40" s="7"/>
      <c r="E40" s="7"/>
      <c r="F40" s="7"/>
      <c r="G40" s="7"/>
    </row>
    <row r="41">
      <c r="D41" s="7"/>
      <c r="E41" s="7"/>
      <c r="F41" s="7"/>
      <c r="G41" s="7"/>
    </row>
    <row r="42">
      <c r="D42" s="7"/>
      <c r="E42" s="7"/>
      <c r="F42" s="7"/>
      <c r="G42" s="7"/>
    </row>
    <row r="43">
      <c r="D43" s="7"/>
      <c r="E43" s="7"/>
      <c r="F43" s="7"/>
      <c r="G43" s="7"/>
    </row>
    <row r="44">
      <c r="D44" s="7"/>
      <c r="E44" s="7"/>
      <c r="F44" s="7"/>
      <c r="G44" s="7"/>
    </row>
    <row r="45">
      <c r="D45" s="7"/>
      <c r="E45" s="7"/>
      <c r="F45" s="7"/>
      <c r="G45" s="7"/>
    </row>
    <row r="46">
      <c r="D46" s="7"/>
      <c r="E46" s="7"/>
      <c r="F46" s="7"/>
      <c r="G46" s="7"/>
    </row>
    <row r="47">
      <c r="D47" s="7"/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:G105 I2">
    <cfRule type="cellIs" dxfId="1" priority="2" operator="equal">
      <formula>"Si"</formula>
    </cfRule>
  </conditionalFormatting>
  <conditionalFormatting sqref="AB3:AB44">
    <cfRule type="cellIs" dxfId="3" priority="3" operator="equal">
      <formula>"Terminado"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3" max="3" width="12.75"/>
    <col customWidth="1" min="4" max="4" width="16.75"/>
    <col customWidth="1" min="5" max="5" width="21.0"/>
    <col customWidth="1" min="6" max="6" width="6.63"/>
    <col customWidth="1" hidden="1" min="7" max="7" width="6.63"/>
    <col customWidth="1" hidden="1" min="8" max="8" width="4.38"/>
    <col hidden="1" min="9" max="9" width="12.63"/>
    <col customWidth="1" hidden="1" min="10" max="10" width="6.5"/>
    <col hidden="1" min="11" max="11" width="12.63"/>
    <col customWidth="1" min="12" max="12" width="8.5"/>
    <col customWidth="1" min="13" max="13" width="9.75"/>
    <col customWidth="1" min="14" max="14" width="11.38"/>
    <col hidden="1" min="15" max="15" width="12.63"/>
    <col customWidth="1" hidden="1" min="16" max="16" width="7.0"/>
    <col customWidth="1" min="17" max="17" width="6.5"/>
    <col customWidth="1" min="18" max="18" width="10.13"/>
    <col hidden="1" min="19" max="24" width="12.63"/>
    <col customWidth="1" hidden="1" min="25" max="25" width="10.25"/>
    <col customWidth="1" min="26" max="26" width="6.88"/>
    <col hidden="1" min="27" max="27" width="12.63"/>
    <col customWidth="1" min="28" max="28" width="13.0"/>
    <col customWidth="1" hidden="1" min="29" max="29" width="11.13"/>
    <col customWidth="1" hidden="1" min="30" max="30" width="10.63"/>
    <col hidden="1" min="31" max="31" width="12.63"/>
    <col customWidth="1" min="32" max="32" width="11.88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0" customHeight="1">
      <c r="A2" s="59"/>
      <c r="B2" s="64" t="s">
        <v>47</v>
      </c>
      <c r="C2" s="3"/>
      <c r="D2" s="65"/>
      <c r="E2" s="3"/>
      <c r="F2" s="66" t="str">
        <f>"Inscriptos: "&amp;COUNTA(C4:C100)</f>
        <v>Inscriptos: 12</v>
      </c>
      <c r="G2" s="3"/>
      <c r="H2" s="3"/>
      <c r="I2" s="67"/>
      <c r="J2" s="67"/>
      <c r="K2" s="67"/>
      <c r="L2" s="3"/>
      <c r="M2" s="3"/>
      <c r="N2" s="3"/>
      <c r="O2" s="3"/>
      <c r="P2" s="3"/>
      <c r="Q2" s="3"/>
      <c r="R2" s="3"/>
      <c r="S2" s="67"/>
      <c r="T2" s="67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9" t="s">
        <v>48</v>
      </c>
      <c r="B3" s="97" t="str">
        <f>IFERROR(__xludf.DUMMYFUNCTION("query(Titulos)"),"Dia y Hora")</f>
        <v>Dia y Hora</v>
      </c>
      <c r="C3" s="97" t="str">
        <f>IFERROR(__xludf.DUMMYFUNCTION("""COMPUTED_VALUE"""),"Nombre")</f>
        <v>Nombre</v>
      </c>
      <c r="D3" s="97" t="str">
        <f>IFERROR(__xludf.DUMMYFUNCTION("""COMPUTED_VALUE"""),"Apellido")</f>
        <v>Apellido</v>
      </c>
      <c r="E3" s="97" t="str">
        <f>IFERROR(__xludf.DUMMYFUNCTION("""COMPUTED_VALUE"""),"Ciudad")</f>
        <v>Ciudad</v>
      </c>
      <c r="F3" s="97" t="str">
        <f>IFERROR(__xludf.DUMMYFUNCTION("""COMPUTED_VALUE"""),"Pais")</f>
        <v>Pais</v>
      </c>
      <c r="G3" s="97" t="str">
        <f>IFERROR(__xludf.DUMMYFUNCTION("""COMPUTED_VALUE"""),"DNI")</f>
        <v>DNI</v>
      </c>
      <c r="H3" s="97" t="str">
        <f>IFERROR(__xludf.DUMMYFUNCTION("""COMPUTED_VALUE"""),"Nacimiento")</f>
        <v>Nacimiento</v>
      </c>
      <c r="I3" s="97" t="str">
        <f>IFERROR(__xludf.DUMMYFUNCTION("""COMPUTED_VALUE"""),"Celular de Contacto")</f>
        <v>Celular de Contacto</v>
      </c>
      <c r="J3" s="97" t="str">
        <f>IFERROR(__xludf.DUMMYFUNCTION("""COMPUTED_VALUE"""),"Celular de Emergencias")</f>
        <v>Celular de Emergencias</v>
      </c>
      <c r="K3" s="97" t="str">
        <f>IFERROR(__xludf.DUMMYFUNCTION("""COMPUTED_VALUE"""),"email")</f>
        <v>email</v>
      </c>
      <c r="L3" s="97" t="str">
        <f>IFERROR(__xludf.DUMMYFUNCTION("""COMPUTED_VALUE"""),"Sexo")</f>
        <v>Sexo</v>
      </c>
      <c r="M3" s="97" t="str">
        <f>IFERROR(__xludf.DUMMYFUNCTION("""COMPUTED_VALUE"""),"Club")</f>
        <v>Club</v>
      </c>
      <c r="N3" s="97" t="str">
        <f>IFERROR(__xludf.DUMMYFUNCTION("""COMPUTED_VALUE"""),"Categoría")</f>
        <v>Categoría</v>
      </c>
      <c r="O3" s="97" t="str">
        <f>IFERROR(__xludf.DUMMYFUNCTION("""COMPUTED_VALUE"""),"Clase")</f>
        <v>Clase</v>
      </c>
      <c r="P3" s="97" t="str">
        <f>IFERROR(__xludf.DUMMYFUNCTION("""COMPUTED_VALUE"""),"Proa Nº")</f>
        <v>Proa Nº</v>
      </c>
      <c r="Q3" s="97" t="str">
        <f>IFERROR(__xludf.DUMMYFUNCTION("""COMPUTED_VALUE"""),"Vela")</f>
        <v>Vela</v>
      </c>
      <c r="R3" s="86" t="str">
        <f>IFERROR(__xludf.DUMMYFUNCTION("""COMPUTED_VALUE"""),"Nombre del Barco")</f>
        <v>Nombre del Barco</v>
      </c>
      <c r="S3" s="86" t="str">
        <f>IFERROR(__xludf.DUMMYFUNCTION("""COMPUTED_VALUE"""),"Tripulante 1")</f>
        <v>Tripulante 1</v>
      </c>
      <c r="T3" s="86" t="str">
        <f>IFERROR(__xludf.DUMMYFUNCTION("""COMPUTED_VALUE"""),"Tripulante 2")</f>
        <v>Tripulante 2</v>
      </c>
      <c r="U3" s="86" t="str">
        <f>IFERROR(__xludf.DUMMYFUNCTION("""COMPUTED_VALUE"""),"Tripulante 3")</f>
        <v>Tripulante 3</v>
      </c>
      <c r="V3" s="86" t="str">
        <f>IFERROR(__xludf.DUMMYFUNCTION("""COMPUTED_VALUE"""),"Tripulante 4")</f>
        <v>Tripulante 4</v>
      </c>
      <c r="W3" s="86" t="str">
        <f>IFERROR(__xludf.DUMMYFUNCTION("""COMPUTED_VALUE"""),"Tripulante 5")</f>
        <v>Tripulante 5</v>
      </c>
      <c r="X3" s="86" t="str">
        <f>IFERROR(__xludf.DUMMYFUNCTION("""COMPUTED_VALUE"""),"Tripulante 6")</f>
        <v>Tripulante 6</v>
      </c>
      <c r="Y3" s="86" t="str">
        <f>IFERROR(__xludf.DUMMYFUNCTION("""COMPUTED_VALUE"""),"Obra Social/Nº Afiliado")</f>
        <v>Obra Social/Nº Afiliado</v>
      </c>
      <c r="Z3" s="98" t="str">
        <f>IFERROR(__xludf.DUMMYFUNCTION("""COMPUTED_VALUE"""),"Bajada YCO")</f>
        <v>Bajada YCO</v>
      </c>
      <c r="AA3" s="98" t="str">
        <f>IFERROR(__xludf.DUMMYFUNCTION("""COMPUTED_VALUE"""),"Términos y Condiciones")</f>
        <v>Términos y Condiciones</v>
      </c>
      <c r="AB3" s="98" t="str">
        <f>IFERROR(__xludf.DUMMYFUNCTION("""COMPUTED_VALUE"""),"Pago")</f>
        <v>Pago</v>
      </c>
      <c r="AC3" s="86" t="str">
        <f>IFERROR(__xludf.DUMMYFUNCTION("""COMPUTED_VALUE"""),"Importe")</f>
        <v>Importe</v>
      </c>
      <c r="AD3" s="86" t="str">
        <f>IFERROR(__xludf.DUMMYFUNCTION("""COMPUTED_VALUE"""),"RECIBO")</f>
        <v>RECIBO</v>
      </c>
      <c r="AE3" s="94"/>
      <c r="AF3" s="104" t="s">
        <v>49</v>
      </c>
      <c r="AG3" s="99" t="s">
        <v>32</v>
      </c>
    </row>
    <row r="4">
      <c r="B4" s="100">
        <f>IFERROR(__xludf.DUMMYFUNCTION("filter(Datos,Clases=A3)"),45535.7442405787)</f>
        <v>45535.74424</v>
      </c>
      <c r="C4" s="91" t="str">
        <f>IFERROR(__xludf.DUMMYFUNCTION("""COMPUTED_VALUE"""),"Julian")</f>
        <v>Julian</v>
      </c>
      <c r="D4" s="91" t="str">
        <f>IFERROR(__xludf.DUMMYFUNCTION("""COMPUTED_VALUE"""),"Burgos")</f>
        <v>Burgos</v>
      </c>
      <c r="E4" s="91" t="str">
        <f>IFERROR(__xludf.DUMMYFUNCTION("""COMPUTED_VALUE"""),"Puerto Madryn ")</f>
        <v>Puerto Madryn </v>
      </c>
      <c r="F4" s="91" t="str">
        <f>IFERROR(__xludf.DUMMYFUNCTION("""COMPUTED_VALUE"""),"ARG")</f>
        <v>ARG</v>
      </c>
      <c r="G4" s="91">
        <f>IFERROR(__xludf.DUMMYFUNCTION("""COMPUTED_VALUE"""),4.8964983E7)</f>
        <v>48964983</v>
      </c>
      <c r="H4" s="101">
        <f>IFERROR(__xludf.DUMMYFUNCTION("""COMPUTED_VALUE"""),39703.0)</f>
        <v>39703</v>
      </c>
      <c r="I4" s="91">
        <f>IFERROR(__xludf.DUMMYFUNCTION("""COMPUTED_VALUE"""),2.804678683E9)</f>
        <v>2804678683</v>
      </c>
      <c r="J4" s="91">
        <f>IFERROR(__xludf.DUMMYFUNCTION("""COMPUTED_VALUE"""),2.804602408E9)</f>
        <v>2804602408</v>
      </c>
      <c r="K4" s="91" t="str">
        <f>IFERROR(__xludf.DUMMYFUNCTION("""COMPUTED_VALUE"""),"julianburgossaranz08@gmail.com")</f>
        <v>julianburgossaranz08@gmail.com</v>
      </c>
      <c r="L4" s="91" t="str">
        <f>IFERROR(__xludf.DUMMYFUNCTION("""COMPUTED_VALUE"""),"Masculino")</f>
        <v>Masculino</v>
      </c>
      <c r="M4" s="91" t="str">
        <f>IFERROR(__xludf.DUMMYFUNCTION("""COMPUTED_VALUE"""),"CNAS")</f>
        <v>CNAS</v>
      </c>
      <c r="N4" s="91" t="str">
        <f>IFERROR(__xludf.DUMMYFUNCTION("""COMPUTED_VALUE"""),"ILCA 4")</f>
        <v>ILCA 4</v>
      </c>
      <c r="O4" s="91" t="str">
        <f>IFERROR(__xludf.DUMMYFUNCTION("""COMPUTED_VALUE"""),"ILCA 4")</f>
        <v>ILCA 4</v>
      </c>
      <c r="P4" s="91"/>
      <c r="Q4" s="91">
        <f>IFERROR(__xludf.DUMMYFUNCTION("""COMPUTED_VALUE"""),1209.0)</f>
        <v>1209</v>
      </c>
      <c r="R4" s="94"/>
      <c r="S4" s="94"/>
      <c r="T4" s="94"/>
      <c r="U4" s="94"/>
      <c r="V4" s="94"/>
      <c r="W4" s="94"/>
      <c r="X4" s="94"/>
      <c r="Y4" s="94" t="str">
        <f>IFERROR(__xludf.DUMMYFUNCTION("""COMPUTED_VALUE"""),"Swiss Medical")</f>
        <v>Swiss Medical</v>
      </c>
      <c r="Z4" s="92" t="str">
        <f>IFERROR(__xludf.DUMMYFUNCTION("""COMPUTED_VALUE"""),"Si")</f>
        <v>Si</v>
      </c>
      <c r="AA4" s="92" t="str">
        <f>IFERROR(__xludf.DUMMYFUNCTION("""COMPUTED_VALUE"""),"Acepto")</f>
        <v>Acepto</v>
      </c>
      <c r="AB4" s="92" t="str">
        <f>IFERROR(__xludf.DUMMYFUNCTION("""COMPUTED_VALUE"""),"Terminado")</f>
        <v>Terminado</v>
      </c>
      <c r="AC4" s="94">
        <f>IFERROR(__xludf.DUMMYFUNCTION("""COMPUTED_VALUE"""),38250.0)</f>
        <v>38250</v>
      </c>
      <c r="AD4" s="94" t="str">
        <f>IFERROR(__xludf.DUMMYFUNCTION("""COMPUTED_VALUE"""),"205370/205371")</f>
        <v>205370/205371</v>
      </c>
      <c r="AE4" s="94" t="str">
        <f>IFERROR(__xludf.DUMMYFUNCTION("""COMPUTED_VALUE"""),"TRF 02-09")</f>
        <v>TRF 02-09</v>
      </c>
      <c r="AF4" s="94" t="str">
        <f>IFERROR(__xludf.DUMMYFUNCTION("""COMPUTED_VALUE"""),"OK")</f>
        <v>OK</v>
      </c>
      <c r="AG4" s="94"/>
    </row>
    <row r="5">
      <c r="B5" s="100">
        <f>IFERROR(__xludf.DUMMYFUNCTION("""COMPUTED_VALUE"""),45531.784502395836)</f>
        <v>45531.7845</v>
      </c>
      <c r="C5" s="91" t="str">
        <f>IFERROR(__xludf.DUMMYFUNCTION("""COMPUTED_VALUE"""),"maría ")</f>
        <v>maría </v>
      </c>
      <c r="D5" s="91" t="str">
        <f>IFERROR(__xludf.DUMMYFUNCTION("""COMPUTED_VALUE"""),"couyet")</f>
        <v>couyet</v>
      </c>
      <c r="E5" s="91" t="str">
        <f>IFERROR(__xludf.DUMMYFUNCTION("""COMPUTED_VALUE"""),"la plata ")</f>
        <v>la plata </v>
      </c>
      <c r="F5" s="91" t="str">
        <f>IFERROR(__xludf.DUMMYFUNCTION("""COMPUTED_VALUE"""),"ARG")</f>
        <v>ARG</v>
      </c>
      <c r="G5" s="91">
        <f>IFERROR(__xludf.DUMMYFUNCTION("""COMPUTED_VALUE"""),4.8094863E7)</f>
        <v>48094863</v>
      </c>
      <c r="H5" s="101">
        <f>IFERROR(__xludf.DUMMYFUNCTION("""COMPUTED_VALUE"""),39203.0)</f>
        <v>39203</v>
      </c>
      <c r="I5" s="91">
        <f>IFERROR(__xludf.DUMMYFUNCTION("""COMPUTED_VALUE"""),2.213041655E9)</f>
        <v>2213041655</v>
      </c>
      <c r="J5" s="91">
        <f>IFERROR(__xludf.DUMMYFUNCTION("""COMPUTED_VALUE"""),2.214635268E9)</f>
        <v>2214635268</v>
      </c>
      <c r="K5" s="91" t="str">
        <f>IFERROR(__xludf.DUMMYFUNCTION("""COMPUTED_VALUE"""),"mariacouyet1@gmail.com")</f>
        <v>mariacouyet1@gmail.com</v>
      </c>
      <c r="L5" s="91" t="str">
        <f>IFERROR(__xludf.DUMMYFUNCTION("""COMPUTED_VALUE"""),"Femenino")</f>
        <v>Femenino</v>
      </c>
      <c r="M5" s="91" t="str">
        <f>IFERROR(__xludf.DUMMYFUNCTION("""COMPUTED_VALUE"""),"CRLP")</f>
        <v>CRLP</v>
      </c>
      <c r="N5" s="91" t="str">
        <f>IFERROR(__xludf.DUMMYFUNCTION("""COMPUTED_VALUE"""),"Femenino")</f>
        <v>Femenino</v>
      </c>
      <c r="O5" s="91" t="str">
        <f>IFERROR(__xludf.DUMMYFUNCTION("""COMPUTED_VALUE"""),"ILCA 4")</f>
        <v>ILCA 4</v>
      </c>
      <c r="P5" s="91"/>
      <c r="Q5" s="91">
        <f>IFERROR(__xludf.DUMMYFUNCTION("""COMPUTED_VALUE"""),195348.0)</f>
        <v>195348</v>
      </c>
      <c r="R5" s="94"/>
      <c r="S5" s="94"/>
      <c r="T5" s="94"/>
      <c r="U5" s="94"/>
      <c r="V5" s="94"/>
      <c r="W5" s="94"/>
      <c r="X5" s="94"/>
      <c r="Y5" s="94" t="str">
        <f>IFERROR(__xludf.DUMMYFUNCTION("""COMPUTED_VALUE"""),"IOMA")</f>
        <v>IOMA</v>
      </c>
      <c r="Z5" s="92" t="str">
        <f>IFERROR(__xludf.DUMMYFUNCTION("""COMPUTED_VALUE"""),"No")</f>
        <v>No</v>
      </c>
      <c r="AA5" s="92" t="str">
        <f>IFERROR(__xludf.DUMMYFUNCTION("""COMPUTED_VALUE"""),"Acepto")</f>
        <v>Acepto</v>
      </c>
      <c r="AB5" s="92" t="str">
        <f>IFERROR(__xludf.DUMMYFUNCTION("""COMPUTED_VALUE"""),"Parcial")</f>
        <v>Parcial</v>
      </c>
      <c r="AC5" s="94">
        <f>IFERROR(__xludf.DUMMYFUNCTION("""COMPUTED_VALUE"""),40000.0)</f>
        <v>40000</v>
      </c>
      <c r="AD5" s="94">
        <f>IFERROR(__xludf.DUMMYFUNCTION("""COMPUTED_VALUE"""),205069.0)</f>
        <v>205069</v>
      </c>
      <c r="AE5" s="94" t="str">
        <f>IFERROR(__xludf.DUMMYFUNCTION("""COMPUTED_VALUE"""),"TRF 27-08")</f>
        <v>TRF 27-08</v>
      </c>
      <c r="AF5" s="94" t="str">
        <f>IFERROR(__xludf.DUMMYFUNCTION("""COMPUTED_VALUE"""),"OK")</f>
        <v>OK</v>
      </c>
      <c r="AG5" s="94" t="str">
        <f>IFERROR(__xludf.DUMMYFUNCTION("""COMPUTED_VALUE"""),"Debe saldo")</f>
        <v>Debe saldo</v>
      </c>
    </row>
    <row r="6">
      <c r="B6" s="100">
        <f>IFERROR(__xludf.DUMMYFUNCTION("""COMPUTED_VALUE"""),45535.678526979165)</f>
        <v>45535.67853</v>
      </c>
      <c r="C6" s="91" t="str">
        <f>IFERROR(__xludf.DUMMYFUNCTION("""COMPUTED_VALUE"""),"Juana")</f>
        <v>Juana</v>
      </c>
      <c r="D6" s="91" t="str">
        <f>IFERROR(__xludf.DUMMYFUNCTION("""COMPUTED_VALUE"""),"Crola")</f>
        <v>Crola</v>
      </c>
      <c r="E6" s="91" t="str">
        <f>IFERROR(__xludf.DUMMYFUNCTION("""COMPUTED_VALUE"""),"La Plata")</f>
        <v>La Plata</v>
      </c>
      <c r="F6" s="91" t="str">
        <f>IFERROR(__xludf.DUMMYFUNCTION("""COMPUTED_VALUE"""),"ARG")</f>
        <v>ARG</v>
      </c>
      <c r="G6" s="91">
        <f>IFERROR(__xludf.DUMMYFUNCTION("""COMPUTED_VALUE"""),4.6269301E7)</f>
        <v>46269301</v>
      </c>
      <c r="H6" s="101">
        <f>IFERROR(__xludf.DUMMYFUNCTION("""COMPUTED_VALUE"""),38303.0)</f>
        <v>38303</v>
      </c>
      <c r="I6" s="91">
        <f>IFERROR(__xludf.DUMMYFUNCTION("""COMPUTED_VALUE"""),9.2214976531E10)</f>
        <v>92214976531</v>
      </c>
      <c r="J6" s="91">
        <f>IFERROR(__xludf.DUMMYFUNCTION("""COMPUTED_VALUE"""),9.2214976531E10)</f>
        <v>92214976531</v>
      </c>
      <c r="K6" s="91" t="str">
        <f>IFERROR(__xludf.DUMMYFUNCTION("""COMPUTED_VALUE"""),"juanacrola1@gmail.com")</f>
        <v>juanacrola1@gmail.com</v>
      </c>
      <c r="L6" s="91" t="str">
        <f>IFERROR(__xludf.DUMMYFUNCTION("""COMPUTED_VALUE"""),"Femenino")</f>
        <v>Femenino</v>
      </c>
      <c r="M6" s="91" t="str">
        <f>IFERROR(__xludf.DUMMYFUNCTION("""COMPUTED_VALUE"""),"CRLP")</f>
        <v>CRLP</v>
      </c>
      <c r="N6" s="91" t="str">
        <f>IFERROR(__xludf.DUMMYFUNCTION("""COMPUTED_VALUE"""),"Femenino")</f>
        <v>Femenino</v>
      </c>
      <c r="O6" s="91" t="str">
        <f>IFERROR(__xludf.DUMMYFUNCTION("""COMPUTED_VALUE"""),"ILCA 4")</f>
        <v>ILCA 4</v>
      </c>
      <c r="P6" s="91"/>
      <c r="Q6" s="91">
        <f>IFERROR(__xludf.DUMMYFUNCTION("""COMPUTED_VALUE"""),195396.0)</f>
        <v>195396</v>
      </c>
      <c r="R6" s="94"/>
      <c r="S6" s="94"/>
      <c r="T6" s="94"/>
      <c r="U6" s="94"/>
      <c r="V6" s="94"/>
      <c r="W6" s="94"/>
      <c r="X6" s="94"/>
      <c r="Y6" s="94">
        <f>IFERROR(__xludf.DUMMYFUNCTION("""COMPUTED_VALUE"""),2.217367204E9)</f>
        <v>2217367204</v>
      </c>
      <c r="Z6" s="92" t="str">
        <f>IFERROR(__xludf.DUMMYFUNCTION("""COMPUTED_VALUE"""),"No")</f>
        <v>No</v>
      </c>
      <c r="AA6" s="92" t="str">
        <f>IFERROR(__xludf.DUMMYFUNCTION("""COMPUTED_VALUE"""),"Acepto")</f>
        <v>Acepto</v>
      </c>
      <c r="AB6" s="92" t="str">
        <f>IFERROR(__xludf.DUMMYFUNCTION("""COMPUTED_VALUE"""),"Terminado")</f>
        <v>Terminado</v>
      </c>
      <c r="AC6" s="94">
        <f>IFERROR(__xludf.DUMMYFUNCTION("""COMPUTED_VALUE"""),45000.0)</f>
        <v>45000</v>
      </c>
      <c r="AD6" s="94" t="str">
        <f>IFERROR(__xludf.DUMMYFUNCTION("""COMPUTED_VALUE"""),"205170/205365")</f>
        <v>205170/205365</v>
      </c>
      <c r="AE6" s="94" t="str">
        <f>IFERROR(__xludf.DUMMYFUNCTION("""COMPUTED_VALUE"""),"TRF 31-08")</f>
        <v>TRF 31-08</v>
      </c>
      <c r="AF6" s="94" t="str">
        <f>IFERROR(__xludf.DUMMYFUNCTION("""COMPUTED_VALUE"""),"No Corresp")</f>
        <v>No Corresp</v>
      </c>
      <c r="AG6" s="94"/>
    </row>
    <row r="7">
      <c r="B7" s="100">
        <f>IFERROR(__xludf.DUMMYFUNCTION("""COMPUTED_VALUE"""),45531.80804548611)</f>
        <v>45531.80805</v>
      </c>
      <c r="C7" s="91" t="str">
        <f>IFERROR(__xludf.DUMMYFUNCTION("""COMPUTED_VALUE"""),"Valentina")</f>
        <v>Valentina</v>
      </c>
      <c r="D7" s="91" t="str">
        <f>IFERROR(__xludf.DUMMYFUNCTION("""COMPUTED_VALUE"""),"Galli Kluge")</f>
        <v>Galli Kluge</v>
      </c>
      <c r="E7" s="91" t="str">
        <f>IFERROR(__xludf.DUMMYFUNCTION("""COMPUTED_VALUE"""),"CABA")</f>
        <v>CABA</v>
      </c>
      <c r="F7" s="91" t="str">
        <f>IFERROR(__xludf.DUMMYFUNCTION("""COMPUTED_VALUE"""),"ARG")</f>
        <v>ARG</v>
      </c>
      <c r="G7" s="91">
        <f>IFERROR(__xludf.DUMMYFUNCTION("""COMPUTED_VALUE"""),4.9703324E7)</f>
        <v>49703324</v>
      </c>
      <c r="H7" s="101">
        <f>IFERROR(__xludf.DUMMYFUNCTION("""COMPUTED_VALUE"""),40055.0)</f>
        <v>40055</v>
      </c>
      <c r="I7" s="91">
        <f>IFERROR(__xludf.DUMMYFUNCTION("""COMPUTED_VALUE"""),1.131637901E9)</f>
        <v>1131637901</v>
      </c>
      <c r="J7" s="91">
        <f>IFERROR(__xludf.DUMMYFUNCTION("""COMPUTED_VALUE"""),1.131637901E9)</f>
        <v>1131637901</v>
      </c>
      <c r="K7" s="91" t="str">
        <f>IFERROR(__xludf.DUMMYFUNCTION("""COMPUTED_VALUE"""),"martinianogalli@gmail.com")</f>
        <v>martinianogalli@gmail.com</v>
      </c>
      <c r="L7" s="91" t="str">
        <f>IFERROR(__xludf.DUMMYFUNCTION("""COMPUTED_VALUE"""),"Femenino")</f>
        <v>Femenino</v>
      </c>
      <c r="M7" s="91" t="str">
        <f>IFERROR(__xludf.DUMMYFUNCTION("""COMPUTED_VALUE"""),"CVB")</f>
        <v>CVB</v>
      </c>
      <c r="N7" s="91" t="str">
        <f>IFERROR(__xludf.DUMMYFUNCTION("""COMPUTED_VALUE"""),"Femenino")</f>
        <v>Femenino</v>
      </c>
      <c r="O7" s="91" t="str">
        <f>IFERROR(__xludf.DUMMYFUNCTION("""COMPUTED_VALUE"""),"ILCA 4")</f>
        <v>ILCA 4</v>
      </c>
      <c r="P7" s="91"/>
      <c r="Q7" s="91">
        <f>IFERROR(__xludf.DUMMYFUNCTION("""COMPUTED_VALUE"""),32.0)</f>
        <v>32</v>
      </c>
      <c r="R7" s="94"/>
      <c r="S7" s="94"/>
      <c r="T7" s="94"/>
      <c r="U7" s="94"/>
      <c r="V7" s="94"/>
      <c r="W7" s="94"/>
      <c r="X7" s="94"/>
      <c r="Y7" s="94" t="str">
        <f>IFERROR(__xludf.DUMMYFUNCTION("""COMPUTED_VALUE"""),"OSDE")</f>
        <v>OSDE</v>
      </c>
      <c r="Z7" s="92" t="str">
        <f>IFERROR(__xludf.DUMMYFUNCTION("""COMPUTED_VALUE"""),"Si")</f>
        <v>Si</v>
      </c>
      <c r="AA7" s="92" t="str">
        <f>IFERROR(__xludf.DUMMYFUNCTION("""COMPUTED_VALUE"""),"Acepto")</f>
        <v>Acepto</v>
      </c>
      <c r="AB7" s="92" t="str">
        <f>IFERROR(__xludf.DUMMYFUNCTION("""COMPUTED_VALUE"""),"Terminado")</f>
        <v>Terminado</v>
      </c>
      <c r="AC7" s="94">
        <f>IFERROR(__xludf.DUMMYFUNCTION("""COMPUTED_VALUE"""),45000.0)</f>
        <v>45000</v>
      </c>
      <c r="AD7" s="94">
        <f>IFERROR(__xludf.DUMMYFUNCTION("""COMPUTED_VALUE"""),205061.0)</f>
        <v>205061</v>
      </c>
      <c r="AE7" s="94" t="str">
        <f>IFERROR(__xludf.DUMMYFUNCTION("""COMPUTED_VALUE"""),"TRF 27-08")</f>
        <v>TRF 27-08</v>
      </c>
      <c r="AF7" s="94" t="str">
        <f>IFERROR(__xludf.DUMMYFUNCTION("""COMPUTED_VALUE"""),"OK")</f>
        <v>OK</v>
      </c>
      <c r="AG7" s="94"/>
    </row>
    <row r="8">
      <c r="B8" s="100">
        <f>IFERROR(__xludf.DUMMYFUNCTION("""COMPUTED_VALUE"""),45532.37768521991)</f>
        <v>45532.37769</v>
      </c>
      <c r="C8" s="91" t="str">
        <f>IFERROR(__xludf.DUMMYFUNCTION("""COMPUTED_VALUE"""),"Grecia")</f>
        <v>Grecia</v>
      </c>
      <c r="D8" s="91" t="str">
        <f>IFERROR(__xludf.DUMMYFUNCTION("""COMPUTED_VALUE"""),"Lenzetti Colin")</f>
        <v>Lenzetti Colin</v>
      </c>
      <c r="E8" s="91" t="str">
        <f>IFERROR(__xludf.DUMMYFUNCTION("""COMPUTED_VALUE"""),"La Plata")</f>
        <v>La Plata</v>
      </c>
      <c r="F8" s="91" t="str">
        <f>IFERROR(__xludf.DUMMYFUNCTION("""COMPUTED_VALUE"""),"ARG")</f>
        <v>ARG</v>
      </c>
      <c r="G8" s="91">
        <f>IFERROR(__xludf.DUMMYFUNCTION("""COMPUTED_VALUE"""),4.892246E7)</f>
        <v>48922460</v>
      </c>
      <c r="H8" s="101">
        <f>IFERROR(__xludf.DUMMYFUNCTION("""COMPUTED_VALUE"""),39692.0)</f>
        <v>39692</v>
      </c>
      <c r="I8" s="91">
        <f>IFERROR(__xludf.DUMMYFUNCTION("""COMPUTED_VALUE"""),2.213573333E9)</f>
        <v>2213573333</v>
      </c>
      <c r="J8" s="91">
        <f>IFERROR(__xludf.DUMMYFUNCTION("""COMPUTED_VALUE"""),2.213573333E9)</f>
        <v>2213573333</v>
      </c>
      <c r="K8" s="91" t="str">
        <f>IFERROR(__xludf.DUMMYFUNCTION("""COMPUTED_VALUE"""),"martin.lenzetti@gmail.com")</f>
        <v>martin.lenzetti@gmail.com</v>
      </c>
      <c r="L8" s="91" t="str">
        <f>IFERROR(__xludf.DUMMYFUNCTION("""COMPUTED_VALUE"""),"Femenino")</f>
        <v>Femenino</v>
      </c>
      <c r="M8" s="91" t="str">
        <f>IFERROR(__xludf.DUMMYFUNCTION("""COMPUTED_VALUE"""),"CRLP")</f>
        <v>CRLP</v>
      </c>
      <c r="N8" s="91" t="str">
        <f>IFERROR(__xludf.DUMMYFUNCTION("""COMPUTED_VALUE"""),"Femenino")</f>
        <v>Femenino</v>
      </c>
      <c r="O8" s="91" t="str">
        <f>IFERROR(__xludf.DUMMYFUNCTION("""COMPUTED_VALUE"""),"ILCA 4")</f>
        <v>ILCA 4</v>
      </c>
      <c r="P8" s="91"/>
      <c r="Q8" s="91">
        <f>IFERROR(__xludf.DUMMYFUNCTION("""COMPUTED_VALUE"""),221267.0)</f>
        <v>221267</v>
      </c>
      <c r="R8" s="94"/>
      <c r="S8" s="94"/>
      <c r="T8" s="94"/>
      <c r="U8" s="94"/>
      <c r="V8" s="94"/>
      <c r="W8" s="94"/>
      <c r="X8" s="94"/>
      <c r="Y8" s="94" t="str">
        <f>IFERROR(__xludf.DUMMYFUNCTION("""COMPUTED_VALUE"""),"Swiss Medical / Nº8000063965174030015")</f>
        <v>Swiss Medical / Nº8000063965174030015</v>
      </c>
      <c r="Z8" s="92" t="str">
        <f>IFERROR(__xludf.DUMMYFUNCTION("""COMPUTED_VALUE"""),"No")</f>
        <v>No</v>
      </c>
      <c r="AA8" s="92" t="str">
        <f>IFERROR(__xludf.DUMMYFUNCTION("""COMPUTED_VALUE"""),"Acepto")</f>
        <v>Acepto</v>
      </c>
      <c r="AB8" s="92" t="str">
        <f>IFERROR(__xludf.DUMMYFUNCTION("""COMPUTED_VALUE"""),"Terminado")</f>
        <v>Terminado</v>
      </c>
      <c r="AC8" s="94">
        <f>IFERROR(__xludf.DUMMYFUNCTION("""COMPUTED_VALUE"""),45000.0)</f>
        <v>45000</v>
      </c>
      <c r="AD8" s="94">
        <f>IFERROR(__xludf.DUMMYFUNCTION("""COMPUTED_VALUE"""),205065.0)</f>
        <v>205065</v>
      </c>
      <c r="AE8" s="94" t="str">
        <f>IFERROR(__xludf.DUMMYFUNCTION("""COMPUTED_VALUE"""),"TRF 28-08")</f>
        <v>TRF 28-08</v>
      </c>
      <c r="AF8" s="94" t="str">
        <f>IFERROR(__xludf.DUMMYFUNCTION("""COMPUTED_VALUE"""),"OK")</f>
        <v>OK</v>
      </c>
      <c r="AG8" s="94"/>
    </row>
    <row r="9">
      <c r="B9" s="100">
        <f>IFERROR(__xludf.DUMMYFUNCTION("""COMPUTED_VALUE"""),45535.73855837963)</f>
        <v>45535.73856</v>
      </c>
      <c r="C9" s="91" t="str">
        <f>IFERROR(__xludf.DUMMYFUNCTION("""COMPUTED_VALUE"""),"Felix ")</f>
        <v>Felix </v>
      </c>
      <c r="D9" s="91" t="str">
        <f>IFERROR(__xludf.DUMMYFUNCTION("""COMPUTED_VALUE"""),"Pereyra Iraola ")</f>
        <v>Pereyra Iraola </v>
      </c>
      <c r="E9" s="91" t="str">
        <f>IFERROR(__xludf.DUMMYFUNCTION("""COMPUTED_VALUE"""),"CABA ")</f>
        <v>CABA </v>
      </c>
      <c r="F9" s="91" t="str">
        <f>IFERROR(__xludf.DUMMYFUNCTION("""COMPUTED_VALUE"""),"ARG")</f>
        <v>ARG</v>
      </c>
      <c r="G9" s="91">
        <f>IFERROR(__xludf.DUMMYFUNCTION("""COMPUTED_VALUE"""),4.8462484E7)</f>
        <v>48462484</v>
      </c>
      <c r="H9" s="101">
        <f>IFERROR(__xludf.DUMMYFUNCTION("""COMPUTED_VALUE"""),39489.0)</f>
        <v>39489</v>
      </c>
      <c r="I9" s="91">
        <f>IFERROR(__xludf.DUMMYFUNCTION("""COMPUTED_VALUE"""),1.167438705E9)</f>
        <v>1167438705</v>
      </c>
      <c r="J9" s="91">
        <f>IFERROR(__xludf.DUMMYFUNCTION("""COMPUTED_VALUE"""),1.153244102E9)</f>
        <v>1153244102</v>
      </c>
      <c r="K9" s="91" t="str">
        <f>IFERROR(__xludf.DUMMYFUNCTION("""COMPUTED_VALUE"""),"pereyrairaolafelixd@gmail.com")</f>
        <v>pereyrairaolafelixd@gmail.com</v>
      </c>
      <c r="L9" s="91" t="str">
        <f>IFERROR(__xludf.DUMMYFUNCTION("""COMPUTED_VALUE"""),"Masculino")</f>
        <v>Masculino</v>
      </c>
      <c r="M9" s="91" t="str">
        <f>IFERROR(__xludf.DUMMYFUNCTION("""COMPUTED_VALUE"""),"YCA")</f>
        <v>YCA</v>
      </c>
      <c r="N9" s="91"/>
      <c r="O9" s="91" t="str">
        <f>IFERROR(__xludf.DUMMYFUNCTION("""COMPUTED_VALUE"""),"ILCA 4")</f>
        <v>ILCA 4</v>
      </c>
      <c r="P9" s="91"/>
      <c r="Q9" s="91">
        <f>IFERROR(__xludf.DUMMYFUNCTION("""COMPUTED_VALUE"""),224775.0)</f>
        <v>224775</v>
      </c>
      <c r="R9" s="94"/>
      <c r="S9" s="94"/>
      <c r="T9" s="94"/>
      <c r="U9" s="94"/>
      <c r="V9" s="94"/>
      <c r="W9" s="94"/>
      <c r="X9" s="94"/>
      <c r="Y9" s="94" t="str">
        <f>IFERROR(__xludf.DUMMYFUNCTION("""COMPUTED_VALUE"""),"OSDE")</f>
        <v>OSDE</v>
      </c>
      <c r="Z9" s="92" t="str">
        <f>IFERROR(__xludf.DUMMYFUNCTION("""COMPUTED_VALUE"""),"No")</f>
        <v>No</v>
      </c>
      <c r="AA9" s="92" t="str">
        <f>IFERROR(__xludf.DUMMYFUNCTION("""COMPUTED_VALUE"""),"Acepto")</f>
        <v>Acepto</v>
      </c>
      <c r="AB9" s="92" t="str">
        <f>IFERROR(__xludf.DUMMYFUNCTION("""COMPUTED_VALUE"""),"Terminado")</f>
        <v>Terminado</v>
      </c>
      <c r="AC9" s="94">
        <f>IFERROR(__xludf.DUMMYFUNCTION("""COMPUTED_VALUE"""),45000.0)</f>
        <v>45000</v>
      </c>
      <c r="AD9" s="94">
        <f>IFERROR(__xludf.DUMMYFUNCTION("""COMPUTED_VALUE"""),205350.0)</f>
        <v>205350</v>
      </c>
      <c r="AE9" s="94" t="str">
        <f>IFERROR(__xludf.DUMMYFUNCTION("""COMPUTED_VALUE"""),"TRF 31-08")</f>
        <v>TRF 31-08</v>
      </c>
      <c r="AF9" s="94" t="str">
        <f>IFERROR(__xludf.DUMMYFUNCTION("""COMPUTED_VALUE"""),"OK")</f>
        <v>OK</v>
      </c>
      <c r="AG9" s="94"/>
    </row>
    <row r="10">
      <c r="B10" s="100">
        <f>IFERROR(__xludf.DUMMYFUNCTION("""COMPUTED_VALUE"""),45533.911565312505)</f>
        <v>45533.91157</v>
      </c>
      <c r="C10" s="91" t="str">
        <f>IFERROR(__xludf.DUMMYFUNCTION("""COMPUTED_VALUE"""),"Santino")</f>
        <v>Santino</v>
      </c>
      <c r="D10" s="91" t="str">
        <f>IFERROR(__xludf.DUMMYFUNCTION("""COMPUTED_VALUE"""),"Ronchi De croce")</f>
        <v>Ronchi De croce</v>
      </c>
      <c r="E10" s="91" t="str">
        <f>IFERROR(__xludf.DUMMYFUNCTION("""COMPUTED_VALUE"""),"Buenos aires")</f>
        <v>Buenos aires</v>
      </c>
      <c r="F10" s="91" t="str">
        <f>IFERROR(__xludf.DUMMYFUNCTION("""COMPUTED_VALUE"""),"ARG")</f>
        <v>ARG</v>
      </c>
      <c r="G10" s="91">
        <f>IFERROR(__xludf.DUMMYFUNCTION("""COMPUTED_VALUE"""),4.9422694E7)</f>
        <v>49422694</v>
      </c>
      <c r="H10" s="101">
        <f>IFERROR(__xludf.DUMMYFUNCTION("""COMPUTED_VALUE"""),40127.0)</f>
        <v>40127</v>
      </c>
      <c r="I10" s="91">
        <f>IFERROR(__xludf.DUMMYFUNCTION("""COMPUTED_VALUE"""),1.144293417E9)</f>
        <v>1144293417</v>
      </c>
      <c r="J10" s="91">
        <f>IFERROR(__xludf.DUMMYFUNCTION("""COMPUTED_VALUE"""),1.144293417E9)</f>
        <v>1144293417</v>
      </c>
      <c r="K10" s="91" t="str">
        <f>IFERROR(__xludf.DUMMYFUNCTION("""COMPUTED_VALUE"""),"andreafde@gmail.com")</f>
        <v>andreafde@gmail.com</v>
      </c>
      <c r="L10" s="91" t="str">
        <f>IFERROR(__xludf.DUMMYFUNCTION("""COMPUTED_VALUE"""),"Masculino")</f>
        <v>Masculino</v>
      </c>
      <c r="M10" s="91" t="str">
        <f>IFERROR(__xludf.DUMMYFUNCTION("""COMPUTED_VALUE"""),"YCA")</f>
        <v>YCA</v>
      </c>
      <c r="N10" s="91" t="str">
        <f>IFERROR(__xludf.DUMMYFUNCTION("""COMPUTED_VALUE"""),"Master (ILCA)")</f>
        <v>Master (ILCA)</v>
      </c>
      <c r="O10" s="91" t="str">
        <f>IFERROR(__xludf.DUMMYFUNCTION("""COMPUTED_VALUE"""),"ILCA 4")</f>
        <v>ILCA 4</v>
      </c>
      <c r="P10" s="91"/>
      <c r="Q10" s="91">
        <f>IFERROR(__xludf.DUMMYFUNCTION("""COMPUTED_VALUE"""),224587.0)</f>
        <v>224587</v>
      </c>
      <c r="R10" s="94"/>
      <c r="S10" s="94" t="str">
        <f>IFERROR(__xludf.DUMMYFUNCTION("""COMPUTED_VALUE"""),"Santino Ronchi De Croce ")</f>
        <v>Santino Ronchi De Croce </v>
      </c>
      <c r="T10" s="94"/>
      <c r="U10" s="94"/>
      <c r="V10" s="94"/>
      <c r="W10" s="94"/>
      <c r="X10" s="94"/>
      <c r="Y10" s="94"/>
      <c r="Z10" s="92" t="str">
        <f>IFERROR(__xludf.DUMMYFUNCTION("""COMPUTED_VALUE"""),"No")</f>
        <v>No</v>
      </c>
      <c r="AA10" s="92" t="str">
        <f>IFERROR(__xludf.DUMMYFUNCTION("""COMPUTED_VALUE"""),"Acepto")</f>
        <v>Acepto</v>
      </c>
      <c r="AB10" s="92" t="str">
        <f>IFERROR(__xludf.DUMMYFUNCTION("""COMPUTED_VALUE"""),"Terminado")</f>
        <v>Terminado</v>
      </c>
      <c r="AC10" s="94">
        <f>IFERROR(__xludf.DUMMYFUNCTION("""COMPUTED_VALUE"""),45000.0)</f>
        <v>45000</v>
      </c>
      <c r="AD10" s="94">
        <f>IFERROR(__xludf.DUMMYFUNCTION("""COMPUTED_VALUE"""),205095.0)</f>
        <v>205095</v>
      </c>
      <c r="AE10" s="94" t="str">
        <f>IFERROR(__xludf.DUMMYFUNCTION("""COMPUTED_VALUE"""),"TRF 30-08")</f>
        <v>TRF 30-08</v>
      </c>
      <c r="AF10" s="94" t="str">
        <f>IFERROR(__xludf.DUMMYFUNCTION("""COMPUTED_VALUE"""),"OK")</f>
        <v>OK</v>
      </c>
      <c r="AG10" s="94"/>
    </row>
    <row r="11">
      <c r="B11" s="100">
        <f>IFERROR(__xludf.DUMMYFUNCTION("""COMPUTED_VALUE"""),45535.718480462965)</f>
        <v>45535.71848</v>
      </c>
      <c r="C11" s="91" t="str">
        <f>IFERROR(__xludf.DUMMYFUNCTION("""COMPUTED_VALUE"""),"Martín Sebastian")</f>
        <v>Martín Sebastian</v>
      </c>
      <c r="D11" s="91" t="str">
        <f>IFERROR(__xludf.DUMMYFUNCTION("""COMPUTED_VALUE"""),"Tejada Ibañez")</f>
        <v>Tejada Ibañez</v>
      </c>
      <c r="E11" s="91" t="str">
        <f>IFERROR(__xludf.DUMMYFUNCTION("""COMPUTED_VALUE"""),"Buenos Aires")</f>
        <v>Buenos Aires</v>
      </c>
      <c r="F11" s="91" t="str">
        <f>IFERROR(__xludf.DUMMYFUNCTION("""COMPUTED_VALUE"""),"ARG")</f>
        <v>ARG</v>
      </c>
      <c r="G11" s="91">
        <f>IFERROR(__xludf.DUMMYFUNCTION("""COMPUTED_VALUE"""),4.893815E7)</f>
        <v>48938150</v>
      </c>
      <c r="H11" s="101">
        <f>IFERROR(__xludf.DUMMYFUNCTION("""COMPUTED_VALUE"""),39632.0)</f>
        <v>39632</v>
      </c>
      <c r="I11" s="91" t="str">
        <f>IFERROR(__xludf.DUMMYFUNCTION("""COMPUTED_VALUE"""),"+5492213553303")</f>
        <v>+5492213553303</v>
      </c>
      <c r="J11" s="91" t="str">
        <f>IFERROR(__xludf.DUMMYFUNCTION("""COMPUTED_VALUE"""),"+5492215036037")</f>
        <v>+5492215036037</v>
      </c>
      <c r="K11" s="91" t="str">
        <f>IFERROR(__xludf.DUMMYFUNCTION("""COMPUTED_VALUE"""),"martintejadaibanez@gmail.com")</f>
        <v>martintejadaibanez@gmail.com</v>
      </c>
      <c r="L11" s="91" t="str">
        <f>IFERROR(__xludf.DUMMYFUNCTION("""COMPUTED_VALUE"""),"Masculino")</f>
        <v>Masculino</v>
      </c>
      <c r="M11" s="91" t="str">
        <f>IFERROR(__xludf.DUMMYFUNCTION("""COMPUTED_VALUE"""),"CNAs")</f>
        <v>CNAs</v>
      </c>
      <c r="N11" s="91"/>
      <c r="O11" s="91" t="str">
        <f>IFERROR(__xludf.DUMMYFUNCTION("""COMPUTED_VALUE"""),"ILCA 4")</f>
        <v>ILCA 4</v>
      </c>
      <c r="P11" s="91"/>
      <c r="Q11" s="91">
        <f>IFERROR(__xludf.DUMMYFUNCTION("""COMPUTED_VALUE"""),224809.0)</f>
        <v>224809</v>
      </c>
      <c r="R11" s="94" t="str">
        <f>IFERROR(__xludf.DUMMYFUNCTION("""COMPUTED_VALUE"""),"PROMETEO")</f>
        <v>PROMETEO</v>
      </c>
      <c r="S11" s="94"/>
      <c r="T11" s="94"/>
      <c r="U11" s="94"/>
      <c r="V11" s="94"/>
      <c r="W11" s="94"/>
      <c r="X11" s="94"/>
      <c r="Y11" s="94" t="str">
        <f>IFERROR(__xludf.DUMMYFUNCTION("""COMPUTED_VALUE"""),"Osde")</f>
        <v>Osde</v>
      </c>
      <c r="Z11" s="92" t="str">
        <f>IFERROR(__xludf.DUMMYFUNCTION("""COMPUTED_VALUE"""),"Si")</f>
        <v>Si</v>
      </c>
      <c r="AA11" s="92" t="str">
        <f>IFERROR(__xludf.DUMMYFUNCTION("""COMPUTED_VALUE"""),"Acepto")</f>
        <v>Acepto</v>
      </c>
      <c r="AB11" s="92" t="str">
        <f>IFERROR(__xludf.DUMMYFUNCTION("""COMPUTED_VALUE"""),"Terminado")</f>
        <v>Terminado</v>
      </c>
      <c r="AC11" s="94">
        <f>IFERROR(__xludf.DUMMYFUNCTION("""COMPUTED_VALUE"""),45000.0)</f>
        <v>45000</v>
      </c>
      <c r="AD11" s="94">
        <f>IFERROR(__xludf.DUMMYFUNCTION("""COMPUTED_VALUE"""),205643.0)</f>
        <v>205643</v>
      </c>
      <c r="AE11" s="94" t="str">
        <f>IFERROR(__xludf.DUMMYFUNCTION("""COMPUTED_VALUE"""),"TRF 10-09")</f>
        <v>TRF 10-09</v>
      </c>
      <c r="AF11" s="94" t="str">
        <f>IFERROR(__xludf.DUMMYFUNCTION("""COMPUTED_VALUE"""),"Pendiente")</f>
        <v>Pendiente</v>
      </c>
      <c r="AG11" s="94"/>
    </row>
    <row r="12">
      <c r="B12" s="100">
        <f>IFERROR(__xludf.DUMMYFUNCTION("""COMPUTED_VALUE"""),45544.67209982639)</f>
        <v>45544.6721</v>
      </c>
      <c r="C12" s="91" t="str">
        <f>IFERROR(__xludf.DUMMYFUNCTION("""COMPUTED_VALUE""")," sol ")</f>
        <v> sol </v>
      </c>
      <c r="D12" s="91" t="str">
        <f>IFERROR(__xludf.DUMMYFUNCTION("""COMPUTED_VALUE"""),"caracciolo")</f>
        <v>caracciolo</v>
      </c>
      <c r="E12" s="91" t="str">
        <f>IFERROR(__xludf.DUMMYFUNCTION("""COMPUTED_VALUE"""),"buenos aires")</f>
        <v>buenos aires</v>
      </c>
      <c r="F12" s="91" t="str">
        <f>IFERROR(__xludf.DUMMYFUNCTION("""COMPUTED_VALUE"""),"ARG")</f>
        <v>ARG</v>
      </c>
      <c r="G12" s="91">
        <f>IFERROR(__xludf.DUMMYFUNCTION("""COMPUTED_VALUE"""),4.6756938E7)</f>
        <v>46756938</v>
      </c>
      <c r="H12" s="101">
        <f>IFERROR(__xludf.DUMMYFUNCTION("""COMPUTED_VALUE"""),38526.0)</f>
        <v>38526</v>
      </c>
      <c r="I12" s="91">
        <f>IFERROR(__xludf.DUMMYFUNCTION("""COMPUTED_VALUE"""),1.138626929E9)</f>
        <v>1138626929</v>
      </c>
      <c r="J12" s="91">
        <f>IFERROR(__xludf.DUMMYFUNCTION("""COMPUTED_VALUE"""),1.121639515E9)</f>
        <v>1121639515</v>
      </c>
      <c r="K12" s="91" t="str">
        <f>IFERROR(__xludf.DUMMYFUNCTION("""COMPUTED_VALUE"""),"solchucaracciolo@gmail.com")</f>
        <v>solchucaracciolo@gmail.com</v>
      </c>
      <c r="L12" s="91" t="str">
        <f>IFERROR(__xludf.DUMMYFUNCTION("""COMPUTED_VALUE"""),"Femenino")</f>
        <v>Femenino</v>
      </c>
      <c r="M12" s="91" t="str">
        <f>IFERROR(__xludf.DUMMYFUNCTION("""COMPUTED_VALUE"""),"yca ")</f>
        <v>yca </v>
      </c>
      <c r="N12" s="91" t="str">
        <f>IFERROR(__xludf.DUMMYFUNCTION("""COMPUTED_VALUE"""),"Femenino")</f>
        <v>Femenino</v>
      </c>
      <c r="O12" s="91" t="str">
        <f>IFERROR(__xludf.DUMMYFUNCTION("""COMPUTED_VALUE"""),"ILCA 4")</f>
        <v>ILCA 4</v>
      </c>
      <c r="P12" s="91"/>
      <c r="Q12" s="91">
        <f>IFERROR(__xludf.DUMMYFUNCTION("""COMPUTED_VALUE"""),2.0)</f>
        <v>2</v>
      </c>
      <c r="R12" s="94"/>
      <c r="S12" s="94"/>
      <c r="T12" s="94"/>
      <c r="U12" s="94"/>
      <c r="V12" s="94"/>
      <c r="W12" s="94"/>
      <c r="X12" s="94"/>
      <c r="Y12" s="94"/>
      <c r="Z12" s="92" t="str">
        <f>IFERROR(__xludf.DUMMYFUNCTION("""COMPUTED_VALUE"""),"No")</f>
        <v>No</v>
      </c>
      <c r="AA12" s="92" t="str">
        <f>IFERROR(__xludf.DUMMYFUNCTION("""COMPUTED_VALUE"""),"Acepto")</f>
        <v>Acepto</v>
      </c>
      <c r="AB12" s="92" t="str">
        <f>IFERROR(__xludf.DUMMYFUNCTION("""COMPUTED_VALUE"""),"Pendiente")</f>
        <v>Pendiente</v>
      </c>
      <c r="AC12" s="94"/>
      <c r="AD12" s="94"/>
      <c r="AE12" s="94"/>
      <c r="AF12" s="94" t="str">
        <f>IFERROR(__xludf.DUMMYFUNCTION("""COMPUTED_VALUE"""),"No Corresp")</f>
        <v>No Corresp</v>
      </c>
      <c r="AG12" s="94"/>
    </row>
    <row r="13">
      <c r="B13" s="100">
        <f>IFERROR(__xludf.DUMMYFUNCTION("""COMPUTED_VALUE"""),45545.818980104166)</f>
        <v>45545.81898</v>
      </c>
      <c r="C13" s="91" t="str">
        <f>IFERROR(__xludf.DUMMYFUNCTION("""COMPUTED_VALUE"""),"Nicolás augusto")</f>
        <v>Nicolás augusto</v>
      </c>
      <c r="D13" s="91" t="str">
        <f>IFERROR(__xludf.DUMMYFUNCTION("""COMPUTED_VALUE"""),"Valor")</f>
        <v>Valor</v>
      </c>
      <c r="E13" s="91" t="str">
        <f>IFERROR(__xludf.DUMMYFUNCTION("""COMPUTED_VALUE"""),"La plata")</f>
        <v>La plata</v>
      </c>
      <c r="F13" s="91" t="str">
        <f>IFERROR(__xludf.DUMMYFUNCTION("""COMPUTED_VALUE"""),"ARG")</f>
        <v>ARG</v>
      </c>
      <c r="G13" s="91">
        <f>IFERROR(__xludf.DUMMYFUNCTION("""COMPUTED_VALUE"""),5.0244437E7)</f>
        <v>50244437</v>
      </c>
      <c r="H13" s="101">
        <f>IFERROR(__xludf.DUMMYFUNCTION("""COMPUTED_VALUE"""),40282.0)</f>
        <v>40282</v>
      </c>
      <c r="I13" s="91">
        <f>IFERROR(__xludf.DUMMYFUNCTION("""COMPUTED_VALUE"""),2.215060649E9)</f>
        <v>2215060649</v>
      </c>
      <c r="J13" s="91">
        <f>IFERROR(__xludf.DUMMYFUNCTION("""COMPUTED_VALUE"""),2.215055637E9)</f>
        <v>2215055637</v>
      </c>
      <c r="K13" s="91" t="str">
        <f>IFERROR(__xludf.DUMMYFUNCTION("""COMPUTED_VALUE"""),"marinabaldo71@gmail.com")</f>
        <v>marinabaldo71@gmail.com</v>
      </c>
      <c r="L13" s="91" t="str">
        <f>IFERROR(__xludf.DUMMYFUNCTION("""COMPUTED_VALUE"""),"Masculino")</f>
        <v>Masculino</v>
      </c>
      <c r="M13" s="91" t="str">
        <f>IFERROR(__xludf.DUMMYFUNCTION("""COMPUTED_VALUE"""),"CRLP")</f>
        <v>CRLP</v>
      </c>
      <c r="N13" s="91" t="str">
        <f>IFERROR(__xludf.DUMMYFUNCTION("""COMPUTED_VALUE"""),"Master (ILCA)")</f>
        <v>Master (ILCA)</v>
      </c>
      <c r="O13" s="91" t="str">
        <f>IFERROR(__xludf.DUMMYFUNCTION("""COMPUTED_VALUE"""),"ILCA 4")</f>
        <v>ILCA 4</v>
      </c>
      <c r="P13" s="91"/>
      <c r="Q13" s="91">
        <f>IFERROR(__xludf.DUMMYFUNCTION("""COMPUTED_VALUE"""),223928.0)</f>
        <v>223928</v>
      </c>
      <c r="R13" s="94"/>
      <c r="S13" s="94"/>
      <c r="T13" s="94"/>
      <c r="U13" s="94"/>
      <c r="V13" s="94"/>
      <c r="W13" s="94"/>
      <c r="X13" s="94"/>
      <c r="Y13" s="94" t="str">
        <f>IFERROR(__xludf.DUMMYFUNCTION("""COMPUTED_VALUE"""),"Ioma/222229330303")</f>
        <v>Ioma/222229330303</v>
      </c>
      <c r="Z13" s="92" t="str">
        <f>IFERROR(__xludf.DUMMYFUNCTION("""COMPUTED_VALUE"""),"No")</f>
        <v>No</v>
      </c>
      <c r="AA13" s="92" t="str">
        <f>IFERROR(__xludf.DUMMYFUNCTION("""COMPUTED_VALUE"""),"Acepto")</f>
        <v>Acepto</v>
      </c>
      <c r="AB13" s="92" t="str">
        <f>IFERROR(__xludf.DUMMYFUNCTION("""COMPUTED_VALUE"""),"Terminado")</f>
        <v>Terminado</v>
      </c>
      <c r="AC13" s="94">
        <f>IFERROR(__xludf.DUMMYFUNCTION("""COMPUTED_VALUE"""),45000.0)</f>
        <v>45000</v>
      </c>
      <c r="AD13" s="94">
        <f>IFERROR(__xludf.DUMMYFUNCTION("""COMPUTED_VALUE"""),205657.0)</f>
        <v>205657</v>
      </c>
      <c r="AE13" s="94" t="str">
        <f>IFERROR(__xludf.DUMMYFUNCTION("""COMPUTED_VALUE"""),"TRF 10-09")</f>
        <v>TRF 10-09</v>
      </c>
      <c r="AF13" s="94" t="str">
        <f>IFERROR(__xludf.DUMMYFUNCTION("""COMPUTED_VALUE"""),"OK")</f>
        <v>OK</v>
      </c>
      <c r="AG13" s="94"/>
    </row>
    <row r="14">
      <c r="B14" s="100">
        <f>IFERROR(__xludf.DUMMYFUNCTION("""COMPUTED_VALUE"""),45547.608762881944)</f>
        <v>45547.60876</v>
      </c>
      <c r="C14" s="91" t="str">
        <f>IFERROR(__xludf.DUMMYFUNCTION("""COMPUTED_VALUE"""),"Josefina")</f>
        <v>Josefina</v>
      </c>
      <c r="D14" s="91" t="str">
        <f>IFERROR(__xludf.DUMMYFUNCTION("""COMPUTED_VALUE"""),"Benvenuto")</f>
        <v>Benvenuto</v>
      </c>
      <c r="E14" s="91" t="str">
        <f>IFERROR(__xludf.DUMMYFUNCTION("""COMPUTED_VALUE"""),"C.A.B.A.")</f>
        <v>C.A.B.A.</v>
      </c>
      <c r="F14" s="91" t="str">
        <f>IFERROR(__xludf.DUMMYFUNCTION("""COMPUTED_VALUE"""),"ARG")</f>
        <v>ARG</v>
      </c>
      <c r="G14" s="91">
        <f>IFERROR(__xludf.DUMMYFUNCTION("""COMPUTED_VALUE"""),4.8178093E7)</f>
        <v>48178093</v>
      </c>
      <c r="H14" s="101">
        <f>IFERROR(__xludf.DUMMYFUNCTION("""COMPUTED_VALUE"""),39324.0)</f>
        <v>39324</v>
      </c>
      <c r="I14" s="91" t="str">
        <f>IFERROR(__xludf.DUMMYFUNCTION("""COMPUTED_VALUE"""),"+5491168777446")</f>
        <v>+5491168777446</v>
      </c>
      <c r="J14" s="91" t="str">
        <f>IFERROR(__xludf.DUMMYFUNCTION("""COMPUTED_VALUE"""),"+5491166059118")</f>
        <v>+5491166059118</v>
      </c>
      <c r="K14" s="91" t="str">
        <f>IFERROR(__xludf.DUMMYFUNCTION("""COMPUTED_VALUE"""),"josefinabenve@gmail.com")</f>
        <v>josefinabenve@gmail.com</v>
      </c>
      <c r="L14" s="91" t="str">
        <f>IFERROR(__xludf.DUMMYFUNCTION("""COMPUTED_VALUE"""),"Femenino")</f>
        <v>Femenino</v>
      </c>
      <c r="M14" s="91" t="str">
        <f>IFERROR(__xludf.DUMMYFUNCTION("""COMPUTED_VALUE"""),"YCO")</f>
        <v>YCO</v>
      </c>
      <c r="N14" s="91" t="str">
        <f>IFERROR(__xludf.DUMMYFUNCTION("""COMPUTED_VALUE"""),"Femenino")</f>
        <v>Femenino</v>
      </c>
      <c r="O14" s="91" t="str">
        <f>IFERROR(__xludf.DUMMYFUNCTION("""COMPUTED_VALUE"""),"ILCA 4")</f>
        <v>ILCA 4</v>
      </c>
      <c r="P14" s="91"/>
      <c r="Q14" s="91">
        <f>IFERROR(__xludf.DUMMYFUNCTION("""COMPUTED_VALUE"""),3.0)</f>
        <v>3</v>
      </c>
      <c r="R14" s="94" t="str">
        <f>IFERROR(__xludf.DUMMYFUNCTION("""COMPUTED_VALUE"""),"Bestia")</f>
        <v>Bestia</v>
      </c>
      <c r="S14" s="94"/>
      <c r="T14" s="94"/>
      <c r="U14" s="94"/>
      <c r="V14" s="94"/>
      <c r="W14" s="94"/>
      <c r="X14" s="94"/>
      <c r="Y14" s="94" t="str">
        <f>IFERROR(__xludf.DUMMYFUNCTION("""COMPUTED_VALUE"""),"OSDE 62181998003")</f>
        <v>OSDE 62181998003</v>
      </c>
      <c r="Z14" s="92" t="str">
        <f>IFERROR(__xludf.DUMMYFUNCTION("""COMPUTED_VALUE"""),"Si")</f>
        <v>Si</v>
      </c>
      <c r="AA14" s="92" t="str">
        <f>IFERROR(__xludf.DUMMYFUNCTION("""COMPUTED_VALUE"""),"Acepto")</f>
        <v>Acepto</v>
      </c>
      <c r="AB14" s="92" t="str">
        <f>IFERROR(__xludf.DUMMYFUNCTION("""COMPUTED_VALUE"""),"Pendiente")</f>
        <v>Pendiente</v>
      </c>
      <c r="AC14" s="94"/>
      <c r="AD14" s="94"/>
      <c r="AE14" s="94"/>
      <c r="AF14" s="94" t="str">
        <f>IFERROR(__xludf.DUMMYFUNCTION("""COMPUTED_VALUE"""),"OK")</f>
        <v>OK</v>
      </c>
      <c r="AG14" s="94"/>
    </row>
    <row r="15">
      <c r="B15" s="100">
        <f>IFERROR(__xludf.DUMMYFUNCTION("""COMPUTED_VALUE"""),45547.621195775464)</f>
        <v>45547.6212</v>
      </c>
      <c r="C15" s="91" t="str">
        <f>IFERROR(__xludf.DUMMYFUNCTION("""COMPUTED_VALUE"""),"FRANCO ")</f>
        <v>FRANCO </v>
      </c>
      <c r="D15" s="91" t="str">
        <f>IFERROR(__xludf.DUMMYFUNCTION("""COMPUTED_VALUE"""),"Vazquez Fontana")</f>
        <v>Vazquez Fontana</v>
      </c>
      <c r="E15" s="91" t="str">
        <f>IFERROR(__xludf.DUMMYFUNCTION("""COMPUTED_VALUE"""),"Caba")</f>
        <v>Caba</v>
      </c>
      <c r="F15" s="91" t="str">
        <f>IFERROR(__xludf.DUMMYFUNCTION("""COMPUTED_VALUE"""),"ARG")</f>
        <v>ARG</v>
      </c>
      <c r="G15" s="91">
        <f>IFERROR(__xludf.DUMMYFUNCTION("""COMPUTED_VALUE"""),5.2092349E7)</f>
        <v>52092349</v>
      </c>
      <c r="H15" s="101">
        <f>IFERROR(__xludf.DUMMYFUNCTION("""COMPUTED_VALUE"""),40893.0)</f>
        <v>40893</v>
      </c>
      <c r="I15" s="91" t="str">
        <f>IFERROR(__xludf.DUMMYFUNCTION("""COMPUTED_VALUE"""),"+5401164875771")</f>
        <v>+5401164875771</v>
      </c>
      <c r="J15" s="91" t="str">
        <f>IFERROR(__xludf.DUMMYFUNCTION("""COMPUTED_VALUE"""),"+5401130948999")</f>
        <v>+5401130948999</v>
      </c>
      <c r="K15" s="91" t="str">
        <f>IFERROR(__xludf.DUMMYFUNCTION("""COMPUTED_VALUE"""),"valefon72@gmail.com")</f>
        <v>valefon72@gmail.com</v>
      </c>
      <c r="L15" s="91" t="str">
        <f>IFERROR(__xludf.DUMMYFUNCTION("""COMPUTED_VALUE"""),"Masculino")</f>
        <v>Masculino</v>
      </c>
      <c r="M15" s="91" t="str">
        <f>IFERROR(__xludf.DUMMYFUNCTION("""COMPUTED_VALUE"""),"CVB")</f>
        <v>CVB</v>
      </c>
      <c r="N15" s="91"/>
      <c r="O15" s="91" t="str">
        <f>IFERROR(__xludf.DUMMYFUNCTION("""COMPUTED_VALUE"""),"ILCA 4")</f>
        <v>ILCA 4</v>
      </c>
      <c r="P15" s="91"/>
      <c r="Q15" s="91">
        <f>IFERROR(__xludf.DUMMYFUNCTION("""COMPUTED_VALUE"""),171409.0)</f>
        <v>171409</v>
      </c>
      <c r="R15" s="94"/>
      <c r="S15" s="94"/>
      <c r="T15" s="94"/>
      <c r="U15" s="94"/>
      <c r="V15" s="94"/>
      <c r="W15" s="94"/>
      <c r="X15" s="94"/>
      <c r="Y15" s="94" t="str">
        <f>IFERROR(__xludf.DUMMYFUNCTION("""COMPUTED_VALUE"""),"OSSEG")</f>
        <v>OSSEG</v>
      </c>
      <c r="Z15" s="92" t="str">
        <f>IFERROR(__xludf.DUMMYFUNCTION("""COMPUTED_VALUE"""),"No")</f>
        <v>No</v>
      </c>
      <c r="AA15" s="92" t="str">
        <f>IFERROR(__xludf.DUMMYFUNCTION("""COMPUTED_VALUE"""),"Acepto")</f>
        <v>Acepto</v>
      </c>
      <c r="AB15" s="92" t="str">
        <f>IFERROR(__xludf.DUMMYFUNCTION("""COMPUTED_VALUE"""),"Pendiente")</f>
        <v>Pendiente</v>
      </c>
      <c r="AC15" s="94"/>
      <c r="AD15" s="94"/>
      <c r="AE15" s="94"/>
      <c r="AF15" s="94" t="str">
        <f>IFERROR(__xludf.DUMMYFUNCTION("""COMPUTED_VALUE"""),"OK")</f>
        <v>OK</v>
      </c>
      <c r="AG15" s="94"/>
    </row>
    <row r="16">
      <c r="B16" s="103"/>
      <c r="C16" s="43"/>
      <c r="D16" s="43"/>
      <c r="E16" s="43"/>
      <c r="F16" s="43"/>
      <c r="G16" s="7"/>
      <c r="Z16" s="7"/>
      <c r="AA16" s="7"/>
      <c r="AB16" s="7"/>
    </row>
    <row r="17">
      <c r="B17" s="103"/>
      <c r="C17" s="43"/>
      <c r="D17" s="43"/>
      <c r="E17" s="43"/>
      <c r="F17" s="43"/>
      <c r="G17" s="7"/>
      <c r="Z17" s="7"/>
      <c r="AA17" s="7"/>
      <c r="AB17" s="7"/>
    </row>
    <row r="18">
      <c r="B18" s="103"/>
      <c r="C18" s="43"/>
      <c r="D18" s="43"/>
      <c r="E18" s="43"/>
      <c r="F18" s="43"/>
      <c r="G18" s="7"/>
      <c r="Z18" s="7"/>
      <c r="AA18" s="7"/>
      <c r="AB18" s="7"/>
    </row>
    <row r="19">
      <c r="B19" s="103"/>
      <c r="C19" s="43"/>
      <c r="D19" s="43"/>
      <c r="E19" s="43"/>
      <c r="F19" s="43"/>
      <c r="G19" s="7"/>
      <c r="Z19" s="7"/>
      <c r="AA19" s="7"/>
      <c r="AB19" s="7"/>
    </row>
    <row r="20">
      <c r="B20" s="103"/>
      <c r="C20" s="43"/>
      <c r="D20" s="43"/>
      <c r="E20" s="43"/>
      <c r="F20" s="43"/>
      <c r="G20" s="7"/>
      <c r="Z20" s="7"/>
      <c r="AA20" s="7"/>
      <c r="AB20" s="7"/>
    </row>
    <row r="21">
      <c r="B21" s="103"/>
      <c r="C21" s="43"/>
      <c r="D21" s="43"/>
      <c r="E21" s="43"/>
      <c r="F21" s="43"/>
      <c r="G21" s="7"/>
      <c r="Z21" s="7"/>
      <c r="AA21" s="7"/>
      <c r="AB21" s="7"/>
    </row>
    <row r="22">
      <c r="B22" s="103"/>
      <c r="D22" s="7"/>
      <c r="E22" s="7"/>
      <c r="F22" s="7"/>
      <c r="G22" s="7"/>
    </row>
    <row r="23">
      <c r="B23" s="103"/>
      <c r="D23" s="7"/>
      <c r="E23" s="7"/>
      <c r="F23" s="7"/>
      <c r="G23" s="7"/>
    </row>
    <row r="24">
      <c r="D24" s="7"/>
      <c r="E24" s="7"/>
      <c r="F24" s="7"/>
      <c r="G24" s="7"/>
    </row>
    <row r="25">
      <c r="D25" s="7"/>
      <c r="E25" s="7"/>
      <c r="F25" s="7"/>
      <c r="G25" s="7"/>
    </row>
    <row r="26">
      <c r="D26" s="7"/>
      <c r="E26" s="7"/>
      <c r="F26" s="7"/>
      <c r="G26" s="7"/>
    </row>
    <row r="27">
      <c r="D27" s="7"/>
      <c r="E27" s="7"/>
      <c r="F27" s="7"/>
      <c r="G27" s="7"/>
    </row>
    <row r="28">
      <c r="D28" s="7"/>
      <c r="E28" s="7"/>
      <c r="F28" s="7"/>
      <c r="G28" s="7"/>
    </row>
    <row r="29">
      <c r="D29" s="7"/>
      <c r="E29" s="7"/>
      <c r="F29" s="7"/>
      <c r="G29" s="7"/>
    </row>
    <row r="30">
      <c r="D30" s="7"/>
      <c r="E30" s="7"/>
      <c r="F30" s="7"/>
      <c r="G30" s="7"/>
    </row>
    <row r="31">
      <c r="D31" s="7"/>
      <c r="E31" s="7"/>
      <c r="F31" s="7"/>
      <c r="G31" s="7"/>
    </row>
    <row r="32">
      <c r="D32" s="7"/>
      <c r="E32" s="7"/>
      <c r="F32" s="7"/>
      <c r="G32" s="7"/>
    </row>
    <row r="33">
      <c r="D33" s="7"/>
      <c r="E33" s="7"/>
      <c r="F33" s="7"/>
      <c r="G33" s="7"/>
    </row>
    <row r="34">
      <c r="D34" s="7"/>
      <c r="E34" s="7"/>
      <c r="F34" s="7"/>
      <c r="G34" s="7"/>
    </row>
    <row r="35">
      <c r="D35" s="7"/>
      <c r="E35" s="7"/>
      <c r="F35" s="7"/>
      <c r="G35" s="7"/>
    </row>
    <row r="36">
      <c r="D36" s="7"/>
      <c r="E36" s="7"/>
      <c r="F36" s="7"/>
      <c r="G36" s="7"/>
    </row>
    <row r="37">
      <c r="D37" s="7"/>
      <c r="E37" s="7"/>
      <c r="F37" s="7"/>
      <c r="G37" s="7"/>
    </row>
    <row r="38">
      <c r="D38" s="7"/>
      <c r="E38" s="7"/>
      <c r="F38" s="7"/>
      <c r="G38" s="7"/>
    </row>
    <row r="39">
      <c r="D39" s="7"/>
      <c r="E39" s="7"/>
      <c r="F39" s="7"/>
      <c r="G39" s="7"/>
    </row>
    <row r="40">
      <c r="D40" s="7"/>
      <c r="E40" s="7"/>
      <c r="F40" s="7"/>
      <c r="G40" s="7"/>
    </row>
    <row r="41">
      <c r="D41" s="7"/>
      <c r="E41" s="7"/>
      <c r="F41" s="7"/>
      <c r="G41" s="7"/>
    </row>
    <row r="42">
      <c r="D42" s="7"/>
      <c r="E42" s="7"/>
      <c r="F42" s="7"/>
      <c r="G42" s="7"/>
    </row>
    <row r="43">
      <c r="D43" s="7"/>
      <c r="E43" s="7"/>
      <c r="F43" s="7"/>
      <c r="G43" s="7"/>
    </row>
    <row r="44">
      <c r="D44" s="7"/>
      <c r="E44" s="7"/>
      <c r="F44" s="7"/>
      <c r="G44" s="7"/>
    </row>
    <row r="45">
      <c r="D45" s="7"/>
      <c r="E45" s="7"/>
      <c r="F45" s="7"/>
      <c r="G45" s="7"/>
    </row>
    <row r="46">
      <c r="D46" s="7"/>
      <c r="E46" s="7"/>
      <c r="F46" s="7"/>
      <c r="G46" s="7"/>
    </row>
    <row r="47">
      <c r="D47" s="7"/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:G105 I2">
    <cfRule type="cellIs" dxfId="1" priority="2" operator="equal">
      <formula>"Si"</formula>
    </cfRule>
  </conditionalFormatting>
  <conditionalFormatting sqref="AB3:AB44">
    <cfRule type="cellIs" dxfId="3" priority="3" operator="equal">
      <formula>"Terminado"</formula>
    </cfRule>
  </conditionalFormatting>
  <conditionalFormatting sqref="AF4:AF15">
    <cfRule type="cellIs" dxfId="1" priority="4" operator="equal">
      <formula>"OK"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6.25"/>
    <col customWidth="1" min="2" max="2" width="14.88"/>
    <col customWidth="1" min="3" max="3" width="12.38"/>
    <col customWidth="1" min="4" max="4" width="15.63"/>
    <col customWidth="1" min="5" max="5" width="19.88"/>
    <col customWidth="1" min="6" max="6" width="4.38"/>
    <col customWidth="1" hidden="1" min="7" max="7" width="6.63"/>
    <col customWidth="1" hidden="1" min="8" max="8" width="4.38"/>
    <col hidden="1" min="9" max="9" width="12.63"/>
    <col customWidth="1" hidden="1" min="10" max="10" width="6.5"/>
    <col hidden="1" min="11" max="11" width="12.63"/>
    <col customWidth="1" min="12" max="12" width="8.5"/>
    <col customWidth="1" min="13" max="13" width="9.75"/>
    <col customWidth="1" min="14" max="14" width="11.38"/>
    <col customWidth="1" hidden="1" min="15" max="15" width="5.5"/>
    <col customWidth="1" hidden="1" min="16" max="16" width="7.0"/>
    <col customWidth="1" min="17" max="17" width="6.5"/>
    <col customWidth="1" min="18" max="18" width="10.25"/>
    <col customWidth="1" hidden="1" min="19" max="19" width="10.13"/>
    <col customWidth="1" hidden="1" min="20" max="25" width="10.38"/>
    <col customWidth="1" hidden="1" min="26" max="26" width="12.88"/>
    <col customWidth="1" hidden="1" min="27" max="27" width="7.0"/>
    <col customWidth="1" min="28" max="28" width="11.0"/>
    <col customWidth="1" hidden="1" min="29" max="29" width="10.63"/>
    <col customWidth="1" hidden="1" min="30" max="30" width="11.13"/>
    <col customWidth="1" hidden="1" min="31" max="31" width="10.63"/>
    <col hidden="1" min="32" max="32" width="12.63"/>
  </cols>
  <sheetData>
    <row r="1">
      <c r="A1" s="59"/>
      <c r="B1" s="60" t="s">
        <v>33</v>
      </c>
      <c r="C1" s="61"/>
      <c r="D1" s="61"/>
      <c r="E1" s="62"/>
      <c r="F1" s="61"/>
      <c r="G1" s="61"/>
      <c r="H1" s="6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0" customHeight="1">
      <c r="A2" s="59"/>
      <c r="B2" s="64" t="s">
        <v>50</v>
      </c>
      <c r="C2" s="3"/>
      <c r="D2" s="65"/>
      <c r="E2" s="3"/>
      <c r="F2" s="66" t="str">
        <f>"Inscriptos: "&amp;COUNTA(C4:C100)</f>
        <v>Inscriptos: 36</v>
      </c>
      <c r="G2" s="3"/>
      <c r="H2" s="3"/>
      <c r="I2" s="67"/>
      <c r="J2" s="67"/>
      <c r="K2" s="67"/>
      <c r="L2" s="68"/>
      <c r="M2" s="3"/>
      <c r="N2" s="3"/>
      <c r="O2" s="3"/>
      <c r="P2" s="3"/>
      <c r="Q2" s="3"/>
      <c r="R2" s="3"/>
      <c r="S2" s="3"/>
      <c r="T2" s="67"/>
      <c r="U2" s="67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59" t="s">
        <v>51</v>
      </c>
      <c r="B3" s="3" t="str">
        <f>IFERROR(__xludf.DUMMYFUNCTION("query(Titulos)"),"Dia y Hora")</f>
        <v>Dia y Hora</v>
      </c>
      <c r="C3" s="79" t="str">
        <f>IFERROR(__xludf.DUMMYFUNCTION("""COMPUTED_VALUE"""),"Nombre")</f>
        <v>Nombre</v>
      </c>
      <c r="D3" s="79" t="str">
        <f>IFERROR(__xludf.DUMMYFUNCTION("""COMPUTED_VALUE"""),"Apellido")</f>
        <v>Apellido</v>
      </c>
      <c r="E3" s="79" t="str">
        <f>IFERROR(__xludf.DUMMYFUNCTION("""COMPUTED_VALUE"""),"Ciudad")</f>
        <v>Ciudad</v>
      </c>
      <c r="F3" s="3" t="str">
        <f>IFERROR(__xludf.DUMMYFUNCTION("""COMPUTED_VALUE"""),"Pais")</f>
        <v>Pais</v>
      </c>
      <c r="G3" s="3" t="str">
        <f>IFERROR(__xludf.DUMMYFUNCTION("""COMPUTED_VALUE"""),"DNI")</f>
        <v>DNI</v>
      </c>
      <c r="H3" s="3" t="str">
        <f>IFERROR(__xludf.DUMMYFUNCTION("""COMPUTED_VALUE"""),"Nacimiento")</f>
        <v>Nacimiento</v>
      </c>
      <c r="I3" s="3" t="str">
        <f>IFERROR(__xludf.DUMMYFUNCTION("""COMPUTED_VALUE"""),"Celular de Contacto")</f>
        <v>Celular de Contacto</v>
      </c>
      <c r="J3" s="3" t="str">
        <f>IFERROR(__xludf.DUMMYFUNCTION("""COMPUTED_VALUE"""),"Celular de Emergencias")</f>
        <v>Celular de Emergencias</v>
      </c>
      <c r="K3" s="3" t="str">
        <f>IFERROR(__xludf.DUMMYFUNCTION("""COMPUTED_VALUE"""),"email")</f>
        <v>email</v>
      </c>
      <c r="L3" s="3" t="str">
        <f>IFERROR(__xludf.DUMMYFUNCTION("""COMPUTED_VALUE"""),"Sexo")</f>
        <v>Sexo</v>
      </c>
      <c r="M3" s="3" t="str">
        <f>IFERROR(__xludf.DUMMYFUNCTION("""COMPUTED_VALUE"""),"Club")</f>
        <v>Club</v>
      </c>
      <c r="N3" s="3" t="str">
        <f>IFERROR(__xludf.DUMMYFUNCTION("""COMPUTED_VALUE"""),"Categoría")</f>
        <v>Categoría</v>
      </c>
      <c r="O3" s="3" t="str">
        <f>IFERROR(__xludf.DUMMYFUNCTION("""COMPUTED_VALUE"""),"Clase")</f>
        <v>Clase</v>
      </c>
      <c r="P3" s="3" t="str">
        <f>IFERROR(__xludf.DUMMYFUNCTION("""COMPUTED_VALUE"""),"Proa Nº")</f>
        <v>Proa Nº</v>
      </c>
      <c r="Q3" s="3" t="str">
        <f>IFERROR(__xludf.DUMMYFUNCTION("""COMPUTED_VALUE"""),"Vela")</f>
        <v>Vela</v>
      </c>
      <c r="R3" s="3" t="str">
        <f>IFERROR(__xludf.DUMMYFUNCTION("""COMPUTED_VALUE"""),"Nombre del Barco")</f>
        <v>Nombre del Barco</v>
      </c>
      <c r="S3" s="3" t="str">
        <f>IFERROR(__xludf.DUMMYFUNCTION("""COMPUTED_VALUE"""),"Tripulante 1")</f>
        <v>Tripulante 1</v>
      </c>
      <c r="T3" s="3" t="str">
        <f>IFERROR(__xludf.DUMMYFUNCTION("""COMPUTED_VALUE"""),"Tripulante 2")</f>
        <v>Tripulante 2</v>
      </c>
      <c r="U3" s="3" t="str">
        <f>IFERROR(__xludf.DUMMYFUNCTION("""COMPUTED_VALUE"""),"Tripulante 3")</f>
        <v>Tripulante 3</v>
      </c>
      <c r="V3" s="3" t="str">
        <f>IFERROR(__xludf.DUMMYFUNCTION("""COMPUTED_VALUE"""),"Tripulante 4")</f>
        <v>Tripulante 4</v>
      </c>
      <c r="W3" s="3" t="str">
        <f>IFERROR(__xludf.DUMMYFUNCTION("""COMPUTED_VALUE"""),"Tripulante 5")</f>
        <v>Tripulante 5</v>
      </c>
      <c r="X3" s="3" t="str">
        <f>IFERROR(__xludf.DUMMYFUNCTION("""COMPUTED_VALUE"""),"Tripulante 6")</f>
        <v>Tripulante 6</v>
      </c>
      <c r="Y3" s="3" t="str">
        <f>IFERROR(__xludf.DUMMYFUNCTION("""COMPUTED_VALUE"""),"Obra Social/Nº Afiliado")</f>
        <v>Obra Social/Nº Afiliado</v>
      </c>
      <c r="Z3" s="3" t="str">
        <f>IFERROR(__xludf.DUMMYFUNCTION("""COMPUTED_VALUE"""),"Bajada YCO")</f>
        <v>Bajada YCO</v>
      </c>
      <c r="AA3" s="70" t="str">
        <f>IFERROR(__xludf.DUMMYFUNCTION("""COMPUTED_VALUE"""),"Términos y Condiciones")</f>
        <v>Términos y Condiciones</v>
      </c>
      <c r="AB3" s="3" t="str">
        <f>IFERROR(__xludf.DUMMYFUNCTION("""COMPUTED_VALUE"""),"Pago")</f>
        <v>Pago</v>
      </c>
      <c r="AC3" s="70" t="str">
        <f>IFERROR(__xludf.DUMMYFUNCTION("""COMPUTED_VALUE"""),"Importe")</f>
        <v>Importe</v>
      </c>
      <c r="AD3" s="3" t="str">
        <f>IFERROR(__xludf.DUMMYFUNCTION("""COMPUTED_VALUE"""),"RECIBO")</f>
        <v>RECIBO</v>
      </c>
      <c r="AE3" s="3"/>
      <c r="AG3" s="105" t="s">
        <v>32</v>
      </c>
    </row>
    <row r="4">
      <c r="B4" s="83">
        <f>IFERROR(__xludf.DUMMYFUNCTION("filter(Datos,Clases=A3)"),45533.97594243055)</f>
        <v>45533.97594</v>
      </c>
      <c r="C4" s="43" t="str">
        <f>IFERROR(__xludf.DUMMYFUNCTION("""COMPUTED_VALUE"""),"Pedro")</f>
        <v>Pedro</v>
      </c>
      <c r="D4" s="43" t="str">
        <f>IFERROR(__xludf.DUMMYFUNCTION("""COMPUTED_VALUE"""),"Álvarez Gallesio ")</f>
        <v>Álvarez Gallesio </v>
      </c>
      <c r="E4" s="43" t="str">
        <f>IFERROR(__xludf.DUMMYFUNCTION("""COMPUTED_VALUE"""),"Buenos Aires ")</f>
        <v>Buenos Aires </v>
      </c>
      <c r="F4" s="7" t="str">
        <f>IFERROR(__xludf.DUMMYFUNCTION("""COMPUTED_VALUE"""),"ARG")</f>
        <v>ARG</v>
      </c>
      <c r="G4" s="7">
        <f>IFERROR(__xludf.DUMMYFUNCTION("""COMPUTED_VALUE"""),4.3243582E7)</f>
        <v>43243582</v>
      </c>
      <c r="H4" s="44">
        <f>IFERROR(__xludf.DUMMYFUNCTION("""COMPUTED_VALUE"""),36959.0)</f>
        <v>36959</v>
      </c>
      <c r="I4" s="45">
        <f>IFERROR(__xludf.DUMMYFUNCTION("""COMPUTED_VALUE"""),1.562549151E9)</f>
        <v>1562549151</v>
      </c>
      <c r="J4" s="45">
        <f>IFERROR(__xludf.DUMMYFUNCTION("""COMPUTED_VALUE"""),1.556391617E9)</f>
        <v>1556391617</v>
      </c>
      <c r="K4" s="45" t="str">
        <f>IFERROR(__xludf.DUMMYFUNCTION("""COMPUTED_VALUE"""),"pepiag2922@gmail.com")</f>
        <v>pepiag2922@gmail.com</v>
      </c>
      <c r="L4" s="45" t="str">
        <f>IFERROR(__xludf.DUMMYFUNCTION("""COMPUTED_VALUE"""),"Masculino")</f>
        <v>Masculino</v>
      </c>
      <c r="M4" s="45" t="str">
        <f>IFERROR(__xludf.DUMMYFUNCTION("""COMPUTED_VALUE"""),"YCA")</f>
        <v>YCA</v>
      </c>
      <c r="N4" s="45"/>
      <c r="O4" s="45" t="str">
        <f>IFERROR(__xludf.DUMMYFUNCTION("""COMPUTED_VALUE"""),"ILCA 6")</f>
        <v>ILCA 6</v>
      </c>
      <c r="P4" s="45"/>
      <c r="Q4" s="45">
        <f>IFERROR(__xludf.DUMMYFUNCTION("""COMPUTED_VALUE"""),182710.0)</f>
        <v>182710</v>
      </c>
      <c r="R4" s="45"/>
      <c r="S4" s="45"/>
      <c r="T4" s="45"/>
      <c r="U4" s="45"/>
      <c r="V4" s="45"/>
      <c r="W4" s="45"/>
      <c r="X4" s="45"/>
      <c r="Y4" s="45"/>
      <c r="Z4" s="45" t="str">
        <f>IFERROR(__xludf.DUMMYFUNCTION("""COMPUTED_VALUE"""),"No")</f>
        <v>No</v>
      </c>
      <c r="AA4" s="7" t="str">
        <f>IFERROR(__xludf.DUMMYFUNCTION("""COMPUTED_VALUE"""),"Acepto")</f>
        <v>Acepto</v>
      </c>
      <c r="AB4" s="7" t="str">
        <f>IFERROR(__xludf.DUMMYFUNCTION("""COMPUTED_VALUE"""),"Pendiente")</f>
        <v>Pendiente</v>
      </c>
      <c r="AC4" s="7"/>
      <c r="AD4" s="7"/>
      <c r="AE4" s="7"/>
      <c r="AF4" s="7" t="str">
        <f>IFERROR(__xludf.DUMMYFUNCTION("""COMPUTED_VALUE"""),"No Corresp")</f>
        <v>No Corresp</v>
      </c>
      <c r="AG4" s="7"/>
    </row>
    <row r="5">
      <c r="B5" s="83">
        <f>IFERROR(__xludf.DUMMYFUNCTION("""COMPUTED_VALUE"""),45533.464233506944)</f>
        <v>45533.46423</v>
      </c>
      <c r="C5" s="43" t="str">
        <f>IFERROR(__xludf.DUMMYFUNCTION("""COMPUTED_VALUE"""),"Benjamín ")</f>
        <v>Benjamín </v>
      </c>
      <c r="D5" s="43" t="str">
        <f>IFERROR(__xludf.DUMMYFUNCTION("""COMPUTED_VALUE"""),"Bizet ")</f>
        <v>Bizet </v>
      </c>
      <c r="E5" s="43" t="str">
        <f>IFERROR(__xludf.DUMMYFUNCTION("""COMPUTED_VALUE"""),"La Plata")</f>
        <v>La Plata</v>
      </c>
      <c r="F5" s="7" t="str">
        <f>IFERROR(__xludf.DUMMYFUNCTION("""COMPUTED_VALUE"""),"ARG")</f>
        <v>ARG</v>
      </c>
      <c r="G5" s="7">
        <f>IFERROR(__xludf.DUMMYFUNCTION("""COMPUTED_VALUE"""),4.7551873E7)</f>
        <v>47551873</v>
      </c>
      <c r="H5" s="44">
        <f>IFERROR(__xludf.DUMMYFUNCTION("""COMPUTED_VALUE"""),39077.0)</f>
        <v>39077</v>
      </c>
      <c r="I5" s="45">
        <f>IFERROR(__xludf.DUMMYFUNCTION("""COMPUTED_VALUE"""),2.213064915E9)</f>
        <v>2213064915</v>
      </c>
      <c r="J5" s="45">
        <f>IFERROR(__xludf.DUMMYFUNCTION("""COMPUTED_VALUE"""),2.215663203E9)</f>
        <v>2215663203</v>
      </c>
      <c r="K5" s="45" t="str">
        <f>IFERROR(__xludf.DUMMYFUNCTION("""COMPUTED_VALUE"""),"benjabizet22@gmail.com")</f>
        <v>benjabizet22@gmail.com</v>
      </c>
      <c r="L5" s="45" t="str">
        <f>IFERROR(__xludf.DUMMYFUNCTION("""COMPUTED_VALUE"""),"Masculino")</f>
        <v>Masculino</v>
      </c>
      <c r="M5" s="45" t="str">
        <f>IFERROR(__xludf.DUMMYFUNCTION("""COMPUTED_VALUE"""),"CRLP ")</f>
        <v>CRLP </v>
      </c>
      <c r="N5" s="45"/>
      <c r="O5" s="45" t="str">
        <f>IFERROR(__xludf.DUMMYFUNCTION("""COMPUTED_VALUE"""),"ILCA 6")</f>
        <v>ILCA 6</v>
      </c>
      <c r="P5" s="45"/>
      <c r="Q5" s="45">
        <f>IFERROR(__xludf.DUMMYFUNCTION("""COMPUTED_VALUE"""),169450.0)</f>
        <v>169450</v>
      </c>
      <c r="R5" s="45"/>
      <c r="S5" s="45"/>
      <c r="T5" s="45"/>
      <c r="U5" s="45"/>
      <c r="V5" s="45"/>
      <c r="W5" s="45"/>
      <c r="X5" s="45"/>
      <c r="Y5" s="45"/>
      <c r="Z5" s="45" t="str">
        <f>IFERROR(__xludf.DUMMYFUNCTION("""COMPUTED_VALUE"""),"No")</f>
        <v>No</v>
      </c>
      <c r="AA5" s="7" t="str">
        <f>IFERROR(__xludf.DUMMYFUNCTION("""COMPUTED_VALUE"""),"Acepto")</f>
        <v>Acepto</v>
      </c>
      <c r="AB5" s="7" t="str">
        <f>IFERROR(__xludf.DUMMYFUNCTION("""COMPUTED_VALUE"""),"Terminado")</f>
        <v>Terminado</v>
      </c>
      <c r="AC5" s="7">
        <f>IFERROR(__xludf.DUMMYFUNCTION("""COMPUTED_VALUE"""),50000.0)</f>
        <v>50000</v>
      </c>
      <c r="AD5" s="7">
        <f>IFERROR(__xludf.DUMMYFUNCTION("""COMPUTED_VALUE"""),205074.0)</f>
        <v>205074</v>
      </c>
      <c r="AE5" s="7" t="str">
        <f>IFERROR(__xludf.DUMMYFUNCTION("""COMPUTED_VALUE"""),"TRF 29-08")</f>
        <v>TRF 29-08</v>
      </c>
      <c r="AF5" s="7" t="str">
        <f>IFERROR(__xludf.DUMMYFUNCTION("""COMPUTED_VALUE"""),"OK")</f>
        <v>OK</v>
      </c>
      <c r="AG5" s="7"/>
    </row>
    <row r="6">
      <c r="B6" s="83">
        <f>IFERROR(__xludf.DUMMYFUNCTION("""COMPUTED_VALUE"""),45535.62690666667)</f>
        <v>45535.62691</v>
      </c>
      <c r="C6" s="43" t="str">
        <f>IFERROR(__xludf.DUMMYFUNCTION("""COMPUTED_VALUE"""),"Luis")</f>
        <v>Luis</v>
      </c>
      <c r="D6" s="43" t="str">
        <f>IFERROR(__xludf.DUMMYFUNCTION("""COMPUTED_VALUE"""),"Cerrato")</f>
        <v>Cerrato</v>
      </c>
      <c r="E6" s="43" t="str">
        <f>IFERROR(__xludf.DUMMYFUNCTION("""COMPUTED_VALUE"""),"Buenos Aires")</f>
        <v>Buenos Aires</v>
      </c>
      <c r="F6" s="7" t="str">
        <f>IFERROR(__xludf.DUMMYFUNCTION("""COMPUTED_VALUE"""),"ARG")</f>
        <v>ARG</v>
      </c>
      <c r="G6" s="7">
        <f>IFERROR(__xludf.DUMMYFUNCTION("""COMPUTED_VALUE"""),1.7749448E7)</f>
        <v>17749448</v>
      </c>
      <c r="H6" s="44">
        <f>IFERROR(__xludf.DUMMYFUNCTION("""COMPUTED_VALUE"""),23867.0)</f>
        <v>23867</v>
      </c>
      <c r="I6" s="45">
        <f>IFERROR(__xludf.DUMMYFUNCTION("""COMPUTED_VALUE"""),1.150041298E9)</f>
        <v>1150041298</v>
      </c>
      <c r="J6" s="45">
        <f>IFERROR(__xludf.DUMMYFUNCTION("""COMPUTED_VALUE"""),1.121939562E9)</f>
        <v>1121939562</v>
      </c>
      <c r="K6" s="45" t="str">
        <f>IFERROR(__xludf.DUMMYFUNCTION("""COMPUTED_VALUE"""),"luis.a.cerrato@gmail.com")</f>
        <v>luis.a.cerrato@gmail.com</v>
      </c>
      <c r="L6" s="45" t="str">
        <f>IFERROR(__xludf.DUMMYFUNCTION("""COMPUTED_VALUE"""),"Masculino")</f>
        <v>Masculino</v>
      </c>
      <c r="M6" s="45" t="str">
        <f>IFERROR(__xludf.DUMMYFUNCTION("""COMPUTED_VALUE"""),"YCO")</f>
        <v>YCO</v>
      </c>
      <c r="N6" s="45" t="str">
        <f>IFERROR(__xludf.DUMMYFUNCTION("""COMPUTED_VALUE"""),"Master (ILCA)")</f>
        <v>Master (ILCA)</v>
      </c>
      <c r="O6" s="45" t="str">
        <f>IFERROR(__xludf.DUMMYFUNCTION("""COMPUTED_VALUE"""),"ILCA 6")</f>
        <v>ILCA 6</v>
      </c>
      <c r="P6" s="45"/>
      <c r="Q6" s="45">
        <f>IFERROR(__xludf.DUMMYFUNCTION("""COMPUTED_VALUE"""),184290.0)</f>
        <v>184290</v>
      </c>
      <c r="R6" s="45" t="str">
        <f>IFERROR(__xludf.DUMMYFUNCTION("""COMPUTED_VALUE"""),"Sandro")</f>
        <v>Sandro</v>
      </c>
      <c r="S6" s="45"/>
      <c r="T6" s="45"/>
      <c r="U6" s="45"/>
      <c r="V6" s="45"/>
      <c r="W6" s="45"/>
      <c r="X6" s="45"/>
      <c r="Y6" s="45" t="str">
        <f>IFERROR(__xludf.DUMMYFUNCTION("""COMPUTED_VALUE"""),"Osde")</f>
        <v>Osde</v>
      </c>
      <c r="Z6" s="45" t="str">
        <f>IFERROR(__xludf.DUMMYFUNCTION("""COMPUTED_VALUE"""),"Si")</f>
        <v>Si</v>
      </c>
      <c r="AA6" s="7" t="str">
        <f>IFERROR(__xludf.DUMMYFUNCTION("""COMPUTED_VALUE"""),"Acepto")</f>
        <v>Acepto</v>
      </c>
      <c r="AB6" s="7" t="str">
        <f>IFERROR(__xludf.DUMMYFUNCTION("""COMPUTED_VALUE"""),"Terminado")</f>
        <v>Terminado</v>
      </c>
      <c r="AC6" s="7">
        <f>IFERROR(__xludf.DUMMYFUNCTION("""COMPUTED_VALUE"""),45000.0)</f>
        <v>45000</v>
      </c>
      <c r="AD6" s="7">
        <f>IFERROR(__xludf.DUMMYFUNCTION("""COMPUTED_VALUE"""),205168.0)</f>
        <v>205168</v>
      </c>
      <c r="AE6" s="7" t="str">
        <f>IFERROR(__xludf.DUMMYFUNCTION("""COMPUTED_VALUE"""),"TRF 31-08")</f>
        <v>TRF 31-08</v>
      </c>
      <c r="AF6" s="7" t="str">
        <f>IFERROR(__xludf.DUMMYFUNCTION("""COMPUTED_VALUE"""),"No Corresp")</f>
        <v>No Corresp</v>
      </c>
      <c r="AG6" s="7"/>
    </row>
    <row r="7">
      <c r="B7" s="83">
        <f>IFERROR(__xludf.DUMMYFUNCTION("""COMPUTED_VALUE"""),45538.4155449074)</f>
        <v>45538.41554</v>
      </c>
      <c r="C7" s="43" t="str">
        <f>IFERROR(__xludf.DUMMYFUNCTION("""COMPUTED_VALUE"""),"Sebastián ")</f>
        <v>Sebastián </v>
      </c>
      <c r="D7" s="43" t="str">
        <f>IFERROR(__xludf.DUMMYFUNCTION("""COMPUTED_VALUE"""),"Clua D'alessandro ")</f>
        <v>Clua D'alessandro </v>
      </c>
      <c r="E7" s="43" t="str">
        <f>IFERROR(__xludf.DUMMYFUNCTION("""COMPUTED_VALUE"""),"La plata")</f>
        <v>La plata</v>
      </c>
      <c r="F7" s="7" t="str">
        <f>IFERROR(__xludf.DUMMYFUNCTION("""COMPUTED_VALUE"""),"ARG")</f>
        <v>ARG</v>
      </c>
      <c r="G7" s="7">
        <f>IFERROR(__xludf.DUMMYFUNCTION("""COMPUTED_VALUE"""),3.3850814E7)</f>
        <v>33850814</v>
      </c>
      <c r="H7" s="44">
        <f>IFERROR(__xludf.DUMMYFUNCTION("""COMPUTED_VALUE"""),32299.0)</f>
        <v>32299</v>
      </c>
      <c r="I7" s="45">
        <f>IFERROR(__xludf.DUMMYFUNCTION("""COMPUTED_VALUE"""),2.215343741E9)</f>
        <v>2215343741</v>
      </c>
      <c r="J7" s="45">
        <f>IFERROR(__xludf.DUMMYFUNCTION("""COMPUTED_VALUE"""),2.215411548E9)</f>
        <v>2215411548</v>
      </c>
      <c r="K7" s="45" t="str">
        <f>IFERROR(__xludf.DUMMYFUNCTION("""COMPUTED_VALUE"""),"sebas.clua@gmail.com")</f>
        <v>sebas.clua@gmail.com</v>
      </c>
      <c r="L7" s="45" t="str">
        <f>IFERROR(__xludf.DUMMYFUNCTION("""COMPUTED_VALUE"""),"Masculino")</f>
        <v>Masculino</v>
      </c>
      <c r="M7" s="45" t="str">
        <f>IFERROR(__xludf.DUMMYFUNCTION("""COMPUTED_VALUE"""),"Gasav")</f>
        <v>Gasav</v>
      </c>
      <c r="N7" s="45" t="str">
        <f>IFERROR(__xludf.DUMMYFUNCTION("""COMPUTED_VALUE"""),"Master (ILCA)")</f>
        <v>Master (ILCA)</v>
      </c>
      <c r="O7" s="45" t="str">
        <f>IFERROR(__xludf.DUMMYFUNCTION("""COMPUTED_VALUE"""),"ILCA 6")</f>
        <v>ILCA 6</v>
      </c>
      <c r="P7" s="45"/>
      <c r="Q7" s="45" t="str">
        <f>IFERROR(__xludf.DUMMYFUNCTION("""COMPUTED_VALUE"""),"ALA 2")</f>
        <v>ALA 2</v>
      </c>
      <c r="R7" s="45" t="str">
        <f>IFERROR(__xludf.DUMMYFUNCTION("""COMPUTED_VALUE"""),"Gollo")</f>
        <v>Gollo</v>
      </c>
      <c r="S7" s="45"/>
      <c r="T7" s="45"/>
      <c r="U7" s="45"/>
      <c r="V7" s="45"/>
      <c r="W7" s="45"/>
      <c r="X7" s="45"/>
      <c r="Y7" s="45"/>
      <c r="Z7" s="45" t="str">
        <f>IFERROR(__xludf.DUMMYFUNCTION("""COMPUTED_VALUE"""),"Si")</f>
        <v>Si</v>
      </c>
      <c r="AA7" s="7" t="str">
        <f>IFERROR(__xludf.DUMMYFUNCTION("""COMPUTED_VALUE"""),"Acepto")</f>
        <v>Acepto</v>
      </c>
      <c r="AB7" s="7" t="str">
        <f>IFERROR(__xludf.DUMMYFUNCTION("""COMPUTED_VALUE"""),"No corre")</f>
        <v>No corre</v>
      </c>
      <c r="AC7" s="7"/>
      <c r="AD7" s="7"/>
      <c r="AE7" s="7"/>
      <c r="AF7" s="7" t="str">
        <f>IFERROR(__xludf.DUMMYFUNCTION("""COMPUTED_VALUE"""),"No Corresp")</f>
        <v>No Corresp</v>
      </c>
      <c r="AG7" s="7"/>
    </row>
    <row r="8">
      <c r="B8" s="83">
        <f>IFERROR(__xludf.DUMMYFUNCTION("""COMPUTED_VALUE"""),45535.92234740741)</f>
        <v>45535.92235</v>
      </c>
      <c r="C8" s="43" t="str">
        <f>IFERROR(__xludf.DUMMYFUNCTION("""COMPUTED_VALUE"""),"Tomás ")</f>
        <v>Tomás </v>
      </c>
      <c r="D8" s="43" t="str">
        <f>IFERROR(__xludf.DUMMYFUNCTION("""COMPUTED_VALUE"""),"De ezcurra")</f>
        <v>De ezcurra</v>
      </c>
      <c r="E8" s="43" t="str">
        <f>IFERROR(__xludf.DUMMYFUNCTION("""COMPUTED_VALUE"""),"Bs as")</f>
        <v>Bs as</v>
      </c>
      <c r="F8" s="7" t="str">
        <f>IFERROR(__xludf.DUMMYFUNCTION("""COMPUTED_VALUE"""),"ARG")</f>
        <v>ARG</v>
      </c>
      <c r="G8" s="7">
        <f>IFERROR(__xludf.DUMMYFUNCTION("""COMPUTED_VALUE"""),4.9064224E7)</f>
        <v>49064224</v>
      </c>
      <c r="H8" s="44">
        <f>IFERROR(__xludf.DUMMYFUNCTION("""COMPUTED_VALUE"""),39731.0)</f>
        <v>39731</v>
      </c>
      <c r="I8" s="45">
        <f>IFERROR(__xludf.DUMMYFUNCTION("""COMPUTED_VALUE"""),1.540279334E9)</f>
        <v>1540279334</v>
      </c>
      <c r="J8" s="45">
        <f>IFERROR(__xludf.DUMMYFUNCTION("""COMPUTED_VALUE"""),1.540279334E9)</f>
        <v>1540279334</v>
      </c>
      <c r="K8" s="45" t="str">
        <f>IFERROR(__xludf.DUMMYFUNCTION("""COMPUTED_VALUE"""),"tdezcu@gmail.com")</f>
        <v>tdezcu@gmail.com</v>
      </c>
      <c r="L8" s="45" t="str">
        <f>IFERROR(__xludf.DUMMYFUNCTION("""COMPUTED_VALUE"""),"Masculino")</f>
        <v>Masculino</v>
      </c>
      <c r="M8" s="45" t="str">
        <f>IFERROR(__xludf.DUMMYFUNCTION("""COMPUTED_VALUE"""),"Cnsi")</f>
        <v>Cnsi</v>
      </c>
      <c r="N8" s="45"/>
      <c r="O8" s="45" t="str">
        <f>IFERROR(__xludf.DUMMYFUNCTION("""COMPUTED_VALUE"""),"ILCA 6")</f>
        <v>ILCA 6</v>
      </c>
      <c r="P8" s="45"/>
      <c r="Q8" s="45">
        <f>IFERROR(__xludf.DUMMYFUNCTION("""COMPUTED_VALUE"""),222112.0)</f>
        <v>222112</v>
      </c>
      <c r="R8" s="45"/>
      <c r="S8" s="45"/>
      <c r="T8" s="45"/>
      <c r="U8" s="45"/>
      <c r="V8" s="45"/>
      <c r="W8" s="45"/>
      <c r="X8" s="45"/>
      <c r="Y8" s="45">
        <f>IFERROR(__xludf.DUMMYFUNCTION("""COMPUTED_VALUE"""),6.1721757103E10)</f>
        <v>61721757103</v>
      </c>
      <c r="Z8" s="45" t="str">
        <f>IFERROR(__xludf.DUMMYFUNCTION("""COMPUTED_VALUE"""),"No")</f>
        <v>No</v>
      </c>
      <c r="AA8" s="7" t="str">
        <f>IFERROR(__xludf.DUMMYFUNCTION("""COMPUTED_VALUE"""),"Acepto")</f>
        <v>Acepto</v>
      </c>
      <c r="AB8" s="7" t="str">
        <f>IFERROR(__xludf.DUMMYFUNCTION("""COMPUTED_VALUE"""),"Terminado")</f>
        <v>Terminado</v>
      </c>
      <c r="AC8" s="7">
        <f>IFERROR(__xludf.DUMMYFUNCTION("""COMPUTED_VALUE"""),45000.0)</f>
        <v>45000</v>
      </c>
      <c r="AD8" s="7">
        <f>IFERROR(__xludf.DUMMYFUNCTION("""COMPUTED_VALUE"""),205340.0)</f>
        <v>205340</v>
      </c>
      <c r="AE8" s="7" t="str">
        <f>IFERROR(__xludf.DUMMYFUNCTION("""COMPUTED_VALUE"""),"TRF 31-08")</f>
        <v>TRF 31-08</v>
      </c>
      <c r="AF8" s="7" t="str">
        <f>IFERROR(__xludf.DUMMYFUNCTION("""COMPUTED_VALUE"""),"OK")</f>
        <v>OK</v>
      </c>
      <c r="AG8" s="7" t="str">
        <f>IFERROR(__xludf.DUMMYFUNCTION("""COMPUTED_VALUE"""),"SI")</f>
        <v>SI</v>
      </c>
    </row>
    <row r="9">
      <c r="B9" s="83">
        <f>IFERROR(__xludf.DUMMYFUNCTION("""COMPUTED_VALUE"""),45538.41349423611)</f>
        <v>45538.41349</v>
      </c>
      <c r="C9" s="43" t="str">
        <f>IFERROR(__xludf.DUMMYFUNCTION("""COMPUTED_VALUE"""),"Adriana ")</f>
        <v>Adriana </v>
      </c>
      <c r="D9" s="43" t="str">
        <f>IFERROR(__xludf.DUMMYFUNCTION("""COMPUTED_VALUE"""),"Demaestri ")</f>
        <v>Demaestri </v>
      </c>
      <c r="E9" s="43" t="str">
        <f>IFERROR(__xludf.DUMMYFUNCTION("""COMPUTED_VALUE"""),"Bs as ")</f>
        <v>Bs as </v>
      </c>
      <c r="F9" s="7" t="str">
        <f>IFERROR(__xludf.DUMMYFUNCTION("""COMPUTED_VALUE"""),"ARG")</f>
        <v>ARG</v>
      </c>
      <c r="G9" s="7">
        <f>IFERROR(__xludf.DUMMYFUNCTION("""COMPUTED_VALUE"""),2.0383836E7)</f>
        <v>20383836</v>
      </c>
      <c r="H9" s="44">
        <f>IFERROR(__xludf.DUMMYFUNCTION("""COMPUTED_VALUE"""),-668975.0)</f>
        <v>-668975</v>
      </c>
      <c r="I9" s="45">
        <f>IFERROR(__xludf.DUMMYFUNCTION("""COMPUTED_VALUE"""),1.56610209E9)</f>
        <v>1566102090</v>
      </c>
      <c r="J9" s="45"/>
      <c r="K9" s="45" t="str">
        <f>IFERROR(__xludf.DUMMYFUNCTION("""COMPUTED_VALUE"""),"Adriobstdemaestri@gmail.com")</f>
        <v>Adriobstdemaestri@gmail.com</v>
      </c>
      <c r="L9" s="45" t="str">
        <f>IFERROR(__xludf.DUMMYFUNCTION("""COMPUTED_VALUE"""),"Femenino")</f>
        <v>Femenino</v>
      </c>
      <c r="M9" s="45" t="str">
        <f>IFERROR(__xludf.DUMMYFUNCTION("""COMPUTED_VALUE"""),"CNO")</f>
        <v>CNO</v>
      </c>
      <c r="N9" s="45" t="str">
        <f>IFERROR(__xludf.DUMMYFUNCTION("""COMPUTED_VALUE"""),"Femenino, Master (ILCA)")</f>
        <v>Femenino, Master (ILCA)</v>
      </c>
      <c r="O9" s="45" t="str">
        <f>IFERROR(__xludf.DUMMYFUNCTION("""COMPUTED_VALUE"""),"ILCA 6")</f>
        <v>ILCA 6</v>
      </c>
      <c r="P9" s="45"/>
      <c r="Q9" s="45">
        <f>IFERROR(__xludf.DUMMYFUNCTION("""COMPUTED_VALUE"""),218280.0)</f>
        <v>218280</v>
      </c>
      <c r="R9" s="45"/>
      <c r="S9" s="45"/>
      <c r="T9" s="45"/>
      <c r="U9" s="45"/>
      <c r="V9" s="45"/>
      <c r="W9" s="45"/>
      <c r="X9" s="45"/>
      <c r="Y9" s="45"/>
      <c r="Z9" s="45" t="str">
        <f>IFERROR(__xludf.DUMMYFUNCTION("""COMPUTED_VALUE"""),"No")</f>
        <v>No</v>
      </c>
      <c r="AA9" s="7" t="str">
        <f>IFERROR(__xludf.DUMMYFUNCTION("""COMPUTED_VALUE"""),"Acepto")</f>
        <v>Acepto</v>
      </c>
      <c r="AB9" s="7" t="str">
        <f>IFERROR(__xludf.DUMMYFUNCTION("""COMPUTED_VALUE"""),"Pendiente")</f>
        <v>Pendiente</v>
      </c>
      <c r="AC9" s="7"/>
      <c r="AD9" s="7"/>
      <c r="AE9" s="7"/>
      <c r="AF9" s="7"/>
      <c r="AG9" s="7"/>
    </row>
    <row r="10">
      <c r="B10" s="83">
        <f>IFERROR(__xludf.DUMMYFUNCTION("""COMPUTED_VALUE"""),45535.49440872685)</f>
        <v>45535.49441</v>
      </c>
      <c r="C10" s="43" t="str">
        <f>IFERROR(__xludf.DUMMYFUNCTION("""COMPUTED_VALUE"""),"Tomas ")</f>
        <v>Tomas </v>
      </c>
      <c r="D10" s="43" t="str">
        <f>IFERROR(__xludf.DUMMYFUNCTION("""COMPUTED_VALUE"""),"Elias")</f>
        <v>Elias</v>
      </c>
      <c r="E10" s="43" t="str">
        <f>IFERROR(__xludf.DUMMYFUNCTION("""COMPUTED_VALUE"""),"CABA ")</f>
        <v>CABA </v>
      </c>
      <c r="F10" s="7" t="str">
        <f>IFERROR(__xludf.DUMMYFUNCTION("""COMPUTED_VALUE"""),"ARG")</f>
        <v>ARG</v>
      </c>
      <c r="G10" s="7">
        <f>IFERROR(__xludf.DUMMYFUNCTION("""COMPUTED_VALUE"""),4.7866955E7)</f>
        <v>47866955</v>
      </c>
      <c r="H10" s="44">
        <f>IFERROR(__xludf.DUMMYFUNCTION("""COMPUTED_VALUE"""),39329.0)</f>
        <v>39329</v>
      </c>
      <c r="I10" s="45" t="str">
        <f>IFERROR(__xludf.DUMMYFUNCTION("""COMPUTED_VALUE"""),"‪+54 9 11 4079‑2894‬")</f>
        <v>‪+54 9 11 4079‑2894‬</v>
      </c>
      <c r="J10" s="45">
        <f>IFERROR(__xludf.DUMMYFUNCTION("""COMPUTED_VALUE"""),1.149936115E9)</f>
        <v>1149936115</v>
      </c>
      <c r="K10" s="45" t="str">
        <f>IFERROR(__xludf.DUMMYFUNCTION("""COMPUTED_VALUE"""),"tomaselias@educacioncopello.com.ar")</f>
        <v>tomaselias@educacioncopello.com.ar</v>
      </c>
      <c r="L10" s="45" t="str">
        <f>IFERROR(__xludf.DUMMYFUNCTION("""COMPUTED_VALUE"""),"Masculino")</f>
        <v>Masculino</v>
      </c>
      <c r="M10" s="45" t="str">
        <f>IFERROR(__xludf.DUMMYFUNCTION("""COMPUTED_VALUE"""),"CUBA")</f>
        <v>CUBA</v>
      </c>
      <c r="N10" s="45" t="str">
        <f>IFERROR(__xludf.DUMMYFUNCTION("""COMPUTED_VALUE"""),"Junior")</f>
        <v>Junior</v>
      </c>
      <c r="O10" s="45" t="str">
        <f>IFERROR(__xludf.DUMMYFUNCTION("""COMPUTED_VALUE"""),"ILCA 6")</f>
        <v>ILCA 6</v>
      </c>
      <c r="P10" s="45"/>
      <c r="Q10" s="45">
        <f>IFERROR(__xludf.DUMMYFUNCTION("""COMPUTED_VALUE"""),223031.0)</f>
        <v>223031</v>
      </c>
      <c r="R10" s="45"/>
      <c r="S10" s="45"/>
      <c r="T10" s="45"/>
      <c r="U10" s="45"/>
      <c r="V10" s="45"/>
      <c r="W10" s="45"/>
      <c r="X10" s="45"/>
      <c r="Y10" s="45" t="str">
        <f>IFERROR(__xludf.DUMMYFUNCTION("""COMPUTED_VALUE"""),"Hospital Alemán ")</f>
        <v>Hospital Alemán </v>
      </c>
      <c r="Z10" s="45" t="str">
        <f>IFERROR(__xludf.DUMMYFUNCTION("""COMPUTED_VALUE"""),"No")</f>
        <v>No</v>
      </c>
      <c r="AA10" s="7" t="str">
        <f>IFERROR(__xludf.DUMMYFUNCTION("""COMPUTED_VALUE"""),"Acepto")</f>
        <v>Acepto</v>
      </c>
      <c r="AB10" s="7" t="str">
        <f>IFERROR(__xludf.DUMMYFUNCTION("""COMPUTED_VALUE"""),"Terminado")</f>
        <v>Terminado</v>
      </c>
      <c r="AC10" s="7">
        <f>IFERROR(__xludf.DUMMYFUNCTION("""COMPUTED_VALUE"""),45000.0)</f>
        <v>45000</v>
      </c>
      <c r="AD10" s="7">
        <f>IFERROR(__xludf.DUMMYFUNCTION("""COMPUTED_VALUE"""),205481.0)</f>
        <v>205481</v>
      </c>
      <c r="AE10" s="7" t="str">
        <f>IFERROR(__xludf.DUMMYFUNCTION("""COMPUTED_VALUE"""),"TRF 05-09")</f>
        <v>TRF 05-09</v>
      </c>
      <c r="AF10" s="7" t="str">
        <f>IFERROR(__xludf.DUMMYFUNCTION("""COMPUTED_VALUE"""),"OK")</f>
        <v>OK</v>
      </c>
      <c r="AG10" s="7"/>
    </row>
    <row r="11">
      <c r="B11" s="83">
        <f>IFERROR(__xludf.DUMMYFUNCTION("""COMPUTED_VALUE"""),45537.63803188657)</f>
        <v>45537.63803</v>
      </c>
      <c r="C11" s="43" t="str">
        <f>IFERROR(__xludf.DUMMYFUNCTION("""COMPUTED_VALUE"""),"Joaquin")</f>
        <v>Joaquin</v>
      </c>
      <c r="D11" s="43" t="str">
        <f>IFERROR(__xludf.DUMMYFUNCTION("""COMPUTED_VALUE"""),"Galvan")</f>
        <v>Galvan</v>
      </c>
      <c r="E11" s="43" t="str">
        <f>IFERROR(__xludf.DUMMYFUNCTION("""COMPUTED_VALUE"""),"La Plata")</f>
        <v>La Plata</v>
      </c>
      <c r="F11" s="7" t="str">
        <f>IFERROR(__xludf.DUMMYFUNCTION("""COMPUTED_VALUE"""),"ARG")</f>
        <v>ARG</v>
      </c>
      <c r="G11" s="7">
        <f>IFERROR(__xludf.DUMMYFUNCTION("""COMPUTED_VALUE"""),4.8167738E7)</f>
        <v>48167738</v>
      </c>
      <c r="H11" s="44">
        <f>IFERROR(__xludf.DUMMYFUNCTION("""COMPUTED_VALUE"""),39322.0)</f>
        <v>39322</v>
      </c>
      <c r="I11" s="45">
        <f>IFERROR(__xludf.DUMMYFUNCTION("""COMPUTED_VALUE"""),2.215255503E9)</f>
        <v>2215255503</v>
      </c>
      <c r="J11" s="45">
        <f>IFERROR(__xludf.DUMMYFUNCTION("""COMPUTED_VALUE"""),2.21463832E9)</f>
        <v>2214638320</v>
      </c>
      <c r="K11" s="45" t="str">
        <f>IFERROR(__xludf.DUMMYFUNCTION("""COMPUTED_VALUE"""),"galvanb612@gmail.com")</f>
        <v>galvanb612@gmail.com</v>
      </c>
      <c r="L11" s="45" t="str">
        <f>IFERROR(__xludf.DUMMYFUNCTION("""COMPUTED_VALUE"""),"Masculino")</f>
        <v>Masculino</v>
      </c>
      <c r="M11" s="45" t="str">
        <f>IFERROR(__xludf.DUMMYFUNCTION("""COMPUTED_VALUE"""),"YCO")</f>
        <v>YCO</v>
      </c>
      <c r="N11" s="45" t="str">
        <f>IFERROR(__xludf.DUMMYFUNCTION("""COMPUTED_VALUE"""),"Sub 19")</f>
        <v>Sub 19</v>
      </c>
      <c r="O11" s="45" t="str">
        <f>IFERROR(__xludf.DUMMYFUNCTION("""COMPUTED_VALUE"""),"ILCA 6")</f>
        <v>ILCA 6</v>
      </c>
      <c r="P11" s="45"/>
      <c r="Q11" s="45">
        <f>IFERROR(__xludf.DUMMYFUNCTION("""COMPUTED_VALUE"""),223046.0)</f>
        <v>223046</v>
      </c>
      <c r="R11" s="45"/>
      <c r="S11" s="45"/>
      <c r="T11" s="45"/>
      <c r="U11" s="45"/>
      <c r="V11" s="45"/>
      <c r="W11" s="45"/>
      <c r="X11" s="45"/>
      <c r="Y11" s="45">
        <f>IFERROR(__xludf.DUMMYFUNCTION("""COMPUTED_VALUE"""),4.8167738E7)</f>
        <v>48167738</v>
      </c>
      <c r="Z11" s="45" t="str">
        <f>IFERROR(__xludf.DUMMYFUNCTION("""COMPUTED_VALUE"""),"Si")</f>
        <v>Si</v>
      </c>
      <c r="AA11" s="7" t="str">
        <f>IFERROR(__xludf.DUMMYFUNCTION("""COMPUTED_VALUE"""),"Acepto")</f>
        <v>Acepto</v>
      </c>
      <c r="AB11" s="7" t="str">
        <f>IFERROR(__xludf.DUMMYFUNCTION("""COMPUTED_VALUE"""),"Terminado")</f>
        <v>Terminado</v>
      </c>
      <c r="AC11" s="7">
        <f>IFERROR(__xludf.DUMMYFUNCTION("""COMPUTED_VALUE"""),45000.0)</f>
        <v>45000</v>
      </c>
      <c r="AD11" s="7">
        <f>IFERROR(__xludf.DUMMYFUNCTION("""COMPUTED_VALUE"""),205482.0)</f>
        <v>205482</v>
      </c>
      <c r="AE11" s="7" t="str">
        <f>IFERROR(__xludf.DUMMYFUNCTION("""COMPUTED_VALUE"""),"TRF 03-09")</f>
        <v>TRF 03-09</v>
      </c>
      <c r="AF11" s="7" t="str">
        <f>IFERROR(__xludf.DUMMYFUNCTION("""COMPUTED_VALUE"""),"OK")</f>
        <v>OK</v>
      </c>
      <c r="AG11" s="7"/>
    </row>
    <row r="12">
      <c r="B12" s="83">
        <f>IFERROR(__xludf.DUMMYFUNCTION("""COMPUTED_VALUE"""),45535.708234791666)</f>
        <v>45535.70823</v>
      </c>
      <c r="C12" s="43" t="str">
        <f>IFERROR(__xludf.DUMMYFUNCTION("""COMPUTED_VALUE"""),"Alejandro ")</f>
        <v>Alejandro </v>
      </c>
      <c r="D12" s="43" t="str">
        <f>IFERROR(__xludf.DUMMYFUNCTION("""COMPUTED_VALUE"""),"Garcia")</f>
        <v>Garcia</v>
      </c>
      <c r="E12" s="43" t="str">
        <f>IFERROR(__xludf.DUMMYFUNCTION("""COMPUTED_VALUE"""),"Caba")</f>
        <v>Caba</v>
      </c>
      <c r="F12" s="7" t="str">
        <f>IFERROR(__xludf.DUMMYFUNCTION("""COMPUTED_VALUE"""),"ARG")</f>
        <v>ARG</v>
      </c>
      <c r="G12" s="7">
        <f>IFERROR(__xludf.DUMMYFUNCTION("""COMPUTED_VALUE"""),2.6562029E7)</f>
        <v>26562029</v>
      </c>
      <c r="H12" s="44">
        <f>IFERROR(__xludf.DUMMYFUNCTION("""COMPUTED_VALUE"""),28571.0)</f>
        <v>28571</v>
      </c>
      <c r="I12" s="45">
        <f>IFERROR(__xludf.DUMMYFUNCTION("""COMPUTED_VALUE"""),1.16124584E9)</f>
        <v>1161245840</v>
      </c>
      <c r="J12" s="45">
        <f>IFERROR(__xludf.DUMMYFUNCTION("""COMPUTED_VALUE"""),1.16124584E9)</f>
        <v>1161245840</v>
      </c>
      <c r="K12" s="45" t="str">
        <f>IFERROR(__xludf.DUMMYFUNCTION("""COMPUTED_VALUE"""),"Alejandro_19788@hotmail.com")</f>
        <v>Alejandro_19788@hotmail.com</v>
      </c>
      <c r="L12" s="45" t="str">
        <f>IFERROR(__xludf.DUMMYFUNCTION("""COMPUTED_VALUE"""),"Masculino")</f>
        <v>Masculino</v>
      </c>
      <c r="M12" s="45" t="str">
        <f>IFERROR(__xludf.DUMMYFUNCTION("""COMPUTED_VALUE"""),"Club Nautico Albatros")</f>
        <v>Club Nautico Albatros</v>
      </c>
      <c r="N12" s="45" t="str">
        <f>IFERROR(__xludf.DUMMYFUNCTION("""COMPUTED_VALUE"""),"Master (ILCA)")</f>
        <v>Master (ILCA)</v>
      </c>
      <c r="O12" s="45" t="str">
        <f>IFERROR(__xludf.DUMMYFUNCTION("""COMPUTED_VALUE"""),"ILCA 6")</f>
        <v>ILCA 6</v>
      </c>
      <c r="P12" s="45">
        <f>IFERROR(__xludf.DUMMYFUNCTION("""COMPUTED_VALUE"""),134.0)</f>
        <v>134</v>
      </c>
      <c r="Q12" s="45">
        <f>IFERROR(__xludf.DUMMYFUNCTION("""COMPUTED_VALUE"""),221117.0)</f>
        <v>221117</v>
      </c>
      <c r="R12" s="45" t="str">
        <f>IFERROR(__xludf.DUMMYFUNCTION("""COMPUTED_VALUE"""),"Selkirk")</f>
        <v>Selkirk</v>
      </c>
      <c r="S12" s="45"/>
      <c r="T12" s="45"/>
      <c r="U12" s="45"/>
      <c r="V12" s="45"/>
      <c r="W12" s="45"/>
      <c r="X12" s="45"/>
      <c r="Y12" s="45" t="str">
        <f>IFERROR(__xludf.DUMMYFUNCTION("""COMPUTED_VALUE"""),"Omint")</f>
        <v>Omint</v>
      </c>
      <c r="Z12" s="45" t="str">
        <f>IFERROR(__xludf.DUMMYFUNCTION("""COMPUTED_VALUE"""),"No")</f>
        <v>No</v>
      </c>
      <c r="AA12" s="7" t="str">
        <f>IFERROR(__xludf.DUMMYFUNCTION("""COMPUTED_VALUE"""),"Acepto")</f>
        <v>Acepto</v>
      </c>
      <c r="AB12" s="7" t="str">
        <f>IFERROR(__xludf.DUMMYFUNCTION("""COMPUTED_VALUE"""),"Terminado")</f>
        <v>Terminado</v>
      </c>
      <c r="AC12" s="7">
        <f>IFERROR(__xludf.DUMMYFUNCTION("""COMPUTED_VALUE"""),45000.0)</f>
        <v>45000</v>
      </c>
      <c r="AD12" s="7">
        <f>IFERROR(__xludf.DUMMYFUNCTION("""COMPUTED_VALUE"""),205378.0)</f>
        <v>205378</v>
      </c>
      <c r="AE12" s="7" t="str">
        <f>IFERROR(__xludf.DUMMYFUNCTION("""COMPUTED_VALUE"""),"TRF 02-09")</f>
        <v>TRF 02-09</v>
      </c>
      <c r="AF12" s="7" t="str">
        <f>IFERROR(__xludf.DUMMYFUNCTION("""COMPUTED_VALUE"""),"No Corresp")</f>
        <v>No Corresp</v>
      </c>
      <c r="AG12" s="7"/>
    </row>
    <row r="13">
      <c r="B13" s="83">
        <f>IFERROR(__xludf.DUMMYFUNCTION("""COMPUTED_VALUE"""),45535.501205023145)</f>
        <v>45535.50121</v>
      </c>
      <c r="C13" s="43" t="str">
        <f>IFERROR(__xludf.DUMMYFUNCTION("""COMPUTED_VALUE"""),"Ticiano")</f>
        <v>Ticiano</v>
      </c>
      <c r="D13" s="43" t="str">
        <f>IFERROR(__xludf.DUMMYFUNCTION("""COMPUTED_VALUE"""),"Koltez")</f>
        <v>Koltez</v>
      </c>
      <c r="E13" s="43" t="str">
        <f>IFERROR(__xludf.DUMMYFUNCTION("""COMPUTED_VALUE"""),"Rada Tilly")</f>
        <v>Rada Tilly</v>
      </c>
      <c r="F13" s="7" t="str">
        <f>IFERROR(__xludf.DUMMYFUNCTION("""COMPUTED_VALUE"""),"ARG")</f>
        <v>ARG</v>
      </c>
      <c r="G13" s="7">
        <f>IFERROR(__xludf.DUMMYFUNCTION("""COMPUTED_VALUE"""),4.4601424E7)</f>
        <v>44601424</v>
      </c>
      <c r="H13" s="44">
        <f>IFERROR(__xludf.DUMMYFUNCTION("""COMPUTED_VALUE"""),37689.0)</f>
        <v>37689</v>
      </c>
      <c r="I13" s="45">
        <f>IFERROR(__xludf.DUMMYFUNCTION("""COMPUTED_VALUE"""),2.974572501E9)</f>
        <v>2974572501</v>
      </c>
      <c r="J13" s="45"/>
      <c r="K13" s="45" t="str">
        <f>IFERROR(__xludf.DUMMYFUNCTION("""COMPUTED_VALUE"""),"ticianokoltez@gmail.com")</f>
        <v>ticianokoltez@gmail.com</v>
      </c>
      <c r="L13" s="45" t="str">
        <f>IFERROR(__xludf.DUMMYFUNCTION("""COMPUTED_VALUE"""),"Masculino")</f>
        <v>Masculino</v>
      </c>
      <c r="M13" s="45" t="str">
        <f>IFERROR(__xludf.DUMMYFUNCTION("""COMPUTED_VALUE"""),"YCO - CNRT")</f>
        <v>YCO - CNRT</v>
      </c>
      <c r="N13" s="45"/>
      <c r="O13" s="45" t="str">
        <f>IFERROR(__xludf.DUMMYFUNCTION("""COMPUTED_VALUE"""),"ILCA 6")</f>
        <v>ILCA 6</v>
      </c>
      <c r="P13" s="45"/>
      <c r="Q13" s="45">
        <f>IFERROR(__xludf.DUMMYFUNCTION("""COMPUTED_VALUE"""),195383.0)</f>
        <v>195383</v>
      </c>
      <c r="R13" s="45"/>
      <c r="S13" s="45"/>
      <c r="T13" s="45"/>
      <c r="U13" s="45"/>
      <c r="V13" s="45"/>
      <c r="W13" s="45"/>
      <c r="X13" s="45"/>
      <c r="Y13" s="45" t="str">
        <f>IFERROR(__xludf.DUMMYFUNCTION("""COMPUTED_VALUE"""),"Osde")</f>
        <v>Osde</v>
      </c>
      <c r="Z13" s="45" t="str">
        <f>IFERROR(__xludf.DUMMYFUNCTION("""COMPUTED_VALUE"""),"Si")</f>
        <v>Si</v>
      </c>
      <c r="AA13" s="7" t="str">
        <f>IFERROR(__xludf.DUMMYFUNCTION("""COMPUTED_VALUE"""),"Acepto")</f>
        <v>Acepto</v>
      </c>
      <c r="AB13" s="7" t="str">
        <f>IFERROR(__xludf.DUMMYFUNCTION("""COMPUTED_VALUE"""),"Terminado")</f>
        <v>Terminado</v>
      </c>
      <c r="AC13" s="7">
        <f>IFERROR(__xludf.DUMMYFUNCTION("""COMPUTED_VALUE"""),45000.0)</f>
        <v>45000</v>
      </c>
      <c r="AD13" s="7">
        <f>IFERROR(__xludf.DUMMYFUNCTION("""COMPUTED_VALUE"""),205159.0)</f>
        <v>205159</v>
      </c>
      <c r="AE13" s="7" t="str">
        <f>IFERROR(__xludf.DUMMYFUNCTION("""COMPUTED_VALUE"""),"TRF 31-08")</f>
        <v>TRF 31-08</v>
      </c>
      <c r="AF13" s="7" t="str">
        <f>IFERROR(__xludf.DUMMYFUNCTION("""COMPUTED_VALUE"""),"No Corresp")</f>
        <v>No Corresp</v>
      </c>
      <c r="AG13" s="7"/>
    </row>
    <row r="14">
      <c r="B14" s="83">
        <f>IFERROR(__xludf.DUMMYFUNCTION("""COMPUTED_VALUE"""),45535.8106453125)</f>
        <v>45535.81065</v>
      </c>
      <c r="C14" s="43" t="str">
        <f>IFERROR(__xludf.DUMMYFUNCTION("""COMPUTED_VALUE"""),"Santiago")</f>
        <v>Santiago</v>
      </c>
      <c r="D14" s="43" t="str">
        <f>IFERROR(__xludf.DUMMYFUNCTION("""COMPUTED_VALUE"""),"Latorre")</f>
        <v>Latorre</v>
      </c>
      <c r="E14" s="43" t="str">
        <f>IFERROR(__xludf.DUMMYFUNCTION("""COMPUTED_VALUE"""),"Buenos Aires")</f>
        <v>Buenos Aires</v>
      </c>
      <c r="F14" s="7" t="str">
        <f>IFERROR(__xludf.DUMMYFUNCTION("""COMPUTED_VALUE"""),"ARG")</f>
        <v>ARG</v>
      </c>
      <c r="G14" s="7">
        <f>IFERROR(__xludf.DUMMYFUNCTION("""COMPUTED_VALUE"""),4.8715531E7)</f>
        <v>48715531</v>
      </c>
      <c r="H14" s="44">
        <f>IFERROR(__xludf.DUMMYFUNCTION("""COMPUTED_VALUE"""),39575.0)</f>
        <v>39575</v>
      </c>
      <c r="I14" s="45">
        <f>IFERROR(__xludf.DUMMYFUNCTION("""COMPUTED_VALUE"""),1.556687314E9)</f>
        <v>1556687314</v>
      </c>
      <c r="J14" s="45">
        <f>IFERROR(__xludf.DUMMYFUNCTION("""COMPUTED_VALUE"""),1.556687314E9)</f>
        <v>1556687314</v>
      </c>
      <c r="K14" s="45" t="str">
        <f>IFERROR(__xludf.DUMMYFUNCTION("""COMPUTED_VALUE"""),"mariananasrala69@gmail.com")</f>
        <v>mariananasrala69@gmail.com</v>
      </c>
      <c r="L14" s="45" t="str">
        <f>IFERROR(__xludf.DUMMYFUNCTION("""COMPUTED_VALUE"""),"Masculino")</f>
        <v>Masculino</v>
      </c>
      <c r="M14" s="45" t="str">
        <f>IFERROR(__xludf.DUMMYFUNCTION("""COMPUTED_VALUE"""),"Yca")</f>
        <v>Yca</v>
      </c>
      <c r="N14" s="45"/>
      <c r="O14" s="45" t="str">
        <f>IFERROR(__xludf.DUMMYFUNCTION("""COMPUTED_VALUE"""),"ILCA 6")</f>
        <v>ILCA 6</v>
      </c>
      <c r="P14" s="45"/>
      <c r="Q14" s="45">
        <f>IFERROR(__xludf.DUMMYFUNCTION("""COMPUTED_VALUE"""),218118.0)</f>
        <v>218118</v>
      </c>
      <c r="R14" s="45"/>
      <c r="S14" s="45"/>
      <c r="T14" s="45"/>
      <c r="U14" s="45"/>
      <c r="V14" s="45"/>
      <c r="W14" s="45"/>
      <c r="X14" s="45"/>
      <c r="Y14" s="45"/>
      <c r="Z14" s="45" t="str">
        <f>IFERROR(__xludf.DUMMYFUNCTION("""COMPUTED_VALUE"""),"No")</f>
        <v>No</v>
      </c>
      <c r="AA14" s="7" t="str">
        <f>IFERROR(__xludf.DUMMYFUNCTION("""COMPUTED_VALUE"""),"Acepto")</f>
        <v>Acepto</v>
      </c>
      <c r="AB14" s="7" t="str">
        <f>IFERROR(__xludf.DUMMYFUNCTION("""COMPUTED_VALUE"""),"Terminado")</f>
        <v>Terminado</v>
      </c>
      <c r="AC14" s="7">
        <f>IFERROR(__xludf.DUMMYFUNCTION("""COMPUTED_VALUE"""),45000.0)</f>
        <v>45000</v>
      </c>
      <c r="AD14" s="7">
        <f>IFERROR(__xludf.DUMMYFUNCTION("""COMPUTED_VALUE"""),205375.0)</f>
        <v>205375</v>
      </c>
      <c r="AE14" s="7" t="str">
        <f>IFERROR(__xludf.DUMMYFUNCTION("""COMPUTED_VALUE"""),"TRF02-09")</f>
        <v>TRF02-09</v>
      </c>
      <c r="AF14" s="7" t="str">
        <f>IFERROR(__xludf.DUMMYFUNCTION("""COMPUTED_VALUE"""),"OK")</f>
        <v>OK</v>
      </c>
      <c r="AG14" s="7"/>
    </row>
    <row r="15">
      <c r="B15" s="83">
        <f>IFERROR(__xludf.DUMMYFUNCTION("""COMPUTED_VALUE"""),45534.410175625)</f>
        <v>45534.41018</v>
      </c>
      <c r="C15" s="43" t="str">
        <f>IFERROR(__xludf.DUMMYFUNCTION("""COMPUTED_VALUE"""),"Facundo")</f>
        <v>Facundo</v>
      </c>
      <c r="D15" s="43" t="str">
        <f>IFERROR(__xludf.DUMMYFUNCTION("""COMPUTED_VALUE"""),"Pinedo Chiappa")</f>
        <v>Pinedo Chiappa</v>
      </c>
      <c r="E15" s="43" t="str">
        <f>IFERROR(__xludf.DUMMYFUNCTION("""COMPUTED_VALUE"""),"La Plata")</f>
        <v>La Plata</v>
      </c>
      <c r="F15" s="7" t="str">
        <f>IFERROR(__xludf.DUMMYFUNCTION("""COMPUTED_VALUE"""),"ARG")</f>
        <v>ARG</v>
      </c>
      <c r="G15" s="7">
        <f>IFERROR(__xludf.DUMMYFUNCTION("""COMPUTED_VALUE"""),5.1717346E7)</f>
        <v>51717346</v>
      </c>
      <c r="H15" s="44">
        <f>IFERROR(__xludf.DUMMYFUNCTION("""COMPUTED_VALUE"""),38919.0)</f>
        <v>38919</v>
      </c>
      <c r="I15" s="45" t="str">
        <f>IFERROR(__xludf.DUMMYFUNCTION("""COMPUTED_VALUE"""),"221 4196396")</f>
        <v>221 4196396</v>
      </c>
      <c r="J15" s="45" t="str">
        <f>IFERROR(__xludf.DUMMYFUNCTION("""COMPUTED_VALUE"""),"221 4196396")</f>
        <v>221 4196396</v>
      </c>
      <c r="K15" s="45" t="str">
        <f>IFERROR(__xludf.DUMMYFUNCTION("""COMPUTED_VALUE"""),"agustinpinedo@gmail.com")</f>
        <v>agustinpinedo@gmail.com</v>
      </c>
      <c r="L15" s="45" t="str">
        <f>IFERROR(__xludf.DUMMYFUNCTION("""COMPUTED_VALUE"""),"Masculino")</f>
        <v>Masculino</v>
      </c>
      <c r="M15" s="45" t="str">
        <f>IFERROR(__xludf.DUMMYFUNCTION("""COMPUTED_VALUE"""),"CRLP")</f>
        <v>CRLP</v>
      </c>
      <c r="N15" s="45"/>
      <c r="O15" s="45" t="str">
        <f>IFERROR(__xludf.DUMMYFUNCTION("""COMPUTED_VALUE"""),"ILCA 6")</f>
        <v>ILCA 6</v>
      </c>
      <c r="P15" s="45"/>
      <c r="Q15" s="45">
        <f>IFERROR(__xludf.DUMMYFUNCTION("""COMPUTED_VALUE"""),21.0)</f>
        <v>21</v>
      </c>
      <c r="R15" s="45"/>
      <c r="S15" s="45"/>
      <c r="T15" s="45"/>
      <c r="U15" s="45"/>
      <c r="V15" s="45"/>
      <c r="W15" s="45"/>
      <c r="X15" s="45"/>
      <c r="Y15" s="45"/>
      <c r="Z15" s="45" t="str">
        <f>IFERROR(__xludf.DUMMYFUNCTION("""COMPUTED_VALUE"""),"No")</f>
        <v>No</v>
      </c>
      <c r="AA15" s="7" t="str">
        <f>IFERROR(__xludf.DUMMYFUNCTION("""COMPUTED_VALUE"""),"Acepto")</f>
        <v>Acepto</v>
      </c>
      <c r="AB15" s="7" t="str">
        <f>IFERROR(__xludf.DUMMYFUNCTION("""COMPUTED_VALUE"""),"Terminado")</f>
        <v>Terminado</v>
      </c>
      <c r="AC15" s="7">
        <f>IFERROR(__xludf.DUMMYFUNCTION("""COMPUTED_VALUE"""),50000.0)</f>
        <v>50000</v>
      </c>
      <c r="AD15" s="7">
        <f>IFERROR(__xludf.DUMMYFUNCTION("""COMPUTED_VALUE"""),205089.0)</f>
        <v>205089</v>
      </c>
      <c r="AE15" s="7" t="str">
        <f>IFERROR(__xludf.DUMMYFUNCTION("""COMPUTED_VALUE"""),"TRF 30-08")</f>
        <v>TRF 30-08</v>
      </c>
      <c r="AF15" s="7" t="str">
        <f>IFERROR(__xludf.DUMMYFUNCTION("""COMPUTED_VALUE"""),"OK")</f>
        <v>OK</v>
      </c>
      <c r="AG15" s="7" t="str">
        <f>IFERROR(__xludf.DUMMYFUNCTION("""COMPUTED_VALUE"""),"Debe saldo")</f>
        <v>Debe saldo</v>
      </c>
    </row>
    <row r="16">
      <c r="B16" s="83">
        <f>IFERROR(__xludf.DUMMYFUNCTION("""COMPUTED_VALUE"""),45535.65005939815)</f>
        <v>45535.65006</v>
      </c>
      <c r="C16" s="43" t="str">
        <f>IFERROR(__xludf.DUMMYFUNCTION("""COMPUTED_VALUE"""),"Maggie")</f>
        <v>Maggie</v>
      </c>
      <c r="D16" s="43" t="str">
        <f>IFERROR(__xludf.DUMMYFUNCTION("""COMPUTED_VALUE"""),"Pinto")</f>
        <v>Pinto</v>
      </c>
      <c r="E16" s="43" t="str">
        <f>IFERROR(__xludf.DUMMYFUNCTION("""COMPUTED_VALUE"""),"Buenos Aires")</f>
        <v>Buenos Aires</v>
      </c>
      <c r="F16" s="7" t="str">
        <f>IFERROR(__xludf.DUMMYFUNCTION("""COMPUTED_VALUE"""),"ARG")</f>
        <v>ARG</v>
      </c>
      <c r="G16" s="7">
        <f>IFERROR(__xludf.DUMMYFUNCTION("""COMPUTED_VALUE"""),4.8578167E7)</f>
        <v>48578167</v>
      </c>
      <c r="H16" s="44">
        <f>IFERROR(__xludf.DUMMYFUNCTION("""COMPUTED_VALUE"""),39517.0)</f>
        <v>39517</v>
      </c>
      <c r="I16" s="45">
        <f>IFERROR(__xludf.DUMMYFUNCTION("""COMPUTED_VALUE"""),1.16850109E8)</f>
        <v>116850109</v>
      </c>
      <c r="J16" s="45">
        <f>IFERROR(__xludf.DUMMYFUNCTION("""COMPUTED_VALUE"""),1.163044368E9)</f>
        <v>1163044368</v>
      </c>
      <c r="K16" s="45" t="str">
        <f>IFERROR(__xludf.DUMMYFUNCTION("""COMPUTED_VALUE"""),"pinto0pedro1paulo9@gmail.com")</f>
        <v>pinto0pedro1paulo9@gmail.com</v>
      </c>
      <c r="L16" s="45" t="str">
        <f>IFERROR(__xludf.DUMMYFUNCTION("""COMPUTED_VALUE"""),"Femenino")</f>
        <v>Femenino</v>
      </c>
      <c r="M16" s="45" t="str">
        <f>IFERROR(__xludf.DUMMYFUNCTION("""COMPUTED_VALUE"""),"CNSI-Cvsi")</f>
        <v>CNSI-Cvsi</v>
      </c>
      <c r="N16" s="45" t="str">
        <f>IFERROR(__xludf.DUMMYFUNCTION("""COMPUTED_VALUE"""),"Femenino, U19")</f>
        <v>Femenino, U19</v>
      </c>
      <c r="O16" s="45" t="str">
        <f>IFERROR(__xludf.DUMMYFUNCTION("""COMPUTED_VALUE"""),"ILCA 6")</f>
        <v>ILCA 6</v>
      </c>
      <c r="P16" s="45"/>
      <c r="Q16" s="45">
        <f>IFERROR(__xludf.DUMMYFUNCTION("""COMPUTED_VALUE"""),223642.0)</f>
        <v>223642</v>
      </c>
      <c r="R16" s="45" t="str">
        <f>IFERROR(__xludf.DUMMYFUNCTION("""COMPUTED_VALUE"""),"La brava")</f>
        <v>La brava</v>
      </c>
      <c r="S16" s="45"/>
      <c r="T16" s="45"/>
      <c r="U16" s="45"/>
      <c r="V16" s="45"/>
      <c r="W16" s="45"/>
      <c r="X16" s="45"/>
      <c r="Y16" s="45" t="str">
        <f>IFERROR(__xludf.DUMMYFUNCTION("""COMPUTED_VALUE"""),"Colegio de Escribanos Provincia Buenos Aires")</f>
        <v>Colegio de Escribanos Provincia Buenos Aires</v>
      </c>
      <c r="Z16" s="45" t="str">
        <f>IFERROR(__xludf.DUMMYFUNCTION("""COMPUTED_VALUE"""),"Si")</f>
        <v>Si</v>
      </c>
      <c r="AA16" s="7" t="str">
        <f>IFERROR(__xludf.DUMMYFUNCTION("""COMPUTED_VALUE"""),"Acepto")</f>
        <v>Acepto</v>
      </c>
      <c r="AB16" s="7" t="str">
        <f>IFERROR(__xludf.DUMMYFUNCTION("""COMPUTED_VALUE"""),"Terminado")</f>
        <v>Terminado</v>
      </c>
      <c r="AC16" s="7">
        <f>IFERROR(__xludf.DUMMYFUNCTION("""COMPUTED_VALUE"""),45000.0)</f>
        <v>45000</v>
      </c>
      <c r="AD16" s="7">
        <f>IFERROR(__xludf.DUMMYFUNCTION("""COMPUTED_VALUE"""),205654.0)</f>
        <v>205654</v>
      </c>
      <c r="AE16" s="7" t="str">
        <f>IFERROR(__xludf.DUMMYFUNCTION("""COMPUTED_VALUE"""),"TRF 10-09")</f>
        <v>TRF 10-09</v>
      </c>
      <c r="AF16" s="7" t="str">
        <f>IFERROR(__xludf.DUMMYFUNCTION("""COMPUTED_VALUE"""),"OK")</f>
        <v>OK</v>
      </c>
      <c r="AG16" s="7" t="str">
        <f>IFERROR(__xludf.DUMMYFUNCTION("""COMPUTED_VALUE"""),"SI")</f>
        <v>SI</v>
      </c>
    </row>
    <row r="17">
      <c r="B17" s="83">
        <f>IFERROR(__xludf.DUMMYFUNCTION("""COMPUTED_VALUE"""),45535.651181712965)</f>
        <v>45535.65118</v>
      </c>
      <c r="C17" s="43" t="str">
        <f>IFERROR(__xludf.DUMMYFUNCTION("""COMPUTED_VALUE"""),"Naina Marie")</f>
        <v>Naina Marie</v>
      </c>
      <c r="D17" s="43" t="str">
        <f>IFERROR(__xludf.DUMMYFUNCTION("""COMPUTED_VALUE"""),"Pinto")</f>
        <v>Pinto</v>
      </c>
      <c r="E17" s="43" t="str">
        <f>IFERROR(__xludf.DUMMYFUNCTION("""COMPUTED_VALUE"""),"Buenos Aires")</f>
        <v>Buenos Aires</v>
      </c>
      <c r="F17" s="7" t="str">
        <f>IFERROR(__xludf.DUMMYFUNCTION("""COMPUTED_VALUE"""),"ARG")</f>
        <v>ARG</v>
      </c>
      <c r="G17" s="7">
        <f>IFERROR(__xludf.DUMMYFUNCTION("""COMPUTED_VALUE"""),4.7091456E7)</f>
        <v>47091456</v>
      </c>
      <c r="H17" s="44">
        <f>IFERROR(__xludf.DUMMYFUNCTION("""COMPUTED_VALUE"""),38769.0)</f>
        <v>38769</v>
      </c>
      <c r="I17" s="45">
        <f>IFERROR(__xludf.DUMMYFUNCTION("""COMPUTED_VALUE"""),1.168550109E9)</f>
        <v>1168550109</v>
      </c>
      <c r="J17" s="45">
        <f>IFERROR(__xludf.DUMMYFUNCTION("""COMPUTED_VALUE"""),1.163044368E9)</f>
        <v>1163044368</v>
      </c>
      <c r="K17" s="45" t="str">
        <f>IFERROR(__xludf.DUMMYFUNCTION("""COMPUTED_VALUE"""),"pinto0pedro1paulo9@gmail.com")</f>
        <v>pinto0pedro1paulo9@gmail.com</v>
      </c>
      <c r="L17" s="45" t="str">
        <f>IFERROR(__xludf.DUMMYFUNCTION("""COMPUTED_VALUE"""),"Femenino")</f>
        <v>Femenino</v>
      </c>
      <c r="M17" s="45" t="str">
        <f>IFERROR(__xludf.DUMMYFUNCTION("""COMPUTED_VALUE"""),"CNSI-Cvsi")</f>
        <v>CNSI-Cvsi</v>
      </c>
      <c r="N17" s="45" t="str">
        <f>IFERROR(__xludf.DUMMYFUNCTION("""COMPUTED_VALUE"""),"Femenino")</f>
        <v>Femenino</v>
      </c>
      <c r="O17" s="45" t="str">
        <f>IFERROR(__xludf.DUMMYFUNCTION("""COMPUTED_VALUE"""),"ILCA 6")</f>
        <v>ILCA 6</v>
      </c>
      <c r="P17" s="45"/>
      <c r="Q17" s="45">
        <f>IFERROR(__xludf.DUMMYFUNCTION("""COMPUTED_VALUE"""),220572.0)</f>
        <v>220572</v>
      </c>
      <c r="R17" s="45" t="str">
        <f>IFERROR(__xludf.DUMMYFUNCTION("""COMPUTED_VALUE"""),"SISU")</f>
        <v>SISU</v>
      </c>
      <c r="S17" s="45"/>
      <c r="T17" s="45"/>
      <c r="U17" s="45"/>
      <c r="V17" s="45"/>
      <c r="W17" s="45"/>
      <c r="X17" s="45"/>
      <c r="Y17" s="45" t="str">
        <f>IFERROR(__xludf.DUMMYFUNCTION("""COMPUTED_VALUE"""),"Colegio de Escribanos de la Provincia BsAs")</f>
        <v>Colegio de Escribanos de la Provincia BsAs</v>
      </c>
      <c r="Z17" s="45" t="str">
        <f>IFERROR(__xludf.DUMMYFUNCTION("""COMPUTED_VALUE"""),"Si")</f>
        <v>Si</v>
      </c>
      <c r="AA17" s="7" t="str">
        <f>IFERROR(__xludf.DUMMYFUNCTION("""COMPUTED_VALUE"""),"Acepto")</f>
        <v>Acepto</v>
      </c>
      <c r="AB17" s="7" t="str">
        <f>IFERROR(__xludf.DUMMYFUNCTION("""COMPUTED_VALUE"""),"Terminado")</f>
        <v>Terminado</v>
      </c>
      <c r="AC17" s="7">
        <f>IFERROR(__xludf.DUMMYFUNCTION("""COMPUTED_VALUE"""),45000.0)</f>
        <v>45000</v>
      </c>
      <c r="AD17" s="7">
        <f>IFERROR(__xludf.DUMMYFUNCTION("""COMPUTED_VALUE"""),205654.0)</f>
        <v>205654</v>
      </c>
      <c r="AE17" s="7" t="str">
        <f>IFERROR(__xludf.DUMMYFUNCTION("""COMPUTED_VALUE"""),"TRF 10-09")</f>
        <v>TRF 10-09</v>
      </c>
      <c r="AF17" s="7" t="str">
        <f>IFERROR(__xludf.DUMMYFUNCTION("""COMPUTED_VALUE"""),"No Corresp")</f>
        <v>No Corresp</v>
      </c>
      <c r="AG17" s="7" t="str">
        <f>IFERROR(__xludf.DUMMYFUNCTION("""COMPUTED_VALUE"""),"SI")</f>
        <v>SI</v>
      </c>
    </row>
    <row r="18">
      <c r="B18" s="83">
        <f>IFERROR(__xludf.DUMMYFUNCTION("""COMPUTED_VALUE"""),45539.67136122685)</f>
        <v>45539.67136</v>
      </c>
      <c r="C18" s="43" t="str">
        <f>IFERROR(__xludf.DUMMYFUNCTION("""COMPUTED_VALUE"""),"Adrian ")</f>
        <v>Adrian </v>
      </c>
      <c r="D18" s="43" t="str">
        <f>IFERROR(__xludf.DUMMYFUNCTION("""COMPUTED_VALUE"""),"Pis")</f>
        <v>Pis</v>
      </c>
      <c r="E18" s="43" t="str">
        <f>IFERROR(__xludf.DUMMYFUNCTION("""COMPUTED_VALUE"""),"Temperley ")</f>
        <v>Temperley </v>
      </c>
      <c r="F18" s="7" t="str">
        <f>IFERROR(__xludf.DUMMYFUNCTION("""COMPUTED_VALUE"""),"ARG")</f>
        <v>ARG</v>
      </c>
      <c r="G18" s="7">
        <f>IFERROR(__xludf.DUMMYFUNCTION("""COMPUTED_VALUE"""),2.0215237E7)</f>
        <v>20215237</v>
      </c>
      <c r="H18" s="44">
        <f>IFERROR(__xludf.DUMMYFUNCTION("""COMPUTED_VALUE"""),25156.0)</f>
        <v>25156</v>
      </c>
      <c r="I18" s="45">
        <f>IFERROR(__xludf.DUMMYFUNCTION("""COMPUTED_VALUE"""),1.163816234E9)</f>
        <v>1163816234</v>
      </c>
      <c r="J18" s="45">
        <f>IFERROR(__xludf.DUMMYFUNCTION("""COMPUTED_VALUE"""),1.150230481E9)</f>
        <v>1150230481</v>
      </c>
      <c r="K18" s="45" t="str">
        <f>IFERROR(__xludf.DUMMYFUNCTION("""COMPUTED_VALUE"""),"pisadrian@hotmail.com")</f>
        <v>pisadrian@hotmail.com</v>
      </c>
      <c r="L18" s="45" t="str">
        <f>IFERROR(__xludf.DUMMYFUNCTION("""COMPUTED_VALUE"""),"Masculino")</f>
        <v>Masculino</v>
      </c>
      <c r="M18" s="45" t="str">
        <f>IFERROR(__xludf.DUMMYFUNCTION("""COMPUTED_VALUE"""),"YCO")</f>
        <v>YCO</v>
      </c>
      <c r="N18" s="45" t="str">
        <f>IFERROR(__xludf.DUMMYFUNCTION("""COMPUTED_VALUE"""),"Master (ILCA)")</f>
        <v>Master (ILCA)</v>
      </c>
      <c r="O18" s="45" t="str">
        <f>IFERROR(__xludf.DUMMYFUNCTION("""COMPUTED_VALUE"""),"ILCA 6")</f>
        <v>ILCA 6</v>
      </c>
      <c r="P18" s="45"/>
      <c r="Q18" s="45">
        <f>IFERROR(__xludf.DUMMYFUNCTION("""COMPUTED_VALUE"""),221260.0)</f>
        <v>221260</v>
      </c>
      <c r="R18" s="45"/>
      <c r="S18" s="45"/>
      <c r="T18" s="45"/>
      <c r="U18" s="45"/>
      <c r="V18" s="45"/>
      <c r="W18" s="45"/>
      <c r="X18" s="45"/>
      <c r="Y18" s="45" t="str">
        <f>IFERROR(__xludf.DUMMYFUNCTION("""COMPUTED_VALUE"""),"Comei/023173-01-03")</f>
        <v>Comei/023173-01-03</v>
      </c>
      <c r="Z18" s="45" t="str">
        <f>IFERROR(__xludf.DUMMYFUNCTION("""COMPUTED_VALUE"""),"Si")</f>
        <v>Si</v>
      </c>
      <c r="AA18" s="7" t="str">
        <f>IFERROR(__xludf.DUMMYFUNCTION("""COMPUTED_VALUE"""),"Acepto")</f>
        <v>Acepto</v>
      </c>
      <c r="AB18" s="7" t="str">
        <f>IFERROR(__xludf.DUMMYFUNCTION("""COMPUTED_VALUE"""),"Terminado")</f>
        <v>Terminado</v>
      </c>
      <c r="AC18" s="7">
        <f>IFERROR(__xludf.DUMMYFUNCTION("""COMPUTED_VALUE"""),45000.0)</f>
        <v>45000</v>
      </c>
      <c r="AD18" s="7">
        <f>IFERROR(__xludf.DUMMYFUNCTION("""COMPUTED_VALUE"""),205636.0)</f>
        <v>205636</v>
      </c>
      <c r="AE18" s="7" t="str">
        <f>IFERROR(__xludf.DUMMYFUNCTION("""COMPUTED_VALUE"""),"TRF 09-09")</f>
        <v>TRF 09-09</v>
      </c>
      <c r="AF18" s="7" t="str">
        <f>IFERROR(__xludf.DUMMYFUNCTION("""COMPUTED_VALUE"""),"No Corresp")</f>
        <v>No Corresp</v>
      </c>
      <c r="AG18" s="7"/>
    </row>
    <row r="19">
      <c r="B19" s="83">
        <f>IFERROR(__xludf.DUMMYFUNCTION("""COMPUTED_VALUE"""),45534.60809565972)</f>
        <v>45534.6081</v>
      </c>
      <c r="C19" s="43" t="str">
        <f>IFERROR(__xludf.DUMMYFUNCTION("""COMPUTED_VALUE"""),"Martin")</f>
        <v>Martin</v>
      </c>
      <c r="D19" s="43" t="str">
        <f>IFERROR(__xludf.DUMMYFUNCTION("""COMPUTED_VALUE"""),"Propato")</f>
        <v>Propato</v>
      </c>
      <c r="E19" s="43" t="str">
        <f>IFERROR(__xludf.DUMMYFUNCTION("""COMPUTED_VALUE"""),"CABA")</f>
        <v>CABA</v>
      </c>
      <c r="F19" s="7" t="str">
        <f>IFERROR(__xludf.DUMMYFUNCTION("""COMPUTED_VALUE"""),"ARG")</f>
        <v>ARG</v>
      </c>
      <c r="G19" s="7">
        <f>IFERROR(__xludf.DUMMYFUNCTION("""COMPUTED_VALUE"""),1.658178E7)</f>
        <v>16581780</v>
      </c>
      <c r="H19" s="44">
        <f>IFERROR(__xludf.DUMMYFUNCTION("""COMPUTED_VALUE"""),23312.0)</f>
        <v>23312</v>
      </c>
      <c r="I19" s="45">
        <f>IFERROR(__xludf.DUMMYFUNCTION("""COMPUTED_VALUE"""),1.155242237E9)</f>
        <v>1155242237</v>
      </c>
      <c r="J19" s="45"/>
      <c r="K19" s="45" t="str">
        <f>IFERROR(__xludf.DUMMYFUNCTION("""COMPUTED_VALUE"""),"m_propato@hotmail.com")</f>
        <v>m_propato@hotmail.com</v>
      </c>
      <c r="L19" s="45" t="str">
        <f>IFERROR(__xludf.DUMMYFUNCTION("""COMPUTED_VALUE"""),"Masculino")</f>
        <v>Masculino</v>
      </c>
      <c r="M19" s="45" t="str">
        <f>IFERROR(__xludf.DUMMYFUNCTION("""COMPUTED_VALUE"""),"YCO")</f>
        <v>YCO</v>
      </c>
      <c r="N19" s="45" t="str">
        <f>IFERROR(__xludf.DUMMYFUNCTION("""COMPUTED_VALUE"""),"Master (ILCA)")</f>
        <v>Master (ILCA)</v>
      </c>
      <c r="O19" s="45" t="str">
        <f>IFERROR(__xludf.DUMMYFUNCTION("""COMPUTED_VALUE"""),"ILCA 6")</f>
        <v>ILCA 6</v>
      </c>
      <c r="P19" s="45"/>
      <c r="Q19" s="45">
        <f>IFERROR(__xludf.DUMMYFUNCTION("""COMPUTED_VALUE"""),182314.0)</f>
        <v>182314</v>
      </c>
      <c r="R19" s="45"/>
      <c r="S19" s="45"/>
      <c r="T19" s="45"/>
      <c r="U19" s="45"/>
      <c r="V19" s="45"/>
      <c r="W19" s="45"/>
      <c r="X19" s="45"/>
      <c r="Y19" s="45" t="str">
        <f>IFERROR(__xludf.DUMMYFUNCTION("""COMPUTED_VALUE"""),"OSDE")</f>
        <v>OSDE</v>
      </c>
      <c r="Z19" s="45" t="str">
        <f>IFERROR(__xludf.DUMMYFUNCTION("""COMPUTED_VALUE"""),"Si")</f>
        <v>Si</v>
      </c>
      <c r="AA19" s="7" t="str">
        <f>IFERROR(__xludf.DUMMYFUNCTION("""COMPUTED_VALUE"""),"Acepto")</f>
        <v>Acepto</v>
      </c>
      <c r="AB19" s="7" t="str">
        <f>IFERROR(__xludf.DUMMYFUNCTION("""COMPUTED_VALUE"""),"Terminado")</f>
        <v>Terminado</v>
      </c>
      <c r="AC19" s="7">
        <f>IFERROR(__xludf.DUMMYFUNCTION("""COMPUTED_VALUE"""),45000.0)</f>
        <v>45000</v>
      </c>
      <c r="AD19" s="7"/>
      <c r="AE19" s="7" t="str">
        <f>IFERROR(__xludf.DUMMYFUNCTION("""COMPUTED_VALUE"""),"AF")</f>
        <v>AF</v>
      </c>
      <c r="AF19" s="7" t="str">
        <f>IFERROR(__xludf.DUMMYFUNCTION("""COMPUTED_VALUE"""),"No Corresp")</f>
        <v>No Corresp</v>
      </c>
      <c r="AG19" s="7"/>
    </row>
    <row r="20">
      <c r="B20" s="83">
        <f>IFERROR(__xludf.DUMMYFUNCTION("""COMPUTED_VALUE"""),45532.54831810185)</f>
        <v>45532.54832</v>
      </c>
      <c r="C20" s="43" t="str">
        <f>IFERROR(__xludf.DUMMYFUNCTION("""COMPUTED_VALUE"""),"Agustín")</f>
        <v>Agustín</v>
      </c>
      <c r="D20" s="43" t="str">
        <f>IFERROR(__xludf.DUMMYFUNCTION("""COMPUTED_VALUE"""),"Saguier")</f>
        <v>Saguier</v>
      </c>
      <c r="E20" s="43" t="str">
        <f>IFERROR(__xludf.DUMMYFUNCTION("""COMPUTED_VALUE"""),"Buenos Aires")</f>
        <v>Buenos Aires</v>
      </c>
      <c r="F20" s="7" t="str">
        <f>IFERROR(__xludf.DUMMYFUNCTION("""COMPUTED_VALUE"""),"ARG")</f>
        <v>ARG</v>
      </c>
      <c r="G20" s="7">
        <f>IFERROR(__xludf.DUMMYFUNCTION("""COMPUTED_VALUE"""),4.303071E7)</f>
        <v>43030710</v>
      </c>
      <c r="H20" s="44">
        <f>IFERROR(__xludf.DUMMYFUNCTION("""COMPUTED_VALUE"""),36837.0)</f>
        <v>36837</v>
      </c>
      <c r="I20" s="45">
        <f>IFERROR(__xludf.DUMMYFUNCTION("""COMPUTED_VALUE"""),1.138700673E9)</f>
        <v>1138700673</v>
      </c>
      <c r="J20" s="45"/>
      <c r="K20" s="45" t="str">
        <f>IFERROR(__xludf.DUMMYFUNCTION("""COMPUTED_VALUE"""),"asaguier2000@gmail.com")</f>
        <v>asaguier2000@gmail.com</v>
      </c>
      <c r="L20" s="45" t="str">
        <f>IFERROR(__xludf.DUMMYFUNCTION("""COMPUTED_VALUE"""),"Masculino")</f>
        <v>Masculino</v>
      </c>
      <c r="M20" s="45" t="str">
        <f>IFERROR(__xludf.DUMMYFUNCTION("""COMPUTED_VALUE"""),"YCA")</f>
        <v>YCA</v>
      </c>
      <c r="N20" s="45"/>
      <c r="O20" s="45" t="str">
        <f>IFERROR(__xludf.DUMMYFUNCTION("""COMPUTED_VALUE"""),"ILCA 6")</f>
        <v>ILCA 6</v>
      </c>
      <c r="P20" s="45"/>
      <c r="Q20" s="45">
        <f>IFERROR(__xludf.DUMMYFUNCTION("""COMPUTED_VALUE"""),178188.0)</f>
        <v>178188</v>
      </c>
      <c r="R20" s="45"/>
      <c r="S20" s="45"/>
      <c r="T20" s="45"/>
      <c r="U20" s="45"/>
      <c r="V20" s="45"/>
      <c r="W20" s="45"/>
      <c r="X20" s="45"/>
      <c r="Y20" s="45"/>
      <c r="Z20" s="45" t="str">
        <f>IFERROR(__xludf.DUMMYFUNCTION("""COMPUTED_VALUE"""),"No")</f>
        <v>No</v>
      </c>
      <c r="AA20" s="7" t="str">
        <f>IFERROR(__xludf.DUMMYFUNCTION("""COMPUTED_VALUE"""),"Acepto")</f>
        <v>Acepto</v>
      </c>
      <c r="AB20" s="7" t="str">
        <f>IFERROR(__xludf.DUMMYFUNCTION("""COMPUTED_VALUE"""),"Terminado")</f>
        <v>Terminado</v>
      </c>
      <c r="AC20" s="7">
        <f>IFERROR(__xludf.DUMMYFUNCTION("""COMPUTED_VALUE"""),45000.0)</f>
        <v>45000</v>
      </c>
      <c r="AD20" s="7">
        <f>IFERROR(__xludf.DUMMYFUNCTION("""COMPUTED_VALUE"""),205068.0)</f>
        <v>205068</v>
      </c>
      <c r="AE20" s="7" t="str">
        <f>IFERROR(__xludf.DUMMYFUNCTION("""COMPUTED_VALUE"""),"TRF 28-08")</f>
        <v>TRF 28-08</v>
      </c>
      <c r="AF20" s="7" t="str">
        <f>IFERROR(__xludf.DUMMYFUNCTION("""COMPUTED_VALUE"""),"No Corresp")</f>
        <v>No Corresp</v>
      </c>
      <c r="AG20" s="7"/>
    </row>
    <row r="21">
      <c r="B21" s="83">
        <f>IFERROR(__xludf.DUMMYFUNCTION("""COMPUTED_VALUE"""),45538.752400868056)</f>
        <v>45538.7524</v>
      </c>
      <c r="C21" s="43" t="str">
        <f>IFERROR(__xludf.DUMMYFUNCTION("""COMPUTED_VALUE"""),"Eduardo")</f>
        <v>Eduardo</v>
      </c>
      <c r="D21" s="43" t="str">
        <f>IFERROR(__xludf.DUMMYFUNCTION("""COMPUTED_VALUE"""),"Santambrogio ")</f>
        <v>Santambrogio </v>
      </c>
      <c r="E21" s="43" t="str">
        <f>IFERROR(__xludf.DUMMYFUNCTION("""COMPUTED_VALUE""")," Beccar Buenos Aires")</f>
        <v> Beccar Buenos Aires</v>
      </c>
      <c r="F21" s="7" t="str">
        <f>IFERROR(__xludf.DUMMYFUNCTION("""COMPUTED_VALUE"""),"ARG")</f>
        <v>ARG</v>
      </c>
      <c r="G21" s="7">
        <f>IFERROR(__xludf.DUMMYFUNCTION("""COMPUTED_VALUE"""),1.7200545E7)</f>
        <v>17200545</v>
      </c>
      <c r="H21" s="44">
        <f>IFERROR(__xludf.DUMMYFUNCTION("""COMPUTED_VALUE"""),23516.0)</f>
        <v>23516</v>
      </c>
      <c r="I21" s="45">
        <f>IFERROR(__xludf.DUMMYFUNCTION("""COMPUTED_VALUE"""),1.13086323E9)</f>
        <v>1130863230</v>
      </c>
      <c r="J21" s="45">
        <f>IFERROR(__xludf.DUMMYFUNCTION("""COMPUTED_VALUE"""),1.145639E9)</f>
        <v>1145639000</v>
      </c>
      <c r="K21" s="45" t="str">
        <f>IFERROR(__xludf.DUMMYFUNCTION("""COMPUTED_VALUE"""),"esinex@esinex.com")</f>
        <v>esinex@esinex.com</v>
      </c>
      <c r="L21" s="45" t="str">
        <f>IFERROR(__xludf.DUMMYFUNCTION("""COMPUTED_VALUE"""),"Masculino")</f>
        <v>Masculino</v>
      </c>
      <c r="M21" s="45" t="str">
        <f>IFERROR(__xludf.DUMMYFUNCTION("""COMPUTED_VALUE"""),"YCO YCA")</f>
        <v>YCO YCA</v>
      </c>
      <c r="N21" s="45" t="str">
        <f>IFERROR(__xludf.DUMMYFUNCTION("""COMPUTED_VALUE"""),"Master (ILCA)")</f>
        <v>Master (ILCA)</v>
      </c>
      <c r="O21" s="45" t="str">
        <f>IFERROR(__xludf.DUMMYFUNCTION("""COMPUTED_VALUE"""),"ILCA 6")</f>
        <v>ILCA 6</v>
      </c>
      <c r="P21" s="45"/>
      <c r="Q21" s="45">
        <f>IFERROR(__xludf.DUMMYFUNCTION("""COMPUTED_VALUE"""),220571.0)</f>
        <v>220571</v>
      </c>
      <c r="R21" s="45" t="str">
        <f>IFERROR(__xludf.DUMMYFUNCTION("""COMPUTED_VALUE"""),"Esinex")</f>
        <v>Esinex</v>
      </c>
      <c r="S21" s="45"/>
      <c r="T21" s="45"/>
      <c r="U21" s="45"/>
      <c r="V21" s="45"/>
      <c r="W21" s="45"/>
      <c r="X21" s="45"/>
      <c r="Y21" s="45" t="str">
        <f>IFERROR(__xludf.DUMMYFUNCTION("""COMPUTED_VALUE"""),"OSDE ")</f>
        <v>OSDE </v>
      </c>
      <c r="Z21" s="45" t="str">
        <f>IFERROR(__xludf.DUMMYFUNCTION("""COMPUTED_VALUE"""),"Si")</f>
        <v>Si</v>
      </c>
      <c r="AA21" s="7" t="str">
        <f>IFERROR(__xludf.DUMMYFUNCTION("""COMPUTED_VALUE"""),"Acepto")</f>
        <v>Acepto</v>
      </c>
      <c r="AB21" s="7" t="str">
        <f>IFERROR(__xludf.DUMMYFUNCTION("""COMPUTED_VALUE"""),"Terminado")</f>
        <v>Terminado</v>
      </c>
      <c r="AC21" s="7">
        <f>IFERROR(__xludf.DUMMYFUNCTION("""COMPUTED_VALUE"""),45000.0)</f>
        <v>45000</v>
      </c>
      <c r="AD21" s="7"/>
      <c r="AE21" s="7" t="str">
        <f>IFERROR(__xludf.DUMMYFUNCTION("""COMPUTED_VALUE"""),"AF")</f>
        <v>AF</v>
      </c>
      <c r="AF21" s="7" t="str">
        <f>IFERROR(__xludf.DUMMYFUNCTION("""COMPUTED_VALUE"""),"No Corresp")</f>
        <v>No Corresp</v>
      </c>
      <c r="AG21" s="7"/>
    </row>
    <row r="22">
      <c r="B22" s="83">
        <f>IFERROR(__xludf.DUMMYFUNCTION("""COMPUTED_VALUE"""),45531.36482726852)</f>
        <v>45531.36483</v>
      </c>
      <c r="C22" s="43" t="str">
        <f>IFERROR(__xludf.DUMMYFUNCTION("""COMPUTED_VALUE"""),"Agustín ")</f>
        <v>Agustín </v>
      </c>
      <c r="D22" s="43" t="str">
        <f>IFERROR(__xludf.DUMMYFUNCTION("""COMPUTED_VALUE"""),"Solano ")</f>
        <v>Solano </v>
      </c>
      <c r="E22" s="43" t="str">
        <f>IFERROR(__xludf.DUMMYFUNCTION("""COMPUTED_VALUE"""),"ensenada")</f>
        <v>ensenada</v>
      </c>
      <c r="F22" s="7" t="str">
        <f>IFERROR(__xludf.DUMMYFUNCTION("""COMPUTED_VALUE"""),"ARG")</f>
        <v>ARG</v>
      </c>
      <c r="G22" s="7">
        <f>IFERROR(__xludf.DUMMYFUNCTION("""COMPUTED_VALUE"""),3.7802812E7)</f>
        <v>37802812</v>
      </c>
      <c r="H22" s="44">
        <f>IFERROR(__xludf.DUMMYFUNCTION("""COMPUTED_VALUE"""),34184.0)</f>
        <v>34184</v>
      </c>
      <c r="I22" s="45">
        <f>IFERROR(__xludf.DUMMYFUNCTION("""COMPUTED_VALUE"""),2.213141286E9)</f>
        <v>2213141286</v>
      </c>
      <c r="J22" s="45">
        <f>IFERROR(__xludf.DUMMYFUNCTION("""COMPUTED_VALUE"""),2.216164356E9)</f>
        <v>2216164356</v>
      </c>
      <c r="K22" s="45" t="str">
        <f>IFERROR(__xludf.DUMMYFUNCTION("""COMPUTED_VALUE"""),"agus.maiden@hotmail.com")</f>
        <v>agus.maiden@hotmail.com</v>
      </c>
      <c r="L22" s="45" t="str">
        <f>IFERROR(__xludf.DUMMYFUNCTION("""COMPUTED_VALUE"""),"Masculino")</f>
        <v>Masculino</v>
      </c>
      <c r="M22" s="45" t="str">
        <f>IFERROR(__xludf.DUMMYFUNCTION("""COMPUTED_VALUE"""),"GASAV")</f>
        <v>GASAV</v>
      </c>
      <c r="N22" s="45" t="str">
        <f>IFERROR(__xludf.DUMMYFUNCTION("""COMPUTED_VALUE"""),"Master (ILCA)")</f>
        <v>Master (ILCA)</v>
      </c>
      <c r="O22" s="45" t="str">
        <f>IFERROR(__xludf.DUMMYFUNCTION("""COMPUTED_VALUE"""),"ILCA 6")</f>
        <v>ILCA 6</v>
      </c>
      <c r="P22" s="45"/>
      <c r="Q22" s="45">
        <f>IFERROR(__xludf.DUMMYFUNCTION("""COMPUTED_VALUE"""),13.0)</f>
        <v>13</v>
      </c>
      <c r="R22" s="45"/>
      <c r="S22" s="45"/>
      <c r="T22" s="45"/>
      <c r="U22" s="45"/>
      <c r="V22" s="45"/>
      <c r="W22" s="45"/>
      <c r="X22" s="45"/>
      <c r="Y22" s="45"/>
      <c r="Z22" s="45" t="str">
        <f>IFERROR(__xludf.DUMMYFUNCTION("""COMPUTED_VALUE"""),"Si")</f>
        <v>Si</v>
      </c>
      <c r="AA22" s="7" t="str">
        <f>IFERROR(__xludf.DUMMYFUNCTION("""COMPUTED_VALUE"""),"Acepto")</f>
        <v>Acepto</v>
      </c>
      <c r="AB22" s="7" t="str">
        <f>IFERROR(__xludf.DUMMYFUNCTION("""COMPUTED_VALUE"""),"Pendiente")</f>
        <v>Pendiente</v>
      </c>
      <c r="AC22" s="7"/>
      <c r="AD22" s="7"/>
      <c r="AE22" s="7"/>
      <c r="AF22" s="7" t="str">
        <f>IFERROR(__xludf.DUMMYFUNCTION("""COMPUTED_VALUE"""),"No Corresp")</f>
        <v>No Corresp</v>
      </c>
      <c r="AG22" s="7"/>
    </row>
    <row r="23">
      <c r="B23" s="83">
        <f>IFERROR(__xludf.DUMMYFUNCTION("""COMPUTED_VALUE"""),45535.74753954861)</f>
        <v>45535.74754</v>
      </c>
      <c r="C23" s="43" t="str">
        <f>IFERROR(__xludf.DUMMYFUNCTION("""COMPUTED_VALUE"""),"Manuel")</f>
        <v>Manuel</v>
      </c>
      <c r="D23" s="43" t="str">
        <f>IFERROR(__xludf.DUMMYFUNCTION("""COMPUTED_VALUE"""),"Tejada ibañez")</f>
        <v>Tejada ibañez</v>
      </c>
      <c r="E23" s="43" t="str">
        <f>IFERROR(__xludf.DUMMYFUNCTION("""COMPUTED_VALUE"""),"La Plata")</f>
        <v>La Plata</v>
      </c>
      <c r="F23" s="7" t="str">
        <f>IFERROR(__xludf.DUMMYFUNCTION("""COMPUTED_VALUE"""),"ARG")</f>
        <v>ARG</v>
      </c>
      <c r="G23" s="7">
        <f>IFERROR(__xludf.DUMMYFUNCTION("""COMPUTED_VALUE"""),4.721582E7)</f>
        <v>47215820</v>
      </c>
      <c r="H23" s="44">
        <f>IFERROR(__xludf.DUMMYFUNCTION("""COMPUTED_VALUE"""),38802.0)</f>
        <v>38802</v>
      </c>
      <c r="I23" s="45" t="str">
        <f>IFERROR(__xludf.DUMMYFUNCTION("""COMPUTED_VALUE"""),"+54 9 221 623 9500")</f>
        <v>+54 9 221 623 9500</v>
      </c>
      <c r="J23" s="45" t="str">
        <f>IFERROR(__xludf.DUMMYFUNCTION("""COMPUTED_VALUE"""),"+54 9 221 503 6037")</f>
        <v>+54 9 221 503 6037</v>
      </c>
      <c r="K23" s="45" t="str">
        <f>IFERROR(__xludf.DUMMYFUNCTION("""COMPUTED_VALUE"""),"manutejada0@gmail.com")</f>
        <v>manutejada0@gmail.com</v>
      </c>
      <c r="L23" s="45" t="str">
        <f>IFERROR(__xludf.DUMMYFUNCTION("""COMPUTED_VALUE"""),"Masculino")</f>
        <v>Masculino</v>
      </c>
      <c r="M23" s="45" t="str">
        <f>IFERROR(__xludf.DUMMYFUNCTION("""COMPUTED_VALUE"""),"CNAs")</f>
        <v>CNAs</v>
      </c>
      <c r="N23" s="45" t="str">
        <f>IFERROR(__xludf.DUMMYFUNCTION("""COMPUTED_VALUE"""),"Master (ILCA)")</f>
        <v>Master (ILCA)</v>
      </c>
      <c r="O23" s="45" t="str">
        <f>IFERROR(__xludf.DUMMYFUNCTION("""COMPUTED_VALUE"""),"ILCA 6")</f>
        <v>ILCA 6</v>
      </c>
      <c r="P23" s="45"/>
      <c r="Q23" s="45">
        <f>IFERROR(__xludf.DUMMYFUNCTION("""COMPUTED_VALUE"""),223650.0)</f>
        <v>223650</v>
      </c>
      <c r="R23" s="45" t="str">
        <f>IFERROR(__xludf.DUMMYFUNCTION("""COMPUTED_VALUE"""),"Deucalion")</f>
        <v>Deucalion</v>
      </c>
      <c r="S23" s="45"/>
      <c r="T23" s="45"/>
      <c r="U23" s="45"/>
      <c r="V23" s="45"/>
      <c r="W23" s="45"/>
      <c r="X23" s="45"/>
      <c r="Y23" s="45" t="str">
        <f>IFERROR(__xludf.DUMMYFUNCTION("""COMPUTED_VALUE"""),"OSDE")</f>
        <v>OSDE</v>
      </c>
      <c r="Z23" s="45" t="str">
        <f>IFERROR(__xludf.DUMMYFUNCTION("""COMPUTED_VALUE"""),"Si")</f>
        <v>Si</v>
      </c>
      <c r="AA23" s="7" t="str">
        <f>IFERROR(__xludf.DUMMYFUNCTION("""COMPUTED_VALUE"""),"Acepto")</f>
        <v>Acepto</v>
      </c>
      <c r="AB23" s="7" t="str">
        <f>IFERROR(__xludf.DUMMYFUNCTION("""COMPUTED_VALUE"""),"Terminado")</f>
        <v>Terminado</v>
      </c>
      <c r="AC23" s="7">
        <f>IFERROR(__xludf.DUMMYFUNCTION("""COMPUTED_VALUE"""),45000.0)</f>
        <v>45000</v>
      </c>
      <c r="AD23" s="7">
        <f>IFERROR(__xludf.DUMMYFUNCTION("""COMPUTED_VALUE"""),205643.0)</f>
        <v>205643</v>
      </c>
      <c r="AE23" s="7" t="str">
        <f>IFERROR(__xludf.DUMMYFUNCTION("""COMPUTED_VALUE"""),"TRF 10-09")</f>
        <v>TRF 10-09</v>
      </c>
      <c r="AF23" s="7" t="str">
        <f>IFERROR(__xludf.DUMMYFUNCTION("""COMPUTED_VALUE"""),"Ok")</f>
        <v>Ok</v>
      </c>
      <c r="AG23" s="7"/>
    </row>
    <row r="24">
      <c r="B24" s="83">
        <f>IFERROR(__xludf.DUMMYFUNCTION("""COMPUTED_VALUE"""),45536.70724701389)</f>
        <v>45536.70725</v>
      </c>
      <c r="C24" s="43" t="str">
        <f>IFERROR(__xludf.DUMMYFUNCTION("""COMPUTED_VALUE"""),"Gaspar")</f>
        <v>Gaspar</v>
      </c>
      <c r="D24" s="43" t="str">
        <f>IFERROR(__xludf.DUMMYFUNCTION("""COMPUTED_VALUE"""),"Toro")</f>
        <v>Toro</v>
      </c>
      <c r="E24" s="43" t="str">
        <f>IFERROR(__xludf.DUMMYFUNCTION("""COMPUTED_VALUE"""),"Buenos aires")</f>
        <v>Buenos aires</v>
      </c>
      <c r="F24" s="7" t="str">
        <f>IFERROR(__xludf.DUMMYFUNCTION("""COMPUTED_VALUE"""),"ARG")</f>
        <v>ARG</v>
      </c>
      <c r="G24" s="7">
        <f>IFERROR(__xludf.DUMMYFUNCTION("""COMPUTED_VALUE"""),4.886017E7)</f>
        <v>48860170</v>
      </c>
      <c r="H24" s="44">
        <f>IFERROR(__xludf.DUMMYFUNCTION("""COMPUTED_VALUE"""),39686.0)</f>
        <v>39686</v>
      </c>
      <c r="I24" s="45">
        <f>IFERROR(__xludf.DUMMYFUNCTION("""COMPUTED_VALUE"""),1.136401434E9)</f>
        <v>1136401434</v>
      </c>
      <c r="J24" s="45">
        <f>IFERROR(__xludf.DUMMYFUNCTION("""COMPUTED_VALUE"""),1.559387963E9)</f>
        <v>1559387963</v>
      </c>
      <c r="K24" s="45" t="str">
        <f>IFERROR(__xludf.DUMMYFUNCTION("""COMPUTED_VALUE"""),"gasparleotoro@gmail.com")</f>
        <v>gasparleotoro@gmail.com</v>
      </c>
      <c r="L24" s="45" t="str">
        <f>IFERROR(__xludf.DUMMYFUNCTION("""COMPUTED_VALUE"""),"Masculino")</f>
        <v>Masculino</v>
      </c>
      <c r="M24" s="45" t="str">
        <f>IFERROR(__xludf.DUMMYFUNCTION("""COMPUTED_VALUE"""),"YCO")</f>
        <v>YCO</v>
      </c>
      <c r="N24" s="45" t="str">
        <f>IFERROR(__xludf.DUMMYFUNCTION("""COMPUTED_VALUE"""),"Sub 16")</f>
        <v>Sub 16</v>
      </c>
      <c r="O24" s="45" t="str">
        <f>IFERROR(__xludf.DUMMYFUNCTION("""COMPUTED_VALUE"""),"ILCA 6")</f>
        <v>ILCA 6</v>
      </c>
      <c r="P24" s="45"/>
      <c r="Q24" s="45">
        <f>IFERROR(__xludf.DUMMYFUNCTION("""COMPUTED_VALUE"""),223625.0)</f>
        <v>223625</v>
      </c>
      <c r="R24" s="45"/>
      <c r="S24" s="45"/>
      <c r="T24" s="45"/>
      <c r="U24" s="45"/>
      <c r="V24" s="45"/>
      <c r="W24" s="45"/>
      <c r="X24" s="45"/>
      <c r="Y24" s="45"/>
      <c r="Z24" s="45" t="str">
        <f>IFERROR(__xludf.DUMMYFUNCTION("""COMPUTED_VALUE"""),"No")</f>
        <v>No</v>
      </c>
      <c r="AA24" s="7" t="str">
        <f>IFERROR(__xludf.DUMMYFUNCTION("""COMPUTED_VALUE"""),"Acepto")</f>
        <v>Acepto</v>
      </c>
      <c r="AB24" s="7" t="str">
        <f>IFERROR(__xludf.DUMMYFUNCTION("""COMPUTED_VALUE"""),"Terminado")</f>
        <v>Terminado</v>
      </c>
      <c r="AC24" s="7">
        <f>IFERROR(__xludf.DUMMYFUNCTION("""COMPUTED_VALUE"""),45000.0)</f>
        <v>45000</v>
      </c>
      <c r="AD24" s="7">
        <f>IFERROR(__xludf.DUMMYFUNCTION("""COMPUTED_VALUE"""),205535.0)</f>
        <v>205535</v>
      </c>
      <c r="AE24" s="7" t="str">
        <f>IFERROR(__xludf.DUMMYFUNCTION("""COMPUTED_VALUE"""),"TRF 06-09")</f>
        <v>TRF 06-09</v>
      </c>
      <c r="AF24" s="7" t="str">
        <f>IFERROR(__xludf.DUMMYFUNCTION("""COMPUTED_VALUE"""),"OK")</f>
        <v>OK</v>
      </c>
      <c r="AG24" s="7"/>
    </row>
    <row r="25">
      <c r="B25" s="83">
        <f>IFERROR(__xludf.DUMMYFUNCTION("""COMPUTED_VALUE"""),45535.60374158565)</f>
        <v>45535.60374</v>
      </c>
      <c r="C25" s="43" t="str">
        <f>IFERROR(__xludf.DUMMYFUNCTION("""COMPUTED_VALUE"""),"Gabriel")</f>
        <v>Gabriel</v>
      </c>
      <c r="D25" s="43" t="str">
        <f>IFERROR(__xludf.DUMMYFUNCTION("""COMPUTED_VALUE"""),"Torre")</f>
        <v>Torre</v>
      </c>
      <c r="E25" s="43" t="str">
        <f>IFERROR(__xludf.DUMMYFUNCTION("""COMPUTED_VALUE"""),"CABA")</f>
        <v>CABA</v>
      </c>
      <c r="F25" s="7" t="str">
        <f>IFERROR(__xludf.DUMMYFUNCTION("""COMPUTED_VALUE"""),"ARG")</f>
        <v>ARG</v>
      </c>
      <c r="G25" s="7">
        <f>IFERROR(__xludf.DUMMYFUNCTION("""COMPUTED_VALUE"""),3.964423E7)</f>
        <v>39644230</v>
      </c>
      <c r="H25" s="44">
        <f>IFERROR(__xludf.DUMMYFUNCTION("""COMPUTED_VALUE"""),35213.0)</f>
        <v>35213</v>
      </c>
      <c r="I25" s="45">
        <f>IFERROR(__xludf.DUMMYFUNCTION("""COMPUTED_VALUE"""),1.153191497E9)</f>
        <v>1153191497</v>
      </c>
      <c r="J25" s="45">
        <f>IFERROR(__xludf.DUMMYFUNCTION("""COMPUTED_VALUE"""),1.15327974E9)</f>
        <v>1153279740</v>
      </c>
      <c r="K25" s="45" t="str">
        <f>IFERROR(__xludf.DUMMYFUNCTION("""COMPUTED_VALUE"""),"gabriel0torre@gmail.com")</f>
        <v>gabriel0torre@gmail.com</v>
      </c>
      <c r="L25" s="45" t="str">
        <f>IFERROR(__xludf.DUMMYFUNCTION("""COMPUTED_VALUE"""),"Masculino")</f>
        <v>Masculino</v>
      </c>
      <c r="M25" s="45" t="str">
        <f>IFERROR(__xludf.DUMMYFUNCTION("""COMPUTED_VALUE"""),"CUBA")</f>
        <v>CUBA</v>
      </c>
      <c r="N25" s="45"/>
      <c r="O25" s="45" t="str">
        <f>IFERROR(__xludf.DUMMYFUNCTION("""COMPUTED_VALUE"""),"ILCA 6")</f>
        <v>ILCA 6</v>
      </c>
      <c r="P25" s="45"/>
      <c r="Q25" s="45">
        <f>IFERROR(__xludf.DUMMYFUNCTION("""COMPUTED_VALUE"""),222114.0)</f>
        <v>222114</v>
      </c>
      <c r="R25" s="45"/>
      <c r="S25" s="45"/>
      <c r="T25" s="45"/>
      <c r="U25" s="45"/>
      <c r="V25" s="45"/>
      <c r="W25" s="45"/>
      <c r="X25" s="45"/>
      <c r="Y25" s="45" t="str">
        <f>IFERROR(__xludf.DUMMYFUNCTION("""COMPUTED_VALUE"""),"SwisMedical8000061387043010007")</f>
        <v>SwisMedical8000061387043010007</v>
      </c>
      <c r="Z25" s="45" t="str">
        <f>IFERROR(__xludf.DUMMYFUNCTION("""COMPUTED_VALUE"""),"No")</f>
        <v>No</v>
      </c>
      <c r="AA25" s="7" t="str">
        <f>IFERROR(__xludf.DUMMYFUNCTION("""COMPUTED_VALUE"""),"Acepto")</f>
        <v>Acepto</v>
      </c>
      <c r="AB25" s="7" t="str">
        <f>IFERROR(__xludf.DUMMYFUNCTION("""COMPUTED_VALUE"""),"Parcial")</f>
        <v>Parcial</v>
      </c>
      <c r="AC25" s="7">
        <f>IFERROR(__xludf.DUMMYFUNCTION("""COMPUTED_VALUE"""),40000.0)</f>
        <v>40000</v>
      </c>
      <c r="AD25" s="7">
        <f>IFERROR(__xludf.DUMMYFUNCTION("""COMPUTED_VALUE"""),205138.0)</f>
        <v>205138</v>
      </c>
      <c r="AE25" s="7" t="str">
        <f>IFERROR(__xludf.DUMMYFUNCTION("""COMPUTED_VALUE"""),"TRF 31-08")</f>
        <v>TRF 31-08</v>
      </c>
      <c r="AF25" s="7" t="str">
        <f>IFERROR(__xludf.DUMMYFUNCTION("""COMPUTED_VALUE"""),"No Corresp")</f>
        <v>No Corresp</v>
      </c>
      <c r="AG25" s="7" t="str">
        <f>IFERROR(__xludf.DUMMYFUNCTION("""COMPUTED_VALUE"""),"Debe saldo")</f>
        <v>Debe saldo</v>
      </c>
    </row>
    <row r="26">
      <c r="B26" s="83">
        <f>IFERROR(__xludf.DUMMYFUNCTION("""COMPUTED_VALUE"""),45519.70283616898)</f>
        <v>45519.70284</v>
      </c>
      <c r="C26" s="43" t="str">
        <f>IFERROR(__xludf.DUMMYFUNCTION("""COMPUTED_VALUE"""),"Andrés ")</f>
        <v>Andrés </v>
      </c>
      <c r="D26" s="43" t="str">
        <f>IFERROR(__xludf.DUMMYFUNCTION("""COMPUTED_VALUE"""),"Villar")</f>
        <v>Villar</v>
      </c>
      <c r="E26" s="43" t="str">
        <f>IFERROR(__xludf.DUMMYFUNCTION("""COMPUTED_VALUE"""),"San Fernando")</f>
        <v>San Fernando</v>
      </c>
      <c r="F26" s="7" t="str">
        <f>IFERROR(__xludf.DUMMYFUNCTION("""COMPUTED_VALUE"""),"ARG")</f>
        <v>ARG</v>
      </c>
      <c r="G26" s="7">
        <f>IFERROR(__xludf.DUMMYFUNCTION("""COMPUTED_VALUE"""),4.7070205E7)</f>
        <v>47070205</v>
      </c>
      <c r="H26" s="44">
        <f>IFERROR(__xludf.DUMMYFUNCTION("""COMPUTED_VALUE"""),38723.0)</f>
        <v>38723</v>
      </c>
      <c r="I26" s="45">
        <f>IFERROR(__xludf.DUMMYFUNCTION("""COMPUTED_VALUE"""),1.170076067E9)</f>
        <v>1170076067</v>
      </c>
      <c r="J26" s="45"/>
      <c r="K26" s="45" t="str">
        <f>IFERROR(__xludf.DUMMYFUNCTION("""COMPUTED_VALUE"""),"andygvillar@gmail.com")</f>
        <v>andygvillar@gmail.com</v>
      </c>
      <c r="L26" s="45" t="str">
        <f>IFERROR(__xludf.DUMMYFUNCTION("""COMPUTED_VALUE"""),"Masculino")</f>
        <v>Masculino</v>
      </c>
      <c r="M26" s="45" t="str">
        <f>IFERROR(__xludf.DUMMYFUNCTION("""COMPUTED_VALUE"""),"CNO")</f>
        <v>CNO</v>
      </c>
      <c r="N26" s="45"/>
      <c r="O26" s="45" t="str">
        <f>IFERROR(__xludf.DUMMYFUNCTION("""COMPUTED_VALUE"""),"ILCA 6")</f>
        <v>ILCA 6</v>
      </c>
      <c r="P26" s="45"/>
      <c r="Q26" s="45">
        <f>IFERROR(__xludf.DUMMYFUNCTION("""COMPUTED_VALUE"""),220260.0)</f>
        <v>220260</v>
      </c>
      <c r="R26" s="45"/>
      <c r="S26" s="45"/>
      <c r="T26" s="45"/>
      <c r="U26" s="45"/>
      <c r="V26" s="45"/>
      <c r="W26" s="45"/>
      <c r="X26" s="45"/>
      <c r="Y26" s="45"/>
      <c r="Z26" s="45" t="str">
        <f>IFERROR(__xludf.DUMMYFUNCTION("""COMPUTED_VALUE"""),"No")</f>
        <v>No</v>
      </c>
      <c r="AA26" s="7" t="str">
        <f>IFERROR(__xludf.DUMMYFUNCTION("""COMPUTED_VALUE"""),"Acepto")</f>
        <v>Acepto</v>
      </c>
      <c r="AB26" s="7" t="str">
        <f>IFERROR(__xludf.DUMMYFUNCTION("""COMPUTED_VALUE"""),"Terminado")</f>
        <v>Terminado</v>
      </c>
      <c r="AC26" s="7">
        <f>IFERROR(__xludf.DUMMYFUNCTION("""COMPUTED_VALUE"""),45000.0)</f>
        <v>45000</v>
      </c>
      <c r="AD26" s="7">
        <f>IFERROR(__xludf.DUMMYFUNCTION("""COMPUTED_VALUE"""),205614.0)</f>
        <v>205614</v>
      </c>
      <c r="AE26" s="7" t="str">
        <f>IFERROR(__xludf.DUMMYFUNCTION("""COMPUTED_VALUE"""),"TRF 09-09")</f>
        <v>TRF 09-09</v>
      </c>
      <c r="AF26" s="7" t="str">
        <f>IFERROR(__xludf.DUMMYFUNCTION("""COMPUTED_VALUE"""),"No Corresp")</f>
        <v>No Corresp</v>
      </c>
      <c r="AG26" s="7"/>
    </row>
    <row r="27">
      <c r="B27" s="42">
        <f>IFERROR(__xludf.DUMMYFUNCTION("""COMPUTED_VALUE"""),45541.02893701389)</f>
        <v>45541.02894</v>
      </c>
      <c r="C27" s="43" t="str">
        <f>IFERROR(__xludf.DUMMYFUNCTION("""COMPUTED_VALUE"""),"Santino")</f>
        <v>Santino</v>
      </c>
      <c r="D27" s="43" t="str">
        <f>IFERROR(__xludf.DUMMYFUNCTION("""COMPUTED_VALUE"""),"Scuderi")</f>
        <v>Scuderi</v>
      </c>
      <c r="E27" s="43" t="str">
        <f>IFERROR(__xludf.DUMMYFUNCTION("""COMPUTED_VALUE"""),"Ciudad Autonoma de Buenos Aires")</f>
        <v>Ciudad Autonoma de Buenos Aires</v>
      </c>
      <c r="F27" s="7" t="str">
        <f>IFERROR(__xludf.DUMMYFUNCTION("""COMPUTED_VALUE"""),"ARG")</f>
        <v>ARG</v>
      </c>
      <c r="G27" s="7">
        <f>IFERROR(__xludf.DUMMYFUNCTION("""COMPUTED_VALUE"""),4.9092408E7)</f>
        <v>49092408</v>
      </c>
      <c r="H27" s="44">
        <f>IFERROR(__xludf.DUMMYFUNCTION("""COMPUTED_VALUE"""),39746.0)</f>
        <v>39746</v>
      </c>
      <c r="I27" s="45"/>
      <c r="J27" s="45"/>
      <c r="K27" s="45" t="str">
        <f>IFERROR(__xludf.DUMMYFUNCTION("""COMPUTED_VALUE"""),"scuderisantino39@gmail.com")</f>
        <v>scuderisantino39@gmail.com</v>
      </c>
      <c r="L27" s="45" t="str">
        <f>IFERROR(__xludf.DUMMYFUNCTION("""COMPUTED_VALUE"""),"Masculino")</f>
        <v>Masculino</v>
      </c>
      <c r="M27" s="45" t="str">
        <f>IFERROR(__xludf.DUMMYFUNCTION("""COMPUTED_VALUE"""),"YCO")</f>
        <v>YCO</v>
      </c>
      <c r="N27" s="45"/>
      <c r="O27" s="45" t="str">
        <f>IFERROR(__xludf.DUMMYFUNCTION("""COMPUTED_VALUE"""),"ILCA 6")</f>
        <v>ILCA 6</v>
      </c>
      <c r="P27" s="45"/>
      <c r="Q27" s="45" t="str">
        <f>IFERROR(__xludf.DUMMYFUNCTION("""COMPUTED_VALUE"""),"49 092 408")</f>
        <v>49 092 408</v>
      </c>
      <c r="R27" s="45"/>
      <c r="S27" s="45"/>
      <c r="T27" s="45"/>
      <c r="U27" s="45"/>
      <c r="V27" s="45"/>
      <c r="W27" s="45"/>
      <c r="X27" s="45"/>
      <c r="Y27" s="45"/>
      <c r="Z27" s="45" t="str">
        <f>IFERROR(__xludf.DUMMYFUNCTION("""COMPUTED_VALUE"""),"Si")</f>
        <v>Si</v>
      </c>
      <c r="AA27" s="7" t="str">
        <f>IFERROR(__xludf.DUMMYFUNCTION("""COMPUTED_VALUE"""),"Acepto")</f>
        <v>Acepto</v>
      </c>
      <c r="AB27" s="7" t="str">
        <f>IFERROR(__xludf.DUMMYFUNCTION("""COMPUTED_VALUE"""),"Pendiente")</f>
        <v>Pendiente</v>
      </c>
      <c r="AC27" s="7"/>
      <c r="AD27" s="7"/>
      <c r="AE27" s="7"/>
      <c r="AF27" s="7" t="str">
        <f>IFERROR(__xludf.DUMMYFUNCTION("""COMPUTED_VALUE"""),"OK")</f>
        <v>OK</v>
      </c>
      <c r="AG27" s="7"/>
    </row>
    <row r="28">
      <c r="B28" s="42">
        <f>IFERROR(__xludf.DUMMYFUNCTION("""COMPUTED_VALUE"""),45543.53097064815)</f>
        <v>45543.53097</v>
      </c>
      <c r="C28" s="43" t="str">
        <f>IFERROR(__xludf.DUMMYFUNCTION("""COMPUTED_VALUE"""),"Leire")</f>
        <v>Leire</v>
      </c>
      <c r="D28" s="43" t="str">
        <f>IFERROR(__xludf.DUMMYFUNCTION("""COMPUTED_VALUE"""),"Lorences")</f>
        <v>Lorences</v>
      </c>
      <c r="E28" s="43" t="str">
        <f>IFERROR(__xludf.DUMMYFUNCTION("""COMPUTED_VALUE"""),"CABA")</f>
        <v>CABA</v>
      </c>
      <c r="F28" s="7" t="str">
        <f>IFERROR(__xludf.DUMMYFUNCTION("""COMPUTED_VALUE"""),"ARG")</f>
        <v>ARG</v>
      </c>
      <c r="G28" s="7">
        <f>IFERROR(__xludf.DUMMYFUNCTION("""COMPUTED_VALUE"""),9.5778434E7)</f>
        <v>95778434</v>
      </c>
      <c r="H28" s="44">
        <f>IFERROR(__xludf.DUMMYFUNCTION("""COMPUTED_VALUE"""),38288.0)</f>
        <v>38288</v>
      </c>
      <c r="I28" s="45">
        <f>IFERROR(__xludf.DUMMYFUNCTION("""COMPUTED_VALUE"""),1.136855596E9)</f>
        <v>1136855596</v>
      </c>
      <c r="J28" s="45" t="str">
        <f>IFERROR(__xludf.DUMMYFUNCTION("""COMPUTED_VALUE"""),"+54 9 11 4989 0025")</f>
        <v>+54 9 11 4989 0025</v>
      </c>
      <c r="K28" s="45" t="str">
        <f>IFERROR(__xludf.DUMMYFUNCTION("""COMPUTED_VALUE"""),"leirelorences5@gmail.com")</f>
        <v>leirelorences5@gmail.com</v>
      </c>
      <c r="L28" s="45" t="str">
        <f>IFERROR(__xludf.DUMMYFUNCTION("""COMPUTED_VALUE"""),"Femenino")</f>
        <v>Femenino</v>
      </c>
      <c r="M28" s="45" t="str">
        <f>IFERROR(__xludf.DUMMYFUNCTION("""COMPUTED_VALUE"""),"YCO")</f>
        <v>YCO</v>
      </c>
      <c r="N28" s="45" t="str">
        <f>IFERROR(__xludf.DUMMYFUNCTION("""COMPUTED_VALUE"""),"Femenino")</f>
        <v>Femenino</v>
      </c>
      <c r="O28" s="45" t="str">
        <f>IFERROR(__xludf.DUMMYFUNCTION("""COMPUTED_VALUE"""),"ILCA 6")</f>
        <v>ILCA 6</v>
      </c>
      <c r="P28" s="45"/>
      <c r="Q28" s="45">
        <f>IFERROR(__xludf.DUMMYFUNCTION("""COMPUTED_VALUE"""),221976.0)</f>
        <v>221976</v>
      </c>
      <c r="R28" s="45"/>
      <c r="S28" s="45"/>
      <c r="T28" s="45"/>
      <c r="U28" s="45"/>
      <c r="V28" s="45"/>
      <c r="W28" s="45"/>
      <c r="X28" s="45"/>
      <c r="Y28" s="45" t="str">
        <f>IFERROR(__xludf.DUMMYFUNCTION("""COMPUTED_VALUE"""),"OSDE 62767511402")</f>
        <v>OSDE 62767511402</v>
      </c>
      <c r="Z28" s="45" t="str">
        <f>IFERROR(__xludf.DUMMYFUNCTION("""COMPUTED_VALUE"""),"Si")</f>
        <v>Si</v>
      </c>
      <c r="AA28" s="7" t="str">
        <f>IFERROR(__xludf.DUMMYFUNCTION("""COMPUTED_VALUE"""),"Acepto")</f>
        <v>Acepto</v>
      </c>
      <c r="AB28" s="7" t="str">
        <f>IFERROR(__xludf.DUMMYFUNCTION("""COMPUTED_VALUE"""),"Pendiente")</f>
        <v>Pendiente</v>
      </c>
      <c r="AC28" s="7"/>
      <c r="AD28" s="7"/>
      <c r="AE28" s="7"/>
      <c r="AF28" s="7" t="str">
        <f>IFERROR(__xludf.DUMMYFUNCTION("""COMPUTED_VALUE"""),"No Corresp")</f>
        <v>No Corresp</v>
      </c>
      <c r="AG28" s="7"/>
    </row>
    <row r="29">
      <c r="B29" s="42">
        <f>IFERROR(__xludf.DUMMYFUNCTION("""COMPUTED_VALUE"""),45544.87562679398)</f>
        <v>45544.87563</v>
      </c>
      <c r="C29" s="43" t="str">
        <f>IFERROR(__xludf.DUMMYFUNCTION("""COMPUTED_VALUE"""),"Edy")</f>
        <v>Edy</v>
      </c>
      <c r="D29" s="43" t="str">
        <f>IFERROR(__xludf.DUMMYFUNCTION("""COMPUTED_VALUE"""),"Branz")</f>
        <v>Branz</v>
      </c>
      <c r="E29" s="43" t="str">
        <f>IFERROR(__xludf.DUMMYFUNCTION("""COMPUTED_VALUE"""),"Tigre")</f>
        <v>Tigre</v>
      </c>
      <c r="F29" s="7" t="str">
        <f>IFERROR(__xludf.DUMMYFUNCTION("""COMPUTED_VALUE"""),"ARG")</f>
        <v>ARG</v>
      </c>
      <c r="G29" s="7">
        <f>IFERROR(__xludf.DUMMYFUNCTION("""COMPUTED_VALUE"""),1.4126492E7)</f>
        <v>14126492</v>
      </c>
      <c r="H29" s="44">
        <f>IFERROR(__xludf.DUMMYFUNCTION("""COMPUTED_VALUE"""),22119.0)</f>
        <v>22119</v>
      </c>
      <c r="I29" s="45">
        <f>IFERROR(__xludf.DUMMYFUNCTION("""COMPUTED_VALUE"""),1.150091259E9)</f>
        <v>1150091259</v>
      </c>
      <c r="J29" s="45">
        <f>IFERROR(__xludf.DUMMYFUNCTION("""COMPUTED_VALUE"""),1.168313351E9)</f>
        <v>1168313351</v>
      </c>
      <c r="K29" s="45" t="str">
        <f>IFERROR(__xludf.DUMMYFUNCTION("""COMPUTED_VALUE"""),"astillerotrento@gmai.com")</f>
        <v>astillerotrento@gmai.com</v>
      </c>
      <c r="L29" s="45" t="str">
        <f>IFERROR(__xludf.DUMMYFUNCTION("""COMPUTED_VALUE"""),"Masculino")</f>
        <v>Masculino</v>
      </c>
      <c r="M29" s="45" t="str">
        <f>IFERROR(__xludf.DUMMYFUNCTION("""COMPUTED_VALUE"""),"Yco")</f>
        <v>Yco</v>
      </c>
      <c r="N29" s="45" t="str">
        <f>IFERROR(__xludf.DUMMYFUNCTION("""COMPUTED_VALUE"""),"Master (ILCA)")</f>
        <v>Master (ILCA)</v>
      </c>
      <c r="O29" s="45" t="str">
        <f>IFERROR(__xludf.DUMMYFUNCTION("""COMPUTED_VALUE"""),"ILCA 6")</f>
        <v>ILCA 6</v>
      </c>
      <c r="P29" s="45"/>
      <c r="Q29" s="45">
        <f>IFERROR(__xludf.DUMMYFUNCTION("""COMPUTED_VALUE"""),184274.0)</f>
        <v>184274</v>
      </c>
      <c r="R29" s="45" t="str">
        <f>IFERROR(__xludf.DUMMYFUNCTION("""COMPUTED_VALUE"""),"Turbina")</f>
        <v>Turbina</v>
      </c>
      <c r="S29" s="45"/>
      <c r="T29" s="45"/>
      <c r="U29" s="45"/>
      <c r="V29" s="45"/>
      <c r="W29" s="45"/>
      <c r="X29" s="45"/>
      <c r="Y29" s="45"/>
      <c r="Z29" s="45" t="str">
        <f>IFERROR(__xludf.DUMMYFUNCTION("""COMPUTED_VALUE"""),"Si")</f>
        <v>Si</v>
      </c>
      <c r="AA29" s="7" t="str">
        <f>IFERROR(__xludf.DUMMYFUNCTION("""COMPUTED_VALUE"""),"Acepto")</f>
        <v>Acepto</v>
      </c>
      <c r="AB29" s="7" t="str">
        <f>IFERROR(__xludf.DUMMYFUNCTION("""COMPUTED_VALUE"""),"Pendiente")</f>
        <v>Pendiente</v>
      </c>
      <c r="AC29" s="7"/>
      <c r="AD29" s="7"/>
      <c r="AE29" s="7"/>
      <c r="AF29" s="7" t="str">
        <f>IFERROR(__xludf.DUMMYFUNCTION("""COMPUTED_VALUE"""),"No Corresp")</f>
        <v>No Corresp</v>
      </c>
      <c r="AG29" s="7"/>
    </row>
    <row r="30">
      <c r="B30" s="42">
        <f>IFERROR(__xludf.DUMMYFUNCTION("""COMPUTED_VALUE"""),45544.988625451384)</f>
        <v>45544.98863</v>
      </c>
      <c r="C30" s="43" t="str">
        <f>IFERROR(__xludf.DUMMYFUNCTION("""COMPUTED_VALUE"""),"Guillermo (Willy)")</f>
        <v>Guillermo (Willy)</v>
      </c>
      <c r="D30" s="43" t="str">
        <f>IFERROR(__xludf.DUMMYFUNCTION("""COMPUTED_VALUE"""),"Soares Netto")</f>
        <v>Soares Netto</v>
      </c>
      <c r="E30" s="43" t="str">
        <f>IFERROR(__xludf.DUMMYFUNCTION("""COMPUTED_VALUE"""),"CABA")</f>
        <v>CABA</v>
      </c>
      <c r="F30" s="7" t="str">
        <f>IFERROR(__xludf.DUMMYFUNCTION("""COMPUTED_VALUE"""),"ARG")</f>
        <v>ARG</v>
      </c>
      <c r="G30" s="7">
        <f>IFERROR(__xludf.DUMMYFUNCTION("""COMPUTED_VALUE"""),9.2418808E7)</f>
        <v>92418808</v>
      </c>
      <c r="H30" s="44">
        <f>IFERROR(__xludf.DUMMYFUNCTION("""COMPUTED_VALUE"""),25092.0)</f>
        <v>25092</v>
      </c>
      <c r="I30" s="45">
        <f>IFERROR(__xludf.DUMMYFUNCTION("""COMPUTED_VALUE"""),1.151035512E9)</f>
        <v>1151035512</v>
      </c>
      <c r="J30" s="45">
        <f>IFERROR(__xludf.DUMMYFUNCTION("""COMPUTED_VALUE"""),5.492213176347E12)</f>
        <v>5492213176347</v>
      </c>
      <c r="K30" s="45" t="str">
        <f>IFERROR(__xludf.DUMMYFUNCTION("""COMPUTED_VALUE"""),"soaresnettoguille@gmail.com")</f>
        <v>soaresnettoguille@gmail.com</v>
      </c>
      <c r="L30" s="45" t="str">
        <f>IFERROR(__xludf.DUMMYFUNCTION("""COMPUTED_VALUE"""),"Masculino")</f>
        <v>Masculino</v>
      </c>
      <c r="M30" s="45" t="str">
        <f>IFERROR(__xludf.DUMMYFUNCTION("""COMPUTED_VALUE"""),"Barrancas")</f>
        <v>Barrancas</v>
      </c>
      <c r="N30" s="45" t="str">
        <f>IFERROR(__xludf.DUMMYFUNCTION("""COMPUTED_VALUE"""),"Master (ILCA)")</f>
        <v>Master (ILCA)</v>
      </c>
      <c r="O30" s="45" t="str">
        <f>IFERROR(__xludf.DUMMYFUNCTION("""COMPUTED_VALUE"""),"ILCA 6")</f>
        <v>ILCA 6</v>
      </c>
      <c r="P30" s="45"/>
      <c r="Q30" s="45">
        <f>IFERROR(__xludf.DUMMYFUNCTION("""COMPUTED_VALUE"""),140069.0)</f>
        <v>140069</v>
      </c>
      <c r="R30" s="45"/>
      <c r="S30" s="45"/>
      <c r="T30" s="45"/>
      <c r="U30" s="45"/>
      <c r="V30" s="45"/>
      <c r="W30" s="45"/>
      <c r="X30" s="45"/>
      <c r="Y30" s="45" t="str">
        <f>IFERROR(__xludf.DUMMYFUNCTION("""COMPUTED_VALUE"""),"Swiss Medical 0935129-01-0001")</f>
        <v>Swiss Medical 0935129-01-0001</v>
      </c>
      <c r="Z30" s="45" t="str">
        <f>IFERROR(__xludf.DUMMYFUNCTION("""COMPUTED_VALUE"""),"No")</f>
        <v>No</v>
      </c>
      <c r="AA30" s="7" t="str">
        <f>IFERROR(__xludf.DUMMYFUNCTION("""COMPUTED_VALUE"""),"Acepto")</f>
        <v>Acepto</v>
      </c>
      <c r="AB30" s="7" t="str">
        <f>IFERROR(__xludf.DUMMYFUNCTION("""COMPUTED_VALUE"""),"Pendiente")</f>
        <v>Pendiente</v>
      </c>
      <c r="AC30" s="7"/>
      <c r="AD30" s="7"/>
      <c r="AE30" s="7"/>
      <c r="AF30" s="7" t="str">
        <f>IFERROR(__xludf.DUMMYFUNCTION("""COMPUTED_VALUE"""),"No Corresp")</f>
        <v>No Corresp</v>
      </c>
      <c r="AG30" s="7"/>
    </row>
    <row r="31">
      <c r="B31" s="42">
        <f>IFERROR(__xludf.DUMMYFUNCTION("""COMPUTED_VALUE"""),45544.99110002315)</f>
        <v>45544.9911</v>
      </c>
      <c r="C31" s="43" t="str">
        <f>IFERROR(__xludf.DUMMYFUNCTION("""COMPUTED_VALUE"""),"Carolina ")</f>
        <v>Carolina </v>
      </c>
      <c r="D31" s="43" t="str">
        <f>IFERROR(__xludf.DUMMYFUNCTION("""COMPUTED_VALUE"""),"Gallucci")</f>
        <v>Gallucci</v>
      </c>
      <c r="E31" s="43" t="str">
        <f>IFERROR(__xludf.DUMMYFUNCTION("""COMPUTED_VALUE"""),"CABA")</f>
        <v>CABA</v>
      </c>
      <c r="F31" s="7" t="str">
        <f>IFERROR(__xludf.DUMMYFUNCTION("""COMPUTED_VALUE"""),"ARG")</f>
        <v>ARG</v>
      </c>
      <c r="G31" s="7">
        <f>IFERROR(__xludf.DUMMYFUNCTION("""COMPUTED_VALUE"""),2.5704972E7)</f>
        <v>25704972</v>
      </c>
      <c r="H31" s="44">
        <f>IFERROR(__xludf.DUMMYFUNCTION("""COMPUTED_VALUE"""),28100.0)</f>
        <v>28100</v>
      </c>
      <c r="I31" s="45">
        <f>IFERROR(__xludf.DUMMYFUNCTION("""COMPUTED_VALUE"""),1.130315602E9)</f>
        <v>1130315602</v>
      </c>
      <c r="J31" s="45">
        <f>IFERROR(__xludf.DUMMYFUNCTION("""COMPUTED_VALUE"""),5.492213176347E12)</f>
        <v>5492213176347</v>
      </c>
      <c r="K31" s="45" t="str">
        <f>IFERROR(__xludf.DUMMYFUNCTION("""COMPUTED_VALUE"""),"carogalu@gmail.com")</f>
        <v>carogalu@gmail.com</v>
      </c>
      <c r="L31" s="45" t="str">
        <f>IFERROR(__xludf.DUMMYFUNCTION("""COMPUTED_VALUE"""),"Femenino")</f>
        <v>Femenino</v>
      </c>
      <c r="M31" s="45" t="str">
        <f>IFERROR(__xludf.DUMMYFUNCTION("""COMPUTED_VALUE"""),"Barrancas")</f>
        <v>Barrancas</v>
      </c>
      <c r="N31" s="45" t="str">
        <f>IFERROR(__xludf.DUMMYFUNCTION("""COMPUTED_VALUE"""),"Femenino, Master (ILCA)")</f>
        <v>Femenino, Master (ILCA)</v>
      </c>
      <c r="O31" s="45" t="str">
        <f>IFERROR(__xludf.DUMMYFUNCTION("""COMPUTED_VALUE"""),"ILCA 6")</f>
        <v>ILCA 6</v>
      </c>
      <c r="P31" s="45"/>
      <c r="Q31" s="45">
        <f>IFERROR(__xludf.DUMMYFUNCTION("""COMPUTED_VALUE"""),140089.0)</f>
        <v>140089</v>
      </c>
      <c r="R31" s="45"/>
      <c r="S31" s="45"/>
      <c r="T31" s="45"/>
      <c r="U31" s="45"/>
      <c r="V31" s="45"/>
      <c r="W31" s="45"/>
      <c r="X31" s="45"/>
      <c r="Y31" s="45" t="str">
        <f>IFERROR(__xludf.DUMMYFUNCTION("""COMPUTED_VALUE"""),"OSDE Binario 61577519401")</f>
        <v>OSDE Binario 61577519401</v>
      </c>
      <c r="Z31" s="45" t="str">
        <f>IFERROR(__xludf.DUMMYFUNCTION("""COMPUTED_VALUE"""),"No")</f>
        <v>No</v>
      </c>
      <c r="AA31" s="7" t="str">
        <f>IFERROR(__xludf.DUMMYFUNCTION("""COMPUTED_VALUE"""),"Acepto")</f>
        <v>Acepto</v>
      </c>
      <c r="AB31" s="7" t="str">
        <f>IFERROR(__xludf.DUMMYFUNCTION("""COMPUTED_VALUE"""),"Pendiente")</f>
        <v>Pendiente</v>
      </c>
      <c r="AC31" s="7"/>
      <c r="AD31" s="7"/>
      <c r="AE31" s="7"/>
      <c r="AF31" s="7" t="str">
        <f>IFERROR(__xludf.DUMMYFUNCTION("""COMPUTED_VALUE"""),"No Corresp")</f>
        <v>No Corresp</v>
      </c>
      <c r="AG31" s="7"/>
    </row>
    <row r="32">
      <c r="B32" s="42">
        <f>IFERROR(__xludf.DUMMYFUNCTION("""COMPUTED_VALUE"""),45545.379902500004)</f>
        <v>45545.3799</v>
      </c>
      <c r="C32" s="43" t="str">
        <f>IFERROR(__xludf.DUMMYFUNCTION("""COMPUTED_VALUE"""),"Veronica")</f>
        <v>Veronica</v>
      </c>
      <c r="D32" s="43" t="str">
        <f>IFERROR(__xludf.DUMMYFUNCTION("""COMPUTED_VALUE"""),"Jordana ")</f>
        <v>Jordana </v>
      </c>
      <c r="E32" s="43" t="str">
        <f>IFERROR(__xludf.DUMMYFUNCTION("""COMPUTED_VALUE"""),"San Isidro ")</f>
        <v>San Isidro </v>
      </c>
      <c r="F32" s="7" t="str">
        <f>IFERROR(__xludf.DUMMYFUNCTION("""COMPUTED_VALUE"""),"ARG")</f>
        <v>ARG</v>
      </c>
      <c r="G32" s="7">
        <f>IFERROR(__xludf.DUMMYFUNCTION("""COMPUTED_VALUE"""),2.6583473E7)</f>
        <v>26583473</v>
      </c>
      <c r="H32" s="44">
        <f>IFERROR(__xludf.DUMMYFUNCTION("""COMPUTED_VALUE"""),28590.0)</f>
        <v>28590</v>
      </c>
      <c r="I32" s="45">
        <f>IFERROR(__xludf.DUMMYFUNCTION("""COMPUTED_VALUE"""),5.4114171609E11)</f>
        <v>541141716090</v>
      </c>
      <c r="J32" s="45"/>
      <c r="K32" s="45" t="str">
        <f>IFERROR(__xludf.DUMMYFUNCTION("""COMPUTED_VALUE"""),"Vjordana@gmail.com")</f>
        <v>Vjordana@gmail.com</v>
      </c>
      <c r="L32" s="45" t="str">
        <f>IFERROR(__xludf.DUMMYFUNCTION("""COMPUTED_VALUE"""),"Femenino")</f>
        <v>Femenino</v>
      </c>
      <c r="M32" s="45" t="str">
        <f>IFERROR(__xludf.DUMMYFUNCTION("""COMPUTED_VALUE"""),"CPNLB")</f>
        <v>CPNLB</v>
      </c>
      <c r="N32" s="45" t="str">
        <f>IFERROR(__xludf.DUMMYFUNCTION("""COMPUTED_VALUE"""),"Femenino, Master (ILCA)")</f>
        <v>Femenino, Master (ILCA)</v>
      </c>
      <c r="O32" s="45" t="str">
        <f>IFERROR(__xludf.DUMMYFUNCTION("""COMPUTED_VALUE"""),"ILCA 6")</f>
        <v>ILCA 6</v>
      </c>
      <c r="P32" s="45"/>
      <c r="Q32" s="45">
        <f>IFERROR(__xludf.DUMMYFUNCTION("""COMPUTED_VALUE"""),200516.0)</f>
        <v>200516</v>
      </c>
      <c r="R32" s="45" t="str">
        <f>IFERROR(__xludf.DUMMYFUNCTION("""COMPUTED_VALUE"""),"Milhouse")</f>
        <v>Milhouse</v>
      </c>
      <c r="S32" s="45"/>
      <c r="T32" s="45"/>
      <c r="U32" s="45"/>
      <c r="V32" s="45"/>
      <c r="W32" s="45"/>
      <c r="X32" s="45"/>
      <c r="Y32" s="45"/>
      <c r="Z32" s="45" t="str">
        <f>IFERROR(__xludf.DUMMYFUNCTION("""COMPUTED_VALUE"""),"No")</f>
        <v>No</v>
      </c>
      <c r="AA32" s="7" t="str">
        <f>IFERROR(__xludf.DUMMYFUNCTION("""COMPUTED_VALUE"""),"Acepto")</f>
        <v>Acepto</v>
      </c>
      <c r="AB32" s="7" t="str">
        <f>IFERROR(__xludf.DUMMYFUNCTION("""COMPUTED_VALUE"""),"Pendiente")</f>
        <v>Pendiente</v>
      </c>
      <c r="AC32" s="7"/>
      <c r="AD32" s="7"/>
      <c r="AE32" s="7"/>
      <c r="AF32" s="7" t="str">
        <f>IFERROR(__xludf.DUMMYFUNCTION("""COMPUTED_VALUE"""),"No Corresp")</f>
        <v>No Corresp</v>
      </c>
      <c r="AG32" s="7"/>
    </row>
    <row r="33">
      <c r="B33" s="42">
        <f>IFERROR(__xludf.DUMMYFUNCTION("""COMPUTED_VALUE"""),45545.380035277776)</f>
        <v>45545.38004</v>
      </c>
      <c r="C33" s="43" t="str">
        <f>IFERROR(__xludf.DUMMYFUNCTION("""COMPUTED_VALUE"""),"Fran ")</f>
        <v>Fran </v>
      </c>
      <c r="D33" s="43" t="str">
        <f>IFERROR(__xludf.DUMMYFUNCTION("""COMPUTED_VALUE"""),"May")</f>
        <v>May</v>
      </c>
      <c r="E33" s="43" t="str">
        <f>IFERROR(__xludf.DUMMYFUNCTION("""COMPUTED_VALUE"""),"San Isidro ")</f>
        <v>San Isidro </v>
      </c>
      <c r="F33" s="7" t="str">
        <f>IFERROR(__xludf.DUMMYFUNCTION("""COMPUTED_VALUE"""),"ARG")</f>
        <v>ARG</v>
      </c>
      <c r="G33" s="7">
        <f>IFERROR(__xludf.DUMMYFUNCTION("""COMPUTED_VALUE"""),3.1089637E7)</f>
        <v>31089637</v>
      </c>
      <c r="H33" s="44">
        <f>IFERROR(__xludf.DUMMYFUNCTION("""COMPUTED_VALUE"""),30873.0)</f>
        <v>30873</v>
      </c>
      <c r="I33" s="45">
        <f>IFERROR(__xludf.DUMMYFUNCTION("""COMPUTED_VALUE"""),1.15750011E9)</f>
        <v>1157500110</v>
      </c>
      <c r="J33" s="45">
        <f>IFERROR(__xludf.DUMMYFUNCTION("""COMPUTED_VALUE"""),1.135900259E9)</f>
        <v>1135900259</v>
      </c>
      <c r="K33" s="45" t="str">
        <f>IFERROR(__xludf.DUMMYFUNCTION("""COMPUTED_VALUE"""),"franciscomay84@gmail.com")</f>
        <v>franciscomay84@gmail.com</v>
      </c>
      <c r="L33" s="45" t="str">
        <f>IFERROR(__xludf.DUMMYFUNCTION("""COMPUTED_VALUE"""),"Masculino")</f>
        <v>Masculino</v>
      </c>
      <c r="M33" s="45" t="str">
        <f>IFERROR(__xludf.DUMMYFUNCTION("""COMPUTED_VALUE"""),"Barrancas")</f>
        <v>Barrancas</v>
      </c>
      <c r="N33" s="45" t="str">
        <f>IFERROR(__xludf.DUMMYFUNCTION("""COMPUTED_VALUE"""),"Master (ILCA)")</f>
        <v>Master (ILCA)</v>
      </c>
      <c r="O33" s="45" t="str">
        <f>IFERROR(__xludf.DUMMYFUNCTION("""COMPUTED_VALUE"""),"ILCA 6")</f>
        <v>ILCA 6</v>
      </c>
      <c r="P33" s="45"/>
      <c r="Q33" s="45">
        <f>IFERROR(__xludf.DUMMYFUNCTION("""COMPUTED_VALUE"""),192117.0)</f>
        <v>192117</v>
      </c>
      <c r="R33" s="45" t="str">
        <f>IFERROR(__xludf.DUMMYFUNCTION("""COMPUTED_VALUE"""),"Cebollita")</f>
        <v>Cebollita</v>
      </c>
      <c r="S33" s="45"/>
      <c r="T33" s="45"/>
      <c r="U33" s="45"/>
      <c r="V33" s="45"/>
      <c r="W33" s="45"/>
      <c r="X33" s="45"/>
      <c r="Y33" s="45"/>
      <c r="Z33" s="45" t="str">
        <f>IFERROR(__xludf.DUMMYFUNCTION("""COMPUTED_VALUE"""),"No")</f>
        <v>No</v>
      </c>
      <c r="AA33" s="7" t="str">
        <f>IFERROR(__xludf.DUMMYFUNCTION("""COMPUTED_VALUE"""),"Acepto")</f>
        <v>Acepto</v>
      </c>
      <c r="AB33" s="7" t="str">
        <f>IFERROR(__xludf.DUMMYFUNCTION("""COMPUTED_VALUE"""),"Terminado")</f>
        <v>Terminado</v>
      </c>
      <c r="AC33" s="7">
        <f>IFERROR(__xludf.DUMMYFUNCTION("""COMPUTED_VALUE"""),45000.0)</f>
        <v>45000</v>
      </c>
      <c r="AD33" s="7">
        <f>IFERROR(__xludf.DUMMYFUNCTION("""COMPUTED_VALUE"""),205645.0)</f>
        <v>205645</v>
      </c>
      <c r="AE33" s="7" t="str">
        <f>IFERROR(__xludf.DUMMYFUNCTION("""COMPUTED_VALUE"""),"TRF 10-09")</f>
        <v>TRF 10-09</v>
      </c>
      <c r="AF33" s="7" t="str">
        <f>IFERROR(__xludf.DUMMYFUNCTION("""COMPUTED_VALUE"""),"No Corresp")</f>
        <v>No Corresp</v>
      </c>
      <c r="AG33" s="7"/>
    </row>
    <row r="34">
      <c r="B34" s="42">
        <f>IFERROR(__xludf.DUMMYFUNCTION("""COMPUTED_VALUE"""),45545.83128375)</f>
        <v>45545.83128</v>
      </c>
      <c r="C34" s="43" t="str">
        <f>IFERROR(__xludf.DUMMYFUNCTION("""COMPUTED_VALUE"""),"Oscar ")</f>
        <v>Oscar </v>
      </c>
      <c r="D34" s="43" t="str">
        <f>IFERROR(__xludf.DUMMYFUNCTION("""COMPUTED_VALUE"""),"Montes ")</f>
        <v>Montes </v>
      </c>
      <c r="E34" s="43" t="str">
        <f>IFERROR(__xludf.DUMMYFUNCTION("""COMPUTED_VALUE"""),"Bs. As.")</f>
        <v>Bs. As.</v>
      </c>
      <c r="F34" s="7" t="str">
        <f>IFERROR(__xludf.DUMMYFUNCTION("""COMPUTED_VALUE"""),"ARG")</f>
        <v>ARG</v>
      </c>
      <c r="G34" s="7">
        <f>IFERROR(__xludf.DUMMYFUNCTION("""COMPUTED_VALUE"""),5071752.0)</f>
        <v>5071752</v>
      </c>
      <c r="H34" s="44">
        <f>IFERROR(__xludf.DUMMYFUNCTION("""COMPUTED_VALUE"""),17594.0)</f>
        <v>17594</v>
      </c>
      <c r="I34" s="45" t="str">
        <f>IFERROR(__xludf.DUMMYFUNCTION("""COMPUTED_VALUE"""),"115 428 3696")</f>
        <v>115 428 3696</v>
      </c>
      <c r="J34" s="45"/>
      <c r="K34" s="45" t="str">
        <f>IFERROR(__xludf.DUMMYFUNCTION("""COMPUTED_VALUE"""),"ominstalar@hotmail.com")</f>
        <v>ominstalar@hotmail.com</v>
      </c>
      <c r="L34" s="45" t="str">
        <f>IFERROR(__xludf.DUMMYFUNCTION("""COMPUTED_VALUE"""),"Masculino")</f>
        <v>Masculino</v>
      </c>
      <c r="M34" s="45" t="str">
        <f>IFERROR(__xludf.DUMMYFUNCTION("""COMPUTED_VALUE"""),"YCO")</f>
        <v>YCO</v>
      </c>
      <c r="N34" s="45" t="str">
        <f>IFERROR(__xludf.DUMMYFUNCTION("""COMPUTED_VALUE"""),"Master (ILCA)")</f>
        <v>Master (ILCA)</v>
      </c>
      <c r="O34" s="45" t="str">
        <f>IFERROR(__xludf.DUMMYFUNCTION("""COMPUTED_VALUE"""),"ILCA 6")</f>
        <v>ILCA 6</v>
      </c>
      <c r="P34" s="45"/>
      <c r="Q34" s="106">
        <f>IFERROR(__xludf.DUMMYFUNCTION("""COMPUTED_VALUE"""),217115.0)</f>
        <v>217115</v>
      </c>
      <c r="R34" s="45"/>
      <c r="S34" s="45"/>
      <c r="T34" s="45"/>
      <c r="U34" s="45"/>
      <c r="V34" s="45"/>
      <c r="W34" s="45"/>
      <c r="X34" s="45"/>
      <c r="Y34" s="45"/>
      <c r="Z34" s="45" t="str">
        <f>IFERROR(__xludf.DUMMYFUNCTION("""COMPUTED_VALUE"""),"Si")</f>
        <v>Si</v>
      </c>
      <c r="AA34" s="7" t="str">
        <f>IFERROR(__xludf.DUMMYFUNCTION("""COMPUTED_VALUE"""),"Acepto")</f>
        <v>Acepto</v>
      </c>
      <c r="AB34" s="7" t="str">
        <f>IFERROR(__xludf.DUMMYFUNCTION("""COMPUTED_VALUE"""),"Terminado")</f>
        <v>Terminado</v>
      </c>
      <c r="AC34" s="7">
        <f>IFERROR(__xludf.DUMMYFUNCTION("""COMPUTED_VALUE"""),45000.0)</f>
        <v>45000</v>
      </c>
      <c r="AD34" s="7"/>
      <c r="AE34" s="7" t="str">
        <f>IFERROR(__xludf.DUMMYFUNCTION("""COMPUTED_VALUE"""),"AF")</f>
        <v>AF</v>
      </c>
      <c r="AF34" s="7" t="str">
        <f>IFERROR(__xludf.DUMMYFUNCTION("""COMPUTED_VALUE"""),"No Corresp")</f>
        <v>No Corresp</v>
      </c>
      <c r="AG34" s="7"/>
    </row>
    <row r="35">
      <c r="B35" s="42">
        <f>IFERROR(__xludf.DUMMYFUNCTION("""COMPUTED_VALUE"""),45546.43615565972)</f>
        <v>45546.43616</v>
      </c>
      <c r="C35" s="43" t="str">
        <f>IFERROR(__xludf.DUMMYFUNCTION("""COMPUTED_VALUE"""),"Leonardo ")</f>
        <v>Leonardo </v>
      </c>
      <c r="D35" s="43" t="str">
        <f>IFERROR(__xludf.DUMMYFUNCTION("""COMPUTED_VALUE"""),"Jochoian ")</f>
        <v>Jochoian </v>
      </c>
      <c r="E35" s="43" t="str">
        <f>IFERROR(__xludf.DUMMYFUNCTION("""COMPUTED_VALUE"""),"Bs As")</f>
        <v>Bs As</v>
      </c>
      <c r="F35" s="7" t="str">
        <f>IFERROR(__xludf.DUMMYFUNCTION("""COMPUTED_VALUE"""),"ARG")</f>
        <v>ARG</v>
      </c>
      <c r="G35" s="7">
        <f>IFERROR(__xludf.DUMMYFUNCTION("""COMPUTED_VALUE"""),2.4335085E7)</f>
        <v>24335085</v>
      </c>
      <c r="H35" s="44">
        <f>IFERROR(__xludf.DUMMYFUNCTION("""COMPUTED_VALUE"""),27375.0)</f>
        <v>27375</v>
      </c>
      <c r="I35" s="45">
        <f>IFERROR(__xludf.DUMMYFUNCTION("""COMPUTED_VALUE"""),1.151577012E9)</f>
        <v>1151577012</v>
      </c>
      <c r="J35" s="45">
        <f>IFERROR(__xludf.DUMMYFUNCTION("""COMPUTED_VALUE"""),1.16864017E9)</f>
        <v>1168640170</v>
      </c>
      <c r="K35" s="45" t="str">
        <f>IFERROR(__xludf.DUMMYFUNCTION("""COMPUTED_VALUE"""),"Ljochoian@gmail.com")</f>
        <v>Ljochoian@gmail.com</v>
      </c>
      <c r="L35" s="45" t="str">
        <f>IFERROR(__xludf.DUMMYFUNCTION("""COMPUTED_VALUE"""),"Masculino")</f>
        <v>Masculino</v>
      </c>
      <c r="M35" s="45" t="str">
        <f>IFERROR(__xludf.DUMMYFUNCTION("""COMPUTED_VALUE"""),"YCO - CPNLB")</f>
        <v>YCO - CPNLB</v>
      </c>
      <c r="N35" s="45" t="str">
        <f>IFERROR(__xludf.DUMMYFUNCTION("""COMPUTED_VALUE"""),"Master (ILCA)")</f>
        <v>Master (ILCA)</v>
      </c>
      <c r="O35" s="45" t="str">
        <f>IFERROR(__xludf.DUMMYFUNCTION("""COMPUTED_VALUE"""),"ILCA 6")</f>
        <v>ILCA 6</v>
      </c>
      <c r="P35" s="45"/>
      <c r="Q35" s="45">
        <f>IFERROR(__xludf.DUMMYFUNCTION("""COMPUTED_VALUE"""),210809.0)</f>
        <v>210809</v>
      </c>
      <c r="R35" s="45" t="str">
        <f>IFERROR(__xludf.DUMMYFUNCTION("""COMPUTED_VALUE"""),"J8")</f>
        <v>J8</v>
      </c>
      <c r="S35" s="45"/>
      <c r="T35" s="45"/>
      <c r="U35" s="45"/>
      <c r="V35" s="45"/>
      <c r="W35" s="45"/>
      <c r="X35" s="45"/>
      <c r="Y35" s="45" t="str">
        <f>IFERROR(__xludf.DUMMYFUNCTION("""COMPUTED_VALUE"""),"OSDE")</f>
        <v>OSDE</v>
      </c>
      <c r="Z35" s="45" t="str">
        <f>IFERROR(__xludf.DUMMYFUNCTION("""COMPUTED_VALUE"""),"Si")</f>
        <v>Si</v>
      </c>
      <c r="AA35" s="7" t="str">
        <f>IFERROR(__xludf.DUMMYFUNCTION("""COMPUTED_VALUE"""),"Acepto")</f>
        <v>Acepto</v>
      </c>
      <c r="AB35" s="7" t="str">
        <f>IFERROR(__xludf.DUMMYFUNCTION("""COMPUTED_VALUE"""),"Pendiente")</f>
        <v>Pendiente</v>
      </c>
      <c r="AC35" s="7"/>
      <c r="AD35" s="7"/>
      <c r="AE35" s="7"/>
      <c r="AF35" s="7" t="str">
        <f>IFERROR(__xludf.DUMMYFUNCTION("""COMPUTED_VALUE"""),"No Corresp")</f>
        <v>No Corresp</v>
      </c>
      <c r="AG35" s="7"/>
    </row>
    <row r="36">
      <c r="B36" s="42">
        <f>IFERROR(__xludf.DUMMYFUNCTION("""COMPUTED_VALUE"""),45546.53299890047)</f>
        <v>45546.533</v>
      </c>
      <c r="C36" s="43" t="str">
        <f>IFERROR(__xludf.DUMMYFUNCTION("""COMPUTED_VALUE"""),"Isabel")</f>
        <v>Isabel</v>
      </c>
      <c r="D36" s="43" t="str">
        <f>IFERROR(__xludf.DUMMYFUNCTION("""COMPUTED_VALUE"""),"Busch")</f>
        <v>Busch</v>
      </c>
      <c r="E36" s="43" t="str">
        <f>IFERROR(__xludf.DUMMYFUNCTION("""COMPUTED_VALUE"""),"Ex de la cruz")</f>
        <v>Ex de la cruz</v>
      </c>
      <c r="F36" s="7" t="str">
        <f>IFERROR(__xludf.DUMMYFUNCTION("""COMPUTED_VALUE"""),"ARG")</f>
        <v>ARG</v>
      </c>
      <c r="G36" s="7">
        <f>IFERROR(__xludf.DUMMYFUNCTION("""COMPUTED_VALUE"""),4.6571854E7)</f>
        <v>46571854</v>
      </c>
      <c r="H36" s="44">
        <f>IFERROR(__xludf.DUMMYFUNCTION("""COMPUTED_VALUE"""),38525.0)</f>
        <v>38525</v>
      </c>
      <c r="I36" s="45" t="str">
        <f>IFERROR(__xludf.DUMMYFUNCTION("""COMPUTED_VALUE"""),"11 6227 3996 ")</f>
        <v>11 6227 3996 </v>
      </c>
      <c r="J36" s="45" t="str">
        <f>IFERROR(__xludf.DUMMYFUNCTION("""COMPUTED_VALUE"""),"02323472365")</f>
        <v>02323472365</v>
      </c>
      <c r="K36" s="45" t="str">
        <f>IFERROR(__xludf.DUMMYFUNCTION("""COMPUTED_VALUE"""),"isabel.busch22@gmail.com")</f>
        <v>isabel.busch22@gmail.com</v>
      </c>
      <c r="L36" s="45" t="str">
        <f>IFERROR(__xludf.DUMMYFUNCTION("""COMPUTED_VALUE"""),"Femenino")</f>
        <v>Femenino</v>
      </c>
      <c r="M36" s="45" t="str">
        <f>IFERROR(__xludf.DUMMYFUNCTION("""COMPUTED_VALUE"""),"CNSI")</f>
        <v>CNSI</v>
      </c>
      <c r="N36" s="45" t="str">
        <f>IFERROR(__xludf.DUMMYFUNCTION("""COMPUTED_VALUE"""),"Femenino")</f>
        <v>Femenino</v>
      </c>
      <c r="O36" s="45" t="str">
        <f>IFERROR(__xludf.DUMMYFUNCTION("""COMPUTED_VALUE"""),"ILCA 6")</f>
        <v>ILCA 6</v>
      </c>
      <c r="P36" s="45"/>
      <c r="Q36" s="45">
        <f>IFERROR(__xludf.DUMMYFUNCTION("""COMPUTED_VALUE"""),202568.0)</f>
        <v>202568</v>
      </c>
      <c r="R36" s="45" t="str">
        <f>IFERROR(__xludf.DUMMYFUNCTION("""COMPUTED_VALUE"""),"Pequeña brisa")</f>
        <v>Pequeña brisa</v>
      </c>
      <c r="S36" s="45"/>
      <c r="T36" s="45"/>
      <c r="U36" s="45"/>
      <c r="V36" s="45"/>
      <c r="W36" s="45"/>
      <c r="X36" s="45"/>
      <c r="Y36" s="45" t="str">
        <f>IFERROR(__xludf.DUMMYFUNCTION("""COMPUTED_VALUE"""),"IOMA ")</f>
        <v>IOMA </v>
      </c>
      <c r="Z36" s="45" t="str">
        <f>IFERROR(__xludf.DUMMYFUNCTION("""COMPUTED_VALUE"""),"No")</f>
        <v>No</v>
      </c>
      <c r="AA36" s="7" t="str">
        <f>IFERROR(__xludf.DUMMYFUNCTION("""COMPUTED_VALUE"""),"Acepto")</f>
        <v>Acepto</v>
      </c>
      <c r="AB36" s="7" t="str">
        <f>IFERROR(__xludf.DUMMYFUNCTION("""COMPUTED_VALUE"""),"Terminado")</f>
        <v>Terminado</v>
      </c>
      <c r="AC36" s="7">
        <f>IFERROR(__xludf.DUMMYFUNCTION("""COMPUTED_VALUE"""),45000.0)</f>
        <v>45000</v>
      </c>
      <c r="AD36" s="7">
        <f>IFERROR(__xludf.DUMMYFUNCTION("""COMPUTED_VALUE"""),205690.0)</f>
        <v>205690</v>
      </c>
      <c r="AE36" s="7" t="str">
        <f>IFERROR(__xludf.DUMMYFUNCTION("""COMPUTED_VALUE"""),"TRF 11-09")</f>
        <v>TRF 11-09</v>
      </c>
      <c r="AF36" s="7" t="str">
        <f>IFERROR(__xludf.DUMMYFUNCTION("""COMPUTED_VALUE"""),"No Corresp")</f>
        <v>No Corresp</v>
      </c>
      <c r="AG36" s="7" t="str">
        <f>IFERROR(__xludf.DUMMYFUNCTION("""COMPUTED_VALUE"""),"SI")</f>
        <v>SI</v>
      </c>
    </row>
    <row r="37">
      <c r="B37" s="42">
        <f>IFERROR(__xludf.DUMMYFUNCTION("""COMPUTED_VALUE"""),45547.41701630787)</f>
        <v>45547.41702</v>
      </c>
      <c r="C37" s="43" t="str">
        <f>IFERROR(__xludf.DUMMYFUNCTION("""COMPUTED_VALUE"""),"Sebastian")</f>
        <v>Sebastian</v>
      </c>
      <c r="D37" s="43" t="str">
        <f>IFERROR(__xludf.DUMMYFUNCTION("""COMPUTED_VALUE"""),"Lopez")</f>
        <v>Lopez</v>
      </c>
      <c r="E37" s="43" t="str">
        <f>IFERROR(__xludf.DUMMYFUNCTION("""COMPUTED_VALUE"""),"CABA")</f>
        <v>CABA</v>
      </c>
      <c r="F37" s="7" t="str">
        <f>IFERROR(__xludf.DUMMYFUNCTION("""COMPUTED_VALUE"""),"ARG")</f>
        <v>ARG</v>
      </c>
      <c r="G37" s="7">
        <f>IFERROR(__xludf.DUMMYFUNCTION("""COMPUTED_VALUE"""),2.2482481E7)</f>
        <v>22482481</v>
      </c>
      <c r="H37" s="44">
        <f>IFERROR(__xludf.DUMMYFUNCTION("""COMPUTED_VALUE"""),26260.0)</f>
        <v>26260</v>
      </c>
      <c r="I37" s="45" t="str">
        <f>IFERROR(__xludf.DUMMYFUNCTION("""COMPUTED_VALUE"""),"54 9 11 6112 4815")</f>
        <v>54 9 11 6112 4815</v>
      </c>
      <c r="J37" s="45" t="str">
        <f>IFERROR(__xludf.DUMMYFUNCTION("""COMPUTED_VALUE"""),"54 9 11 6564 1305")</f>
        <v>54 9 11 6564 1305</v>
      </c>
      <c r="K37" s="45" t="str">
        <f>IFERROR(__xludf.DUMMYFUNCTION("""COMPUTED_VALUE"""),"sebalopez2311@gmail.com")</f>
        <v>sebalopez2311@gmail.com</v>
      </c>
      <c r="L37" s="45" t="str">
        <f>IFERROR(__xludf.DUMMYFUNCTION("""COMPUTED_VALUE"""),"Masculino")</f>
        <v>Masculino</v>
      </c>
      <c r="M37" s="45" t="str">
        <f>IFERROR(__xludf.DUMMYFUNCTION("""COMPUTED_VALUE"""),"CPNLB")</f>
        <v>CPNLB</v>
      </c>
      <c r="N37" s="45" t="str">
        <f>IFERROR(__xludf.DUMMYFUNCTION("""COMPUTED_VALUE"""),"Master (ILCA)")</f>
        <v>Master (ILCA)</v>
      </c>
      <c r="O37" s="45" t="str">
        <f>IFERROR(__xludf.DUMMYFUNCTION("""COMPUTED_VALUE"""),"ILCA 6")</f>
        <v>ILCA 6</v>
      </c>
      <c r="P37" s="45"/>
      <c r="Q37" s="45">
        <f>IFERROR(__xludf.DUMMYFUNCTION("""COMPUTED_VALUE"""),172311.0)</f>
        <v>172311</v>
      </c>
      <c r="R37" s="45"/>
      <c r="S37" s="45"/>
      <c r="T37" s="45"/>
      <c r="U37" s="45"/>
      <c r="V37" s="45"/>
      <c r="W37" s="45"/>
      <c r="X37" s="45"/>
      <c r="Y37" s="45" t="str">
        <f>IFERROR(__xludf.DUMMYFUNCTION("""COMPUTED_VALUE"""),"OSDE 61 640557 7 01")</f>
        <v>OSDE 61 640557 7 01</v>
      </c>
      <c r="Z37" s="45" t="str">
        <f>IFERROR(__xludf.DUMMYFUNCTION("""COMPUTED_VALUE"""),"No")</f>
        <v>No</v>
      </c>
      <c r="AA37" s="7" t="str">
        <f>IFERROR(__xludf.DUMMYFUNCTION("""COMPUTED_VALUE"""),"Acepto")</f>
        <v>Acepto</v>
      </c>
      <c r="AB37" s="7" t="str">
        <f>IFERROR(__xludf.DUMMYFUNCTION("""COMPUTED_VALUE"""),"Pendiente")</f>
        <v>Pendiente</v>
      </c>
      <c r="AC37" s="7"/>
      <c r="AD37" s="7"/>
      <c r="AE37" s="7"/>
      <c r="AF37" s="7" t="str">
        <f>IFERROR(__xludf.DUMMYFUNCTION("""COMPUTED_VALUE"""),"No Corresp")</f>
        <v>No Corresp</v>
      </c>
      <c r="AG37" s="7"/>
    </row>
    <row r="38">
      <c r="B38" s="42">
        <f>IFERROR(__xludf.DUMMYFUNCTION("""COMPUTED_VALUE"""),45547.43850585648)</f>
        <v>45547.43851</v>
      </c>
      <c r="C38" s="43" t="str">
        <f>IFERROR(__xludf.DUMMYFUNCTION("""COMPUTED_VALUE"""),"Ivan ")</f>
        <v>Ivan </v>
      </c>
      <c r="D38" s="43" t="str">
        <f>IFERROR(__xludf.DUMMYFUNCTION("""COMPUTED_VALUE"""),"Spoliansky keten")</f>
        <v>Spoliansky keten</v>
      </c>
      <c r="E38" s="43" t="str">
        <f>IFERROR(__xludf.DUMMYFUNCTION("""COMPUTED_VALUE"""),"CABA")</f>
        <v>CABA</v>
      </c>
      <c r="F38" s="7" t="str">
        <f>IFERROR(__xludf.DUMMYFUNCTION("""COMPUTED_VALUE"""),"ARG")</f>
        <v>ARG</v>
      </c>
      <c r="G38" s="7">
        <f>IFERROR(__xludf.DUMMYFUNCTION("""COMPUTED_VALUE"""),4.6586199E7)</f>
        <v>46586199</v>
      </c>
      <c r="H38" s="44">
        <f>IFERROR(__xludf.DUMMYFUNCTION("""COMPUTED_VALUE"""),38468.0)</f>
        <v>38468</v>
      </c>
      <c r="I38" s="45">
        <f>IFERROR(__xludf.DUMMYFUNCTION("""COMPUTED_VALUE"""),1.131322604E9)</f>
        <v>1131322604</v>
      </c>
      <c r="J38" s="45">
        <f>IFERROR(__xludf.DUMMYFUNCTION("""COMPUTED_VALUE"""),1.167960175E9)</f>
        <v>1167960175</v>
      </c>
      <c r="K38" s="45" t="str">
        <f>IFERROR(__xludf.DUMMYFUNCTION("""COMPUTED_VALUE"""),"Ivanspoliansky@gmail.com")</f>
        <v>Ivanspoliansky@gmail.com</v>
      </c>
      <c r="L38" s="45" t="str">
        <f>IFERROR(__xludf.DUMMYFUNCTION("""COMPUTED_VALUE"""),"Masculino")</f>
        <v>Masculino</v>
      </c>
      <c r="M38" s="45" t="str">
        <f>IFERROR(__xludf.DUMMYFUNCTION("""COMPUTED_VALUE"""),"YCO")</f>
        <v>YCO</v>
      </c>
      <c r="N38" s="45" t="str">
        <f>IFERROR(__xludf.DUMMYFUNCTION("""COMPUTED_VALUE"""),"Junior")</f>
        <v>Junior</v>
      </c>
      <c r="O38" s="45" t="str">
        <f>IFERROR(__xludf.DUMMYFUNCTION("""COMPUTED_VALUE"""),"ILCA 6")</f>
        <v>ILCA 6</v>
      </c>
      <c r="P38" s="45"/>
      <c r="Q38" s="45">
        <f>IFERROR(__xludf.DUMMYFUNCTION("""COMPUTED_VALUE"""),211551.0)</f>
        <v>211551</v>
      </c>
      <c r="R38" s="45"/>
      <c r="S38" s="45" t="str">
        <f>IFERROR(__xludf.DUMMYFUNCTION("""COMPUTED_VALUE"""),"Ivan spoliansky keten")</f>
        <v>Ivan spoliansky keten</v>
      </c>
      <c r="T38" s="45"/>
      <c r="U38" s="45"/>
      <c r="V38" s="45"/>
      <c r="W38" s="45"/>
      <c r="X38" s="45"/>
      <c r="Y38" s="45" t="str">
        <f>IFERROR(__xludf.DUMMYFUNCTION("""COMPUTED_VALUE"""),"Poder judicial: 52698/21")</f>
        <v>Poder judicial: 52698/21</v>
      </c>
      <c r="Z38" s="45" t="str">
        <f>IFERROR(__xludf.DUMMYFUNCTION("""COMPUTED_VALUE"""),"Si")</f>
        <v>Si</v>
      </c>
      <c r="AA38" s="7" t="str">
        <f>IFERROR(__xludf.DUMMYFUNCTION("""COMPUTED_VALUE"""),"Acepto")</f>
        <v>Acepto</v>
      </c>
      <c r="AB38" s="7" t="str">
        <f>IFERROR(__xludf.DUMMYFUNCTION("""COMPUTED_VALUE"""),"Pendiente")</f>
        <v>Pendiente</v>
      </c>
      <c r="AC38" s="7"/>
      <c r="AD38" s="7"/>
      <c r="AE38" s="7"/>
      <c r="AF38" s="7" t="str">
        <f>IFERROR(__xludf.DUMMYFUNCTION("""COMPUTED_VALUE"""),"No Corresp")</f>
        <v>No Corresp</v>
      </c>
      <c r="AG38" s="7"/>
    </row>
    <row r="39">
      <c r="B39" s="42">
        <f>IFERROR(__xludf.DUMMYFUNCTION("""COMPUTED_VALUE"""),45547.634314131945)</f>
        <v>45547.63431</v>
      </c>
      <c r="C39" s="45" t="str">
        <f>IFERROR(__xludf.DUMMYFUNCTION("""COMPUTED_VALUE"""),"Ivan")</f>
        <v>Ivan</v>
      </c>
      <c r="D39" s="7" t="str">
        <f>IFERROR(__xludf.DUMMYFUNCTION("""COMPUTED_VALUE"""),"Jovanovich")</f>
        <v>Jovanovich</v>
      </c>
      <c r="E39" s="7" t="str">
        <f>IFERROR(__xludf.DUMMYFUNCTION("""COMPUTED_VALUE"""),"Buenos aires ")</f>
        <v>Buenos aires </v>
      </c>
      <c r="F39" s="7" t="str">
        <f>IFERROR(__xludf.DUMMYFUNCTION("""COMPUTED_VALUE"""),"ARG")</f>
        <v>ARG</v>
      </c>
      <c r="G39" s="7">
        <f>IFERROR(__xludf.DUMMYFUNCTION("""COMPUTED_VALUE"""),4.7701108E7)</f>
        <v>47701108</v>
      </c>
      <c r="H39" s="44">
        <f>IFERROR(__xludf.DUMMYFUNCTION("""COMPUTED_VALUE"""),39064.0)</f>
        <v>39064</v>
      </c>
      <c r="I39" s="45" t="str">
        <f>IFERROR(__xludf.DUMMYFUNCTION("""COMPUTED_VALUE"""),"54 9 11 4074 3438")</f>
        <v>54 9 11 4074 3438</v>
      </c>
      <c r="J39" s="45" t="str">
        <f>IFERROR(__xludf.DUMMYFUNCTION("""COMPUTED_VALUE"""),"+54 9 11 3692-2792")</f>
        <v>+54 9 11 3692-2792</v>
      </c>
      <c r="K39" s="45" t="str">
        <f>IFERROR(__xludf.DUMMYFUNCTION("""COMPUTED_VALUE"""),"ivan.jovanovich@stgeorges.edu.ar")</f>
        <v>ivan.jovanovich@stgeorges.edu.ar</v>
      </c>
      <c r="L39" s="45" t="str">
        <f>IFERROR(__xludf.DUMMYFUNCTION("""COMPUTED_VALUE"""),"Masculino")</f>
        <v>Masculino</v>
      </c>
      <c r="M39" s="45" t="str">
        <f>IFERROR(__xludf.DUMMYFUNCTION("""COMPUTED_VALUE"""),"YCA")</f>
        <v>YCA</v>
      </c>
      <c r="N39" s="45"/>
      <c r="O39" s="45" t="str">
        <f>IFERROR(__xludf.DUMMYFUNCTION("""COMPUTED_VALUE"""),"ILCA 6")</f>
        <v>ILCA 6</v>
      </c>
      <c r="P39" s="45"/>
      <c r="Q39" s="45">
        <f>IFERROR(__xludf.DUMMYFUNCTION("""COMPUTED_VALUE"""),22.0)</f>
        <v>22</v>
      </c>
      <c r="R39" s="45" t="str">
        <f>IFERROR(__xludf.DUMMYFUNCTION("""COMPUTED_VALUE"""),"Maverick")</f>
        <v>Maverick</v>
      </c>
      <c r="S39" s="45" t="str">
        <f>IFERROR(__xludf.DUMMYFUNCTION("""COMPUTED_VALUE"""),"Ivan Jovanovich")</f>
        <v>Ivan Jovanovich</v>
      </c>
      <c r="T39" s="45"/>
      <c r="U39" s="45"/>
      <c r="V39" s="45"/>
      <c r="W39" s="45"/>
      <c r="X39" s="45"/>
      <c r="Y39" s="45" t="str">
        <f>IFERROR(__xludf.DUMMYFUNCTION("""COMPUTED_VALUE"""),"Osde")</f>
        <v>Osde</v>
      </c>
      <c r="Z39" s="45" t="str">
        <f>IFERROR(__xludf.DUMMYFUNCTION("""COMPUTED_VALUE"""),"No")</f>
        <v>No</v>
      </c>
      <c r="AA39" s="7" t="str">
        <f>IFERROR(__xludf.DUMMYFUNCTION("""COMPUTED_VALUE"""),"Acepto")</f>
        <v>Acepto</v>
      </c>
      <c r="AB39" s="45" t="str">
        <f>IFERROR(__xludf.DUMMYFUNCTION("""COMPUTED_VALUE"""),"Pendiente")</f>
        <v>Pendiente</v>
      </c>
      <c r="AC39" s="7"/>
      <c r="AD39" s="45"/>
      <c r="AE39" s="45"/>
      <c r="AF39" s="45" t="str">
        <f>IFERROR(__xludf.DUMMYFUNCTION("""COMPUTED_VALUE"""),"Ok")</f>
        <v>Ok</v>
      </c>
      <c r="AG39" s="45"/>
    </row>
    <row r="40">
      <c r="D40" s="7"/>
      <c r="E40" s="7"/>
      <c r="F40" s="7"/>
      <c r="G40" s="7"/>
      <c r="AA40" s="7"/>
      <c r="AC40" s="7"/>
    </row>
    <row r="41">
      <c r="D41" s="7"/>
      <c r="E41" s="7"/>
      <c r="F41" s="7"/>
      <c r="G41" s="7"/>
      <c r="AA41" s="7"/>
      <c r="AC41" s="7"/>
    </row>
    <row r="42">
      <c r="D42" s="7"/>
      <c r="E42" s="7"/>
      <c r="F42" s="7"/>
      <c r="G42" s="7"/>
      <c r="AA42" s="7"/>
      <c r="AC42" s="7"/>
    </row>
    <row r="43">
      <c r="D43" s="7"/>
      <c r="E43" s="7"/>
      <c r="F43" s="7"/>
      <c r="G43" s="7"/>
      <c r="AA43" s="7"/>
      <c r="AC43" s="7"/>
    </row>
    <row r="44">
      <c r="D44" s="7"/>
      <c r="E44" s="7"/>
      <c r="F44" s="7"/>
      <c r="G44" s="7"/>
      <c r="AA44" s="7"/>
      <c r="AC44" s="7"/>
    </row>
    <row r="45">
      <c r="D45" s="7"/>
      <c r="E45" s="7"/>
      <c r="F45" s="7"/>
      <c r="G45" s="7"/>
      <c r="AA45" s="7"/>
      <c r="AC45" s="7"/>
    </row>
    <row r="46">
      <c r="D46" s="7"/>
      <c r="E46" s="7"/>
      <c r="F46" s="7"/>
      <c r="G46" s="7"/>
      <c r="AA46" s="7"/>
      <c r="AC46" s="7"/>
    </row>
    <row r="47">
      <c r="D47" s="7"/>
      <c r="E47" s="7"/>
      <c r="F47" s="7"/>
      <c r="G47" s="7"/>
      <c r="AA47" s="7"/>
      <c r="AC47" s="7"/>
    </row>
    <row r="48">
      <c r="E48" s="7"/>
      <c r="F48" s="7"/>
      <c r="G48" s="7"/>
      <c r="AA48" s="7"/>
      <c r="AC48" s="7"/>
    </row>
    <row r="49">
      <c r="E49" s="7"/>
      <c r="F49" s="7"/>
      <c r="G49" s="7"/>
      <c r="AA49" s="7"/>
      <c r="AC49" s="7"/>
    </row>
    <row r="50">
      <c r="E50" s="7"/>
      <c r="F50" s="7"/>
      <c r="G50" s="7"/>
      <c r="AA50" s="7"/>
      <c r="AC50" s="7"/>
    </row>
    <row r="51">
      <c r="E51" s="7"/>
      <c r="F51" s="7"/>
      <c r="G51" s="7"/>
      <c r="AA51" s="7"/>
      <c r="AC51" s="7"/>
    </row>
    <row r="52">
      <c r="E52" s="7"/>
      <c r="F52" s="7"/>
      <c r="G52" s="7"/>
      <c r="AA52" s="7"/>
      <c r="AC52" s="7"/>
    </row>
    <row r="53">
      <c r="E53" s="7"/>
      <c r="F53" s="7"/>
      <c r="G53" s="7"/>
      <c r="AA53" s="7"/>
      <c r="AC53" s="7"/>
    </row>
    <row r="54">
      <c r="E54" s="7"/>
      <c r="F54" s="7"/>
      <c r="G54" s="7"/>
      <c r="AA54" s="7"/>
      <c r="AC54" s="7"/>
    </row>
    <row r="55">
      <c r="E55" s="7"/>
      <c r="F55" s="7"/>
      <c r="G55" s="7"/>
      <c r="AA55" s="7"/>
      <c r="AC55" s="7"/>
    </row>
    <row r="56">
      <c r="E56" s="7"/>
      <c r="F56" s="7"/>
      <c r="G56" s="7"/>
      <c r="AA56" s="7"/>
      <c r="AC56" s="7"/>
    </row>
    <row r="57">
      <c r="E57" s="7"/>
      <c r="F57" s="7"/>
      <c r="G57" s="7"/>
      <c r="AA57" s="7"/>
      <c r="AC57" s="7"/>
    </row>
    <row r="58">
      <c r="E58" s="7"/>
      <c r="F58" s="7"/>
      <c r="G58" s="7"/>
      <c r="AA58" s="7"/>
      <c r="AC58" s="7"/>
    </row>
    <row r="59">
      <c r="E59" s="7"/>
      <c r="F59" s="7"/>
      <c r="G59" s="7"/>
      <c r="AA59" s="7"/>
      <c r="AC59" s="7"/>
    </row>
    <row r="60">
      <c r="E60" s="7"/>
      <c r="F60" s="7"/>
      <c r="G60" s="7"/>
      <c r="AA60" s="7"/>
      <c r="AC60" s="7"/>
    </row>
    <row r="61">
      <c r="E61" s="7"/>
      <c r="F61" s="7"/>
      <c r="G61" s="7"/>
      <c r="AA61" s="7"/>
      <c r="AC61" s="7"/>
    </row>
    <row r="62">
      <c r="E62" s="7"/>
      <c r="F62" s="7"/>
      <c r="G62" s="7"/>
      <c r="AA62" s="7"/>
      <c r="AC62" s="7"/>
    </row>
    <row r="63">
      <c r="E63" s="7"/>
      <c r="F63" s="7"/>
      <c r="G63" s="7"/>
      <c r="AA63" s="7"/>
      <c r="AC63" s="7"/>
    </row>
    <row r="64">
      <c r="E64" s="7"/>
      <c r="F64" s="7"/>
      <c r="G64" s="7"/>
      <c r="AA64" s="7"/>
      <c r="AC64" s="7"/>
    </row>
    <row r="65">
      <c r="E65" s="7"/>
      <c r="F65" s="7"/>
      <c r="G65" s="7"/>
      <c r="AA65" s="7"/>
      <c r="AC65" s="7"/>
    </row>
    <row r="66">
      <c r="E66" s="7"/>
      <c r="F66" s="7"/>
      <c r="G66" s="7"/>
      <c r="AA66" s="7"/>
      <c r="AC66" s="7"/>
    </row>
    <row r="67">
      <c r="E67" s="7"/>
      <c r="F67" s="7"/>
      <c r="G67" s="7"/>
      <c r="AA67" s="7"/>
      <c r="AC67" s="7"/>
    </row>
    <row r="68">
      <c r="E68" s="7"/>
      <c r="F68" s="7"/>
      <c r="G68" s="7"/>
      <c r="AA68" s="7"/>
      <c r="AC68" s="7"/>
    </row>
    <row r="69">
      <c r="E69" s="7"/>
      <c r="F69" s="7"/>
      <c r="G69" s="7"/>
      <c r="AA69" s="7"/>
      <c r="AC69" s="7"/>
    </row>
    <row r="70">
      <c r="E70" s="7"/>
      <c r="F70" s="7"/>
      <c r="G70" s="7"/>
      <c r="AA70" s="7"/>
      <c r="AC70" s="7"/>
    </row>
    <row r="71">
      <c r="E71" s="7"/>
      <c r="F71" s="7"/>
      <c r="G71" s="7"/>
      <c r="AA71" s="7"/>
      <c r="AC71" s="7"/>
    </row>
    <row r="72">
      <c r="E72" s="7"/>
      <c r="F72" s="7"/>
      <c r="G72" s="7"/>
      <c r="AA72" s="7"/>
      <c r="AC72" s="7"/>
    </row>
    <row r="73">
      <c r="E73" s="7"/>
      <c r="F73" s="7"/>
      <c r="G73" s="7"/>
      <c r="AA73" s="7"/>
      <c r="AC73" s="7"/>
    </row>
    <row r="74">
      <c r="E74" s="7"/>
      <c r="F74" s="7"/>
      <c r="G74" s="7"/>
      <c r="AA74" s="7"/>
      <c r="AC74" s="7"/>
    </row>
    <row r="75">
      <c r="E75" s="7"/>
      <c r="F75" s="7"/>
      <c r="G75" s="7"/>
      <c r="AA75" s="7"/>
      <c r="AC75" s="7"/>
    </row>
    <row r="76">
      <c r="E76" s="7"/>
      <c r="F76" s="7"/>
      <c r="G76" s="7"/>
      <c r="AA76" s="7"/>
      <c r="AC76" s="7"/>
    </row>
    <row r="77">
      <c r="E77" s="7"/>
      <c r="F77" s="7"/>
      <c r="G77" s="7"/>
      <c r="AA77" s="7"/>
      <c r="AC77" s="7"/>
    </row>
    <row r="78">
      <c r="E78" s="7"/>
      <c r="F78" s="7"/>
      <c r="G78" s="7"/>
      <c r="AA78" s="7"/>
      <c r="AC78" s="7"/>
    </row>
    <row r="79">
      <c r="E79" s="7"/>
      <c r="F79" s="7"/>
      <c r="G79" s="7"/>
      <c r="AA79" s="7"/>
      <c r="AC79" s="7"/>
    </row>
    <row r="80">
      <c r="E80" s="7"/>
      <c r="F80" s="7"/>
      <c r="G80" s="7"/>
      <c r="AA80" s="7"/>
      <c r="AC80" s="7"/>
    </row>
    <row r="81">
      <c r="E81" s="7"/>
      <c r="F81" s="7"/>
      <c r="G81" s="7"/>
      <c r="AA81" s="7"/>
      <c r="AC81" s="7"/>
    </row>
    <row r="82">
      <c r="E82" s="7"/>
      <c r="F82" s="7"/>
      <c r="G82" s="7"/>
      <c r="AA82" s="7"/>
      <c r="AC82" s="7"/>
    </row>
    <row r="83">
      <c r="E83" s="7"/>
      <c r="F83" s="7"/>
      <c r="G83" s="7"/>
      <c r="AA83" s="7"/>
      <c r="AC83" s="7"/>
    </row>
    <row r="84">
      <c r="E84" s="7"/>
      <c r="F84" s="7"/>
      <c r="G84" s="7"/>
      <c r="AA84" s="7"/>
      <c r="AC84" s="7"/>
    </row>
    <row r="85">
      <c r="E85" s="7"/>
      <c r="F85" s="7"/>
      <c r="G85" s="7"/>
      <c r="AA85" s="7"/>
      <c r="AC85" s="7"/>
    </row>
    <row r="86">
      <c r="E86" s="7"/>
      <c r="F86" s="7"/>
      <c r="G86" s="7"/>
      <c r="AA86" s="7"/>
      <c r="AC86" s="7"/>
    </row>
    <row r="87">
      <c r="E87" s="7"/>
      <c r="F87" s="7"/>
      <c r="G87" s="7"/>
      <c r="AA87" s="7"/>
      <c r="AC87" s="7"/>
    </row>
    <row r="88">
      <c r="E88" s="7"/>
      <c r="F88" s="7"/>
      <c r="G88" s="7"/>
      <c r="AA88" s="7"/>
      <c r="AC88" s="7"/>
    </row>
    <row r="89">
      <c r="E89" s="7"/>
      <c r="F89" s="7"/>
      <c r="G89" s="7"/>
      <c r="AA89" s="7"/>
    </row>
    <row r="90">
      <c r="E90" s="7"/>
      <c r="F90" s="7"/>
      <c r="G90" s="7"/>
      <c r="AA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</sheetData>
  <conditionalFormatting sqref="B4:B136">
    <cfRule type="cellIs" dxfId="1" priority="1" operator="equal">
      <formula>"Pago"</formula>
    </cfRule>
  </conditionalFormatting>
  <conditionalFormatting sqref="G1:G106 I2">
    <cfRule type="cellIs" dxfId="1" priority="2" operator="equal">
      <formula>"Si"</formula>
    </cfRule>
  </conditionalFormatting>
  <conditionalFormatting sqref="G4:G106">
    <cfRule type="containsText" dxfId="1" priority="3" operator="containsText" text="sorteo">
      <formula>NOT(ISERROR(SEARCH(("sorteo"),(G4))))</formula>
    </cfRule>
  </conditionalFormatting>
  <conditionalFormatting sqref="AC4:AC1002">
    <cfRule type="cellIs" dxfId="3" priority="4" operator="equal">
      <formula>"OK"</formula>
    </cfRule>
  </conditionalFormatting>
  <conditionalFormatting sqref="AB3:AB39">
    <cfRule type="cellIs" dxfId="1" priority="5" operator="equal">
      <formula>"Terminado"</formula>
    </cfRule>
  </conditionalFormatting>
  <drawing r:id="rId1"/>
</worksheet>
</file>